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firstSheet="16"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规证" sheetId="78" r:id="rId14"/>
    <sheet name="合院测绘" sheetId="82" r:id="rId15"/>
    <sheet name="合院清单" sheetId="79" r:id="rId16"/>
    <sheet name="洋房测绘" sheetId="77" r:id="rId17"/>
    <sheet name="洋房清单" sheetId="80" r:id="rId18"/>
    <sheet name="数据-汇总表" sheetId="6" r:id="rId19"/>
    <sheet name="数据-取费表" sheetId="1" r:id="rId20"/>
    <sheet name="估价对象房地状况" sheetId="20" r:id="rId21"/>
    <sheet name="系统读取表" sheetId="74" r:id="rId22"/>
    <sheet name="结果表" sheetId="9" r:id="rId23"/>
    <sheet name="成本法" sheetId="68" r:id="rId24"/>
    <sheet name="成本法 (元)" sheetId="69" state="hidden" r:id="rId25"/>
    <sheet name="土地比较法-住宅、综合" sheetId="39" r:id="rId26"/>
    <sheet name="土地案例" sheetId="86" r:id="rId27"/>
    <sheet name="假设开发法" sheetId="12" r:id="rId28"/>
    <sheet name="收益法（自持住宅）" sheetId="15" r:id="rId29"/>
    <sheet name="收益法（商业）" sheetId="83" r:id="rId30"/>
    <sheet name="收益法 (元)" sheetId="67" state="hidden" r:id="rId31"/>
    <sheet name="比较法-车位" sheetId="35" r:id="rId32"/>
    <sheet name="收益法（车库）" sheetId="85" state="hidden" r:id="rId33"/>
    <sheet name="车库案例" sheetId="87" r:id="rId34"/>
    <sheet name="收益法（仓储）" sheetId="84" r:id="rId35"/>
    <sheet name="收益法（汇总）" sheetId="70" state="hidden" r:id="rId36"/>
    <sheet name="酒店收入计算" sheetId="66" state="hidden" r:id="rId37"/>
    <sheet name="比较法-住宅" sheetId="21" state="hidden" r:id="rId38"/>
    <sheet name="比较法-商业" sheetId="33" state="hidden" r:id="rId39"/>
    <sheet name="比较法-办公" sheetId="34" state="hidden" r:id="rId40"/>
    <sheet name="比较法-工业" sheetId="37" state="hidden" r:id="rId41"/>
    <sheet name="比较法-仓储" sheetId="36" state="hidden" r:id="rId42"/>
    <sheet name="土地比较法-工业" sheetId="40" state="hidden" r:id="rId43"/>
    <sheet name="基准地价修正" sheetId="43" state="hidden" r:id="rId44"/>
    <sheet name="修正" sheetId="45" state="hidden" r:id="rId45"/>
    <sheet name="容积率修正" sheetId="46" state="hidden" r:id="rId46"/>
    <sheet name="基准地价（汇总）" sheetId="76" state="hidden" r:id="rId47"/>
    <sheet name="地价" sheetId="71" state="hidden" r:id="rId48"/>
    <sheet name="典型户型修正" sheetId="31" state="hidden"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 name="Sheet1" sheetId="88" state="hidden" r:id="rId55"/>
  </sheets>
  <externalReferences>
    <externalReference r:id="rId56"/>
  </externalReferences>
  <definedNames>
    <definedName name="_xlnm._FilterDatabase" localSheetId="39" hidden="1">'比较法-办公'!$A$1:$L$50</definedName>
    <definedName name="_xlnm._FilterDatabase" localSheetId="41" hidden="1">'比较法-仓储'!$A$1:$L$37</definedName>
    <definedName name="_xlnm._FilterDatabase" localSheetId="31" hidden="1">'比较法-车位'!$A$1:$L$39</definedName>
    <definedName name="_xlnm._FilterDatabase" localSheetId="40" hidden="1">'比较法-工业'!$A$1:$L$43</definedName>
    <definedName name="_xlnm._FilterDatabase" localSheetId="38" hidden="1">'比较法-商业'!$A$1:$L$49</definedName>
    <definedName name="_xlnm._FilterDatabase" localSheetId="37" hidden="1">'比较法-住宅'!$A$1:$L$49</definedName>
    <definedName name="_xlnm._FilterDatabase" localSheetId="15" hidden="1">合院清单!$A$1:$O$1195</definedName>
    <definedName name="_xlnm._FilterDatabase" localSheetId="11" hidden="1">'数据-基础表'!$A$12:$AT$587</definedName>
    <definedName name="_xlnm._FilterDatabase" localSheetId="42" hidden="1">'土地比较法-工业'!$A$1:$L$43</definedName>
    <definedName name="_xlnm._FilterDatabase" localSheetId="25" hidden="1">'土地比较法-住宅、综合'!$A$1:$L$48</definedName>
    <definedName name="_xlnm._FilterDatabase" localSheetId="10" hidden="1">项目基本情况!$A$42:$N$42</definedName>
    <definedName name="_xlnm._FilterDatabase" localSheetId="17" hidden="1">洋房清单!$A$1:$P$67</definedName>
    <definedName name="_xlnm.Print_Area" localSheetId="31">'比较法-车位'!$A$1:$K$39</definedName>
    <definedName name="_xlnm.Print_Area" localSheetId="20">估价对象房地状况!$A$1:$G$24</definedName>
    <definedName name="_xlnm.Print_Area" localSheetId="8">估价师及机构信息!$A$1:$F$29</definedName>
    <definedName name="_xlnm.Print_Area" localSheetId="30">'收益法 (元)'!$A$1:$AK$69</definedName>
    <definedName name="_xlnm.Print_Area" localSheetId="34">'收益法（仓储）'!$A$1:$AK$69</definedName>
    <definedName name="_xlnm.Print_Area" localSheetId="32">'收益法（车库）'!$A$1:$AK$69</definedName>
    <definedName name="_xlnm.Print_Area" localSheetId="29">'收益法（商业）'!$A$1:$AK$69</definedName>
    <definedName name="_xlnm.Print_Area" localSheetId="28">'收益法（自持住宅）'!$A$1:$AK$69</definedName>
    <definedName name="_xlnm.Print_Area" localSheetId="18">'数据-汇总表'!$A$1:$P$32</definedName>
    <definedName name="_xlnm.Print_Area" localSheetId="10">项目基本情况!$A$1:$J$38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77" i="80" l="1"/>
  <c r="D5"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8"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B2" i="15"/>
  <c r="E8" i="12"/>
  <c r="F6" i="83"/>
  <c r="F8" i="83"/>
  <c r="F7" i="83"/>
  <c r="F9" i="83"/>
  <c r="C6" i="83"/>
  <c r="F11" i="83"/>
  <c r="C10" i="83"/>
  <c r="C5" i="83"/>
  <c r="C32" i="83"/>
  <c r="C33" i="83"/>
  <c r="R9" i="1"/>
  <c r="F35" i="83"/>
  <c r="C34" i="83"/>
  <c r="C31" i="83"/>
  <c r="C14" i="83"/>
  <c r="C15" i="83"/>
  <c r="F16" i="83"/>
  <c r="C16" i="83"/>
  <c r="F43" i="83"/>
  <c r="C17" i="83"/>
  <c r="C18" i="83"/>
  <c r="C19" i="83"/>
  <c r="C20" i="83"/>
  <c r="F24" i="83"/>
  <c r="C23" i="83"/>
  <c r="F26" i="83"/>
  <c r="C26" i="83"/>
  <c r="C24" i="83"/>
  <c r="C27" i="83"/>
  <c r="C29" i="83"/>
  <c r="F36" i="83"/>
  <c r="C36" i="83"/>
  <c r="F13" i="83"/>
  <c r="C13" i="83"/>
  <c r="F37" i="83"/>
  <c r="C37" i="83"/>
  <c r="F38" i="83"/>
  <c r="C38" i="83"/>
  <c r="C30" i="83"/>
  <c r="C39" i="83"/>
  <c r="F42" i="83"/>
  <c r="F40" i="83"/>
  <c r="L48" i="83"/>
  <c r="J53" i="83"/>
  <c r="F1" i="83"/>
  <c r="AE9" i="1"/>
  <c r="F41" i="83"/>
  <c r="C40" i="83"/>
  <c r="M6" i="83"/>
  <c r="M8" i="83"/>
  <c r="M7" i="83"/>
  <c r="M9" i="83"/>
  <c r="J6" i="83"/>
  <c r="M11" i="83"/>
  <c r="J10" i="83"/>
  <c r="J5" i="83"/>
  <c r="J26" i="83"/>
  <c r="J29" i="83"/>
  <c r="J60" i="83"/>
  <c r="L46" i="83"/>
  <c r="B2" i="83"/>
  <c r="F8" i="12"/>
  <c r="F6" i="84"/>
  <c r="F8" i="84"/>
  <c r="F7" i="84"/>
  <c r="F9" i="84"/>
  <c r="C6" i="84"/>
  <c r="F11" i="84"/>
  <c r="C10" i="84"/>
  <c r="C5" i="84"/>
  <c r="C32" i="84"/>
  <c r="C33" i="84"/>
  <c r="R11" i="1"/>
  <c r="F35" i="84"/>
  <c r="C34" i="84"/>
  <c r="C31" i="84"/>
  <c r="C14" i="84"/>
  <c r="C15" i="84"/>
  <c r="F16" i="84"/>
  <c r="C16" i="84"/>
  <c r="F43" i="84"/>
  <c r="C17" i="84"/>
  <c r="C18" i="84"/>
  <c r="C19" i="84"/>
  <c r="C20" i="84"/>
  <c r="F24" i="84"/>
  <c r="C23" i="84"/>
  <c r="F26" i="84"/>
  <c r="C26" i="84"/>
  <c r="C24" i="84"/>
  <c r="C27" i="84"/>
  <c r="C29" i="84"/>
  <c r="F36" i="84"/>
  <c r="C36" i="84"/>
  <c r="F13" i="84"/>
  <c r="C13" i="84"/>
  <c r="F37" i="84"/>
  <c r="C37" i="84"/>
  <c r="F38" i="84"/>
  <c r="C38" i="84"/>
  <c r="C30" i="84"/>
  <c r="C39" i="84"/>
  <c r="F42" i="84"/>
  <c r="F40" i="84"/>
  <c r="L48" i="84"/>
  <c r="J53" i="84"/>
  <c r="F1" i="84"/>
  <c r="AE11" i="1"/>
  <c r="F41" i="84"/>
  <c r="C40" i="84"/>
  <c r="M6" i="84"/>
  <c r="M8" i="84"/>
  <c r="M7" i="84"/>
  <c r="M9" i="84"/>
  <c r="J6" i="84"/>
  <c r="M11" i="84"/>
  <c r="J10" i="84"/>
  <c r="J5" i="84"/>
  <c r="J26" i="84"/>
  <c r="J29" i="84"/>
  <c r="J60" i="84"/>
  <c r="L46" i="84"/>
  <c r="B2" i="84"/>
  <c r="H8" i="12"/>
  <c r="C4" i="12"/>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D19" i="9"/>
  <c r="C17" i="9"/>
  <c r="D17" i="9"/>
  <c r="C18" i="9"/>
  <c r="D18" i="9"/>
  <c r="G19" i="9"/>
  <c r="C32" i="9"/>
  <c r="H118" i="9"/>
  <c r="I118" i="9"/>
  <c r="B3" i="68"/>
  <c r="C57" i="68"/>
  <c r="D35" i="9"/>
  <c r="C35" i="9"/>
  <c r="F118" i="9"/>
  <c r="G118" i="9"/>
  <c r="J34" i="9"/>
  <c r="L26" i="12"/>
  <c r="L23" i="12"/>
  <c r="L16" i="12"/>
  <c r="L14" i="12"/>
  <c r="L13" i="12"/>
  <c r="L7" i="12"/>
  <c r="S18" i="1"/>
  <c r="M20" i="1"/>
  <c r="J74" i="80"/>
  <c r="I63" i="80"/>
  <c r="H74" i="80"/>
  <c r="J73" i="80"/>
  <c r="J72" i="80"/>
  <c r="J71" i="80"/>
  <c r="J68" i="80"/>
  <c r="P66" i="80"/>
  <c r="M68" i="80"/>
  <c r="J69" i="80"/>
  <c r="F1201" i="79"/>
  <c r="H1201" i="79"/>
  <c r="F1204" i="79"/>
  <c r="H1203" i="79"/>
  <c r="F1203" i="79"/>
  <c r="H38" i="68"/>
  <c r="H37" i="68"/>
  <c r="K6" i="1"/>
  <c r="K7" i="1"/>
  <c r="K8" i="1"/>
  <c r="K9" i="1"/>
  <c r="K10" i="1"/>
  <c r="Y13" i="3"/>
  <c r="G24" i="6"/>
  <c r="E24" i="6"/>
  <c r="K11" i="1"/>
  <c r="K12" i="1"/>
  <c r="K13" i="1"/>
  <c r="K14" i="1"/>
  <c r="K15" i="1"/>
  <c r="K16" i="1"/>
  <c r="K17" i="1"/>
  <c r="H18" i="1"/>
  <c r="F35" i="6"/>
  <c r="H71" i="80"/>
  <c r="P118" i="78"/>
  <c r="G65" i="80"/>
  <c r="N121" i="77"/>
  <c r="F117" i="88"/>
  <c r="F118" i="88"/>
  <c r="F119" i="88"/>
  <c r="F120" i="88"/>
  <c r="F121" i="88"/>
  <c r="F122" i="88"/>
  <c r="F123" i="88"/>
  <c r="F124" i="88"/>
  <c r="F125" i="88"/>
  <c r="F116" i="88"/>
  <c r="F126" i="88"/>
  <c r="G126" i="88"/>
  <c r="H126" i="88"/>
  <c r="I126" i="88"/>
  <c r="J126" i="88"/>
  <c r="K126" i="88"/>
  <c r="L126" i="88"/>
  <c r="M126" i="88"/>
  <c r="F129" i="88"/>
  <c r="M98" i="78"/>
  <c r="C118" i="78"/>
  <c r="E97" i="77"/>
  <c r="F97" i="77"/>
  <c r="D135" i="77"/>
  <c r="E135" i="77"/>
  <c r="L97" i="77"/>
  <c r="J97" i="77"/>
  <c r="F135" i="77"/>
  <c r="G97" i="77"/>
  <c r="H97" i="77"/>
  <c r="G135" i="77"/>
  <c r="M96" i="77"/>
  <c r="M97" i="77"/>
  <c r="J135" i="77"/>
  <c r="C135" i="77"/>
  <c r="G119" i="77"/>
  <c r="H119" i="77"/>
  <c r="G139" i="77"/>
  <c r="L119" i="77"/>
  <c r="F139" i="77"/>
  <c r="E119" i="77"/>
  <c r="F119" i="77"/>
  <c r="D139" i="77"/>
  <c r="G113" i="77"/>
  <c r="H113" i="77"/>
  <c r="G138" i="77"/>
  <c r="L113" i="77"/>
  <c r="F138" i="77"/>
  <c r="E113" i="77"/>
  <c r="D138" i="77"/>
  <c r="H107" i="77"/>
  <c r="G107" i="77"/>
  <c r="G137" i="77"/>
  <c r="L107" i="77"/>
  <c r="F137" i="77"/>
  <c r="R111" i="77"/>
  <c r="F106" i="77"/>
  <c r="E106" i="77"/>
  <c r="E107" i="77"/>
  <c r="F107" i="77"/>
  <c r="D137" i="77"/>
  <c r="M101" i="77"/>
  <c r="K101" i="77"/>
  <c r="J136" i="77"/>
  <c r="G101" i="77"/>
  <c r="H101" i="77"/>
  <c r="G136" i="77"/>
  <c r="J101" i="77"/>
  <c r="L101" i="77"/>
  <c r="F136" i="77"/>
  <c r="E101" i="77"/>
  <c r="F101" i="77"/>
  <c r="D136" i="77"/>
  <c r="G134" i="77"/>
  <c r="F134" i="77"/>
  <c r="D134" i="77"/>
  <c r="J133" i="77"/>
  <c r="G133" i="77"/>
  <c r="D133" i="77"/>
  <c r="C133" i="77"/>
  <c r="C134" i="77"/>
  <c r="C136" i="77"/>
  <c r="C137" i="77"/>
  <c r="C138" i="77"/>
  <c r="C139" i="77"/>
  <c r="J132" i="77"/>
  <c r="F132" i="77"/>
  <c r="G132" i="77"/>
  <c r="D132" i="77"/>
  <c r="C132" i="77"/>
  <c r="P27" i="88"/>
  <c r="Q27" i="88"/>
  <c r="O27" i="88"/>
  <c r="F93" i="77"/>
  <c r="F113" i="77"/>
  <c r="F120" i="77"/>
  <c r="E65" i="80"/>
  <c r="M13" i="3"/>
  <c r="BD13" i="3"/>
  <c r="I93" i="77"/>
  <c r="I97" i="77"/>
  <c r="I101" i="77"/>
  <c r="I107" i="77"/>
  <c r="I113" i="77"/>
  <c r="I119" i="77"/>
  <c r="I120" i="77"/>
  <c r="O13" i="3"/>
  <c r="BE13" i="3"/>
  <c r="H93" i="77"/>
  <c r="H120" i="77"/>
  <c r="BJ13" i="3"/>
  <c r="BA13" i="3"/>
  <c r="J107" i="77"/>
  <c r="J113" i="77"/>
  <c r="J119" i="77"/>
  <c r="J120" i="77"/>
  <c r="AD13" i="3"/>
  <c r="BM13" i="3"/>
  <c r="K93" i="77"/>
  <c r="K97" i="77"/>
  <c r="K107" i="77"/>
  <c r="K113" i="77"/>
  <c r="K119" i="77"/>
  <c r="K120" i="77"/>
  <c r="AJ13" i="3"/>
  <c r="BP13" i="3"/>
  <c r="L93" i="77"/>
  <c r="L120" i="77"/>
  <c r="AL13" i="3"/>
  <c r="BQ13" i="3"/>
  <c r="M93" i="77"/>
  <c r="M107" i="77"/>
  <c r="M113" i="77"/>
  <c r="M119" i="77"/>
  <c r="M120" i="77"/>
  <c r="AN13" i="3"/>
  <c r="BR13" i="3"/>
  <c r="BL13" i="3"/>
  <c r="AZ13" i="3"/>
  <c r="AZ5" i="3"/>
  <c r="E3" i="6"/>
  <c r="E93" i="77"/>
  <c r="G93" i="77"/>
  <c r="N93" i="77"/>
  <c r="M91" i="78"/>
  <c r="N97" i="77"/>
  <c r="M92" i="78"/>
  <c r="N101" i="77"/>
  <c r="M93" i="78"/>
  <c r="N107" i="77"/>
  <c r="M94" i="78"/>
  <c r="N113" i="77"/>
  <c r="M95" i="78"/>
  <c r="N119" i="77"/>
  <c r="M96" i="78"/>
  <c r="M89" i="78"/>
  <c r="A3" i="3"/>
  <c r="H5" i="88"/>
  <c r="D9" i="88"/>
  <c r="F5" i="88"/>
  <c r="F6" i="88"/>
  <c r="H6" i="88"/>
  <c r="D5" i="88"/>
  <c r="D6" i="88"/>
  <c r="E66" i="80"/>
  <c r="F22" i="6"/>
  <c r="E22" i="6"/>
  <c r="E68" i="80"/>
  <c r="E69" i="80"/>
  <c r="F21" i="6"/>
  <c r="E21" i="6"/>
  <c r="BA5" i="3"/>
  <c r="E19" i="6"/>
  <c r="E27" i="6"/>
  <c r="G69" i="80"/>
  <c r="E67" i="80"/>
  <c r="E64" i="80"/>
  <c r="K13" i="3"/>
  <c r="F20" i="6"/>
  <c r="E20" i="6"/>
  <c r="W13" i="3"/>
  <c r="G26" i="6"/>
  <c r="E26" i="6"/>
  <c r="BC13" i="3"/>
  <c r="BI13" i="3"/>
  <c r="C110" i="78"/>
  <c r="C1204" i="79"/>
  <c r="C1195" i="79"/>
  <c r="E5" i="35"/>
  <c r="G37" i="35"/>
  <c r="N66" i="80"/>
  <c r="M66" i="80"/>
  <c r="D6" i="12"/>
  <c r="T37" i="35"/>
  <c r="D66" i="35"/>
  <c r="E66" i="35"/>
  <c r="H16" i="35"/>
  <c r="AB16" i="35"/>
  <c r="H27" i="35"/>
  <c r="AB27" i="35"/>
  <c r="T38" i="35"/>
  <c r="F16" i="35"/>
  <c r="AA16" i="35"/>
  <c r="F27" i="35"/>
  <c r="AA27" i="35"/>
  <c r="R38" i="35"/>
  <c r="J16" i="35"/>
  <c r="AC16" i="35"/>
  <c r="J27" i="35"/>
  <c r="AC27" i="35"/>
  <c r="V38" i="35"/>
  <c r="R39" i="35"/>
  <c r="C38" i="35"/>
  <c r="D15" i="74"/>
  <c r="H15" i="74"/>
  <c r="C15" i="74"/>
  <c r="B15" i="74"/>
  <c r="M88" i="78"/>
  <c r="A7" i="1"/>
  <c r="A11" i="1"/>
  <c r="A13" i="1"/>
  <c r="F3" i="35"/>
  <c r="C39" i="35"/>
  <c r="B2" i="35"/>
  <c r="G8" i="12"/>
  <c r="D3" i="35"/>
  <c r="B3" i="35"/>
  <c r="G6" i="12"/>
  <c r="I37" i="35"/>
  <c r="E37" i="35"/>
  <c r="I31" i="35"/>
  <c r="G31" i="35"/>
  <c r="E31" i="35"/>
  <c r="E49" i="35"/>
  <c r="F49" i="35"/>
  <c r="G49" i="35"/>
  <c r="H49" i="35"/>
  <c r="I49" i="35"/>
  <c r="J49" i="35"/>
  <c r="K49" i="35"/>
  <c r="L49" i="35"/>
  <c r="M49" i="35"/>
  <c r="D49" i="35"/>
  <c r="I7" i="35"/>
  <c r="G7" i="35"/>
  <c r="E7" i="35"/>
  <c r="I5" i="35"/>
  <c r="G5" i="35"/>
  <c r="E57" i="39"/>
  <c r="BC5" i="3"/>
  <c r="BD5" i="3"/>
  <c r="BE5" i="3"/>
  <c r="E8" i="6"/>
  <c r="F27" i="6"/>
  <c r="G27" i="6"/>
  <c r="BP5" i="3"/>
  <c r="G29" i="6"/>
  <c r="D3" i="39"/>
  <c r="I46" i="39"/>
  <c r="G46" i="39"/>
  <c r="E46" i="39"/>
  <c r="I38" i="39"/>
  <c r="G38" i="39"/>
  <c r="E38" i="39"/>
  <c r="C38" i="39"/>
  <c r="G14" i="86"/>
  <c r="I11" i="39"/>
  <c r="G12" i="86"/>
  <c r="G11" i="39"/>
  <c r="G11" i="86"/>
  <c r="E11" i="39"/>
  <c r="C11" i="39"/>
  <c r="C10" i="39"/>
  <c r="E71" i="39"/>
  <c r="F71" i="39"/>
  <c r="G71" i="39"/>
  <c r="H71" i="39"/>
  <c r="I71" i="39"/>
  <c r="J71" i="39"/>
  <c r="K71" i="39"/>
  <c r="L71" i="39"/>
  <c r="M71" i="39"/>
  <c r="N71" i="39"/>
  <c r="O71" i="39"/>
  <c r="D71" i="39"/>
  <c r="I7" i="39"/>
  <c r="G7" i="39"/>
  <c r="E7" i="39"/>
  <c r="I5" i="39"/>
  <c r="G5" i="39"/>
  <c r="E5" i="39"/>
  <c r="G3" i="86"/>
  <c r="G4" i="86"/>
  <c r="G5" i="86"/>
  <c r="G6" i="86"/>
  <c r="G7" i="86"/>
  <c r="G8" i="86"/>
  <c r="G9" i="86"/>
  <c r="G10" i="86"/>
  <c r="G13" i="86"/>
  <c r="G15" i="86"/>
  <c r="G16" i="86"/>
  <c r="G17" i="86"/>
  <c r="G18" i="86"/>
  <c r="G2" i="86"/>
  <c r="Q72" i="85"/>
  <c r="F60" i="85"/>
  <c r="Q59" i="85"/>
  <c r="K59" i="85"/>
  <c r="P74" i="85"/>
  <c r="F59" i="85"/>
  <c r="Q58" i="85"/>
  <c r="Q51" i="85"/>
  <c r="J50" i="85"/>
  <c r="J51" i="85"/>
  <c r="M47" i="85"/>
  <c r="D46" i="85"/>
  <c r="F34" i="85"/>
  <c r="F62" i="85"/>
  <c r="F33" i="85"/>
  <c r="F61" i="85"/>
  <c r="F32" i="85"/>
  <c r="F31" i="85"/>
  <c r="F28" i="85"/>
  <c r="C28" i="85"/>
  <c r="F23" i="85"/>
  <c r="D24" i="85"/>
  <c r="F21" i="85"/>
  <c r="M20" i="85"/>
  <c r="F20" i="85"/>
  <c r="M19" i="85"/>
  <c r="M18" i="85"/>
  <c r="F18" i="85"/>
  <c r="M17" i="85"/>
  <c r="F17" i="85"/>
  <c r="F15" i="85"/>
  <c r="G1" i="85"/>
  <c r="I7" i="12"/>
  <c r="I8" i="12"/>
  <c r="J7" i="12"/>
  <c r="N67" i="80"/>
  <c r="M67" i="80"/>
  <c r="P67" i="80"/>
  <c r="J6" i="12"/>
  <c r="J8" i="12"/>
  <c r="I6" i="12"/>
  <c r="D7" i="12"/>
  <c r="D8" i="12"/>
  <c r="C7" i="12"/>
  <c r="C8" i="12"/>
  <c r="C6" i="12"/>
  <c r="M69" i="80"/>
  <c r="N69" i="80"/>
  <c r="E1186" i="79"/>
  <c r="G64" i="80"/>
  <c r="G1203" i="79"/>
  <c r="G1202" i="79"/>
  <c r="F1202" i="79"/>
  <c r="E1204" i="79"/>
  <c r="E683" i="79"/>
  <c r="F683" i="79"/>
  <c r="F1183" i="79"/>
  <c r="F1182" i="79"/>
  <c r="F1178" i="79"/>
  <c r="F1177" i="79"/>
  <c r="F1173" i="79"/>
  <c r="F1172" i="79"/>
  <c r="F1168" i="79"/>
  <c r="F1167" i="79"/>
  <c r="F1163" i="79"/>
  <c r="F1162" i="79"/>
  <c r="F1158" i="79"/>
  <c r="F1157" i="79"/>
  <c r="F1153" i="79"/>
  <c r="F1152" i="79"/>
  <c r="F1148" i="79"/>
  <c r="F1147" i="79"/>
  <c r="F1143" i="79"/>
  <c r="F1142" i="79"/>
  <c r="F1138" i="79"/>
  <c r="F1137" i="79"/>
  <c r="F1133" i="79"/>
  <c r="F1132" i="79"/>
  <c r="F1128" i="79"/>
  <c r="F1127" i="79"/>
  <c r="F1123" i="79"/>
  <c r="F1122" i="79"/>
  <c r="F1118" i="79"/>
  <c r="F1117" i="79"/>
  <c r="F1113" i="79"/>
  <c r="F1112" i="79"/>
  <c r="F1108" i="79"/>
  <c r="F1107" i="79"/>
  <c r="F1103" i="79"/>
  <c r="F1102" i="79"/>
  <c r="F1098" i="79"/>
  <c r="F1097" i="79"/>
  <c r="F1093" i="79"/>
  <c r="F1092" i="79"/>
  <c r="F1088" i="79"/>
  <c r="F1087" i="79"/>
  <c r="F1083" i="79"/>
  <c r="F1082" i="79"/>
  <c r="F1078" i="79"/>
  <c r="F1077" i="79"/>
  <c r="F1073" i="79"/>
  <c r="F1072" i="79"/>
  <c r="F1068" i="79"/>
  <c r="F1067" i="79"/>
  <c r="F1063" i="79"/>
  <c r="F1062" i="79"/>
  <c r="F1058" i="79"/>
  <c r="F1057" i="79"/>
  <c r="F1053" i="79"/>
  <c r="F1052" i="79"/>
  <c r="F1048" i="79"/>
  <c r="F1047" i="79"/>
  <c r="F1043" i="79"/>
  <c r="F1042" i="79"/>
  <c r="F1038" i="79"/>
  <c r="F1037" i="79"/>
  <c r="F1033" i="79"/>
  <c r="F1032" i="79"/>
  <c r="F1028" i="79"/>
  <c r="F1027" i="79"/>
  <c r="F1023" i="79"/>
  <c r="F1022" i="79"/>
  <c r="F1018" i="79"/>
  <c r="F1017" i="79"/>
  <c r="F1013" i="79"/>
  <c r="F1012" i="79"/>
  <c r="F1008" i="79"/>
  <c r="F1007" i="79"/>
  <c r="F1003" i="79"/>
  <c r="F1002" i="79"/>
  <c r="F998" i="79"/>
  <c r="F997" i="79"/>
  <c r="F993" i="79"/>
  <c r="F992" i="79"/>
  <c r="F988" i="79"/>
  <c r="F987" i="79"/>
  <c r="F983" i="79"/>
  <c r="F982" i="79"/>
  <c r="F978" i="79"/>
  <c r="F977" i="79"/>
  <c r="F973" i="79"/>
  <c r="F972" i="79"/>
  <c r="F968" i="79"/>
  <c r="F967" i="79"/>
  <c r="F963" i="79"/>
  <c r="F962" i="79"/>
  <c r="F958" i="79"/>
  <c r="F957" i="79"/>
  <c r="F953" i="79"/>
  <c r="F952" i="79"/>
  <c r="F948" i="79"/>
  <c r="F947" i="79"/>
  <c r="F943" i="79"/>
  <c r="F942" i="79"/>
  <c r="F938" i="79"/>
  <c r="F937" i="79"/>
  <c r="F933" i="79"/>
  <c r="F932" i="79"/>
  <c r="F928" i="79"/>
  <c r="F927" i="79"/>
  <c r="F923" i="79"/>
  <c r="F922" i="79"/>
  <c r="F918" i="79"/>
  <c r="F917" i="79"/>
  <c r="F913" i="79"/>
  <c r="F912" i="79"/>
  <c r="F908" i="79"/>
  <c r="F907" i="79"/>
  <c r="F903" i="79"/>
  <c r="F902" i="79"/>
  <c r="F898" i="79"/>
  <c r="F897" i="79"/>
  <c r="F893" i="79"/>
  <c r="F892" i="79"/>
  <c r="F888" i="79"/>
  <c r="F887" i="79"/>
  <c r="F883" i="79"/>
  <c r="F882" i="79"/>
  <c r="F878" i="79"/>
  <c r="F877" i="79"/>
  <c r="F873" i="79"/>
  <c r="F872" i="79"/>
  <c r="F868" i="79"/>
  <c r="F867" i="79"/>
  <c r="F863" i="79"/>
  <c r="F862" i="79"/>
  <c r="F858" i="79"/>
  <c r="F857" i="79"/>
  <c r="F853" i="79"/>
  <c r="F852" i="79"/>
  <c r="F848" i="79"/>
  <c r="F847" i="79"/>
  <c r="F843" i="79"/>
  <c r="F842" i="79"/>
  <c r="F838" i="79"/>
  <c r="F837" i="79"/>
  <c r="F833" i="79"/>
  <c r="F832" i="79"/>
  <c r="F828" i="79"/>
  <c r="F827" i="79"/>
  <c r="F823" i="79"/>
  <c r="F822" i="79"/>
  <c r="F818" i="79"/>
  <c r="F817" i="79"/>
  <c r="F813" i="79"/>
  <c r="F812" i="79"/>
  <c r="F808" i="79"/>
  <c r="F807" i="79"/>
  <c r="F803" i="79"/>
  <c r="F802" i="79"/>
  <c r="F798" i="79"/>
  <c r="F797" i="79"/>
  <c r="F793" i="79"/>
  <c r="F792" i="79"/>
  <c r="F788" i="79"/>
  <c r="F787" i="79"/>
  <c r="F783" i="79"/>
  <c r="F782" i="79"/>
  <c r="F778" i="79"/>
  <c r="F777" i="79"/>
  <c r="F773" i="79"/>
  <c r="F772" i="79"/>
  <c r="F768" i="79"/>
  <c r="F767" i="79"/>
  <c r="F763" i="79"/>
  <c r="F762" i="79"/>
  <c r="F758" i="79"/>
  <c r="F757" i="79"/>
  <c r="F753" i="79"/>
  <c r="F752" i="79"/>
  <c r="F748" i="79"/>
  <c r="F747" i="79"/>
  <c r="F743" i="79"/>
  <c r="F742" i="79"/>
  <c r="F738" i="79"/>
  <c r="F737" i="79"/>
  <c r="F733" i="79"/>
  <c r="F732" i="79"/>
  <c r="F728" i="79"/>
  <c r="F727" i="79"/>
  <c r="F723" i="79"/>
  <c r="F722" i="79"/>
  <c r="F718" i="79"/>
  <c r="F717" i="79"/>
  <c r="F713" i="79"/>
  <c r="F712" i="79"/>
  <c r="F708" i="79"/>
  <c r="F707" i="79"/>
  <c r="F703" i="79"/>
  <c r="F702" i="79"/>
  <c r="F698" i="79"/>
  <c r="F697" i="79"/>
  <c r="F693" i="79"/>
  <c r="F692" i="79"/>
  <c r="F688" i="79"/>
  <c r="F687" i="79"/>
  <c r="F682" i="79"/>
  <c r="F678" i="79"/>
  <c r="F677" i="79"/>
  <c r="F673" i="79"/>
  <c r="F672" i="79"/>
  <c r="F668" i="79"/>
  <c r="F667" i="79"/>
  <c r="F663" i="79"/>
  <c r="F662" i="79"/>
  <c r="F658" i="79"/>
  <c r="F657" i="79"/>
  <c r="F653" i="79"/>
  <c r="F652" i="79"/>
  <c r="F648" i="79"/>
  <c r="F647" i="79"/>
  <c r="F643" i="79"/>
  <c r="F642" i="79"/>
  <c r="F638" i="79"/>
  <c r="F637" i="79"/>
  <c r="F633" i="79"/>
  <c r="F632" i="79"/>
  <c r="F628" i="79"/>
  <c r="F627" i="79"/>
  <c r="F623" i="79"/>
  <c r="F622" i="79"/>
  <c r="F618" i="79"/>
  <c r="F617" i="79"/>
  <c r="F613" i="79"/>
  <c r="F612" i="79"/>
  <c r="F608" i="79"/>
  <c r="F607" i="79"/>
  <c r="F603" i="79"/>
  <c r="F602" i="79"/>
  <c r="F598" i="79"/>
  <c r="F597" i="79"/>
  <c r="F593" i="79"/>
  <c r="F592" i="79"/>
  <c r="F588" i="79"/>
  <c r="F587" i="79"/>
  <c r="F583" i="79"/>
  <c r="F582" i="79"/>
  <c r="F578" i="79"/>
  <c r="F577" i="79"/>
  <c r="F573" i="79"/>
  <c r="F572" i="79"/>
  <c r="F568" i="79"/>
  <c r="F567" i="79"/>
  <c r="F563" i="79"/>
  <c r="F562" i="79"/>
  <c r="F558" i="79"/>
  <c r="F557" i="79"/>
  <c r="F553" i="79"/>
  <c r="F552" i="79"/>
  <c r="F548" i="79"/>
  <c r="F547" i="79"/>
  <c r="F543" i="79"/>
  <c r="F542" i="79"/>
  <c r="F538" i="79"/>
  <c r="F537" i="79"/>
  <c r="F533" i="79"/>
  <c r="F532" i="79"/>
  <c r="F528" i="79"/>
  <c r="F527" i="79"/>
  <c r="F523" i="79"/>
  <c r="F522" i="79"/>
  <c r="F518" i="79"/>
  <c r="F517" i="79"/>
  <c r="F513" i="79"/>
  <c r="F512" i="79"/>
  <c r="F508" i="79"/>
  <c r="F507" i="79"/>
  <c r="F503" i="79"/>
  <c r="F502" i="79"/>
  <c r="F498" i="79"/>
  <c r="F497" i="79"/>
  <c r="F493" i="79"/>
  <c r="F492" i="79"/>
  <c r="F488" i="79"/>
  <c r="F487" i="79"/>
  <c r="F483" i="79"/>
  <c r="F482" i="79"/>
  <c r="F478" i="79"/>
  <c r="F477" i="79"/>
  <c r="F473" i="79"/>
  <c r="F472" i="79"/>
  <c r="F468" i="79"/>
  <c r="F467" i="79"/>
  <c r="F463" i="79"/>
  <c r="F462" i="79"/>
  <c r="F458" i="79"/>
  <c r="F457" i="79"/>
  <c r="F453" i="79"/>
  <c r="F452" i="79"/>
  <c r="F448" i="79"/>
  <c r="F447" i="79"/>
  <c r="F443" i="79"/>
  <c r="F442" i="79"/>
  <c r="F438" i="79"/>
  <c r="F437" i="79"/>
  <c r="F433" i="79"/>
  <c r="F432" i="79"/>
  <c r="F428" i="79"/>
  <c r="F427" i="79"/>
  <c r="F423" i="79"/>
  <c r="F422" i="79"/>
  <c r="F418" i="79"/>
  <c r="F417" i="79"/>
  <c r="F413" i="79"/>
  <c r="F412" i="79"/>
  <c r="F408" i="79"/>
  <c r="F407" i="79"/>
  <c r="F403" i="79"/>
  <c r="F402" i="79"/>
  <c r="F398" i="79"/>
  <c r="F397" i="79"/>
  <c r="F393" i="79"/>
  <c r="F392" i="79"/>
  <c r="F388" i="79"/>
  <c r="F387" i="79"/>
  <c r="F383" i="79"/>
  <c r="F382" i="79"/>
  <c r="F378" i="79"/>
  <c r="F377" i="79"/>
  <c r="F373" i="79"/>
  <c r="F372" i="79"/>
  <c r="F368" i="79"/>
  <c r="F367" i="79"/>
  <c r="F363" i="79"/>
  <c r="F362" i="79"/>
  <c r="F358" i="79"/>
  <c r="F357" i="79"/>
  <c r="F353" i="79"/>
  <c r="F352" i="79"/>
  <c r="F348" i="79"/>
  <c r="F347" i="79"/>
  <c r="F343" i="79"/>
  <c r="F342" i="79"/>
  <c r="F338" i="79"/>
  <c r="F337" i="79"/>
  <c r="F333" i="79"/>
  <c r="F332" i="79"/>
  <c r="F328" i="79"/>
  <c r="F327" i="79"/>
  <c r="F323" i="79"/>
  <c r="F322" i="79"/>
  <c r="F318" i="79"/>
  <c r="F317" i="79"/>
  <c r="F313" i="79"/>
  <c r="F312" i="79"/>
  <c r="F308" i="79"/>
  <c r="F307" i="79"/>
  <c r="F303" i="79"/>
  <c r="F302" i="79"/>
  <c r="F298" i="79"/>
  <c r="F297" i="79"/>
  <c r="F293" i="79"/>
  <c r="F292" i="79"/>
  <c r="F288" i="79"/>
  <c r="F287" i="79"/>
  <c r="F283" i="79"/>
  <c r="F282" i="79"/>
  <c r="F278" i="79"/>
  <c r="F277" i="79"/>
  <c r="F273" i="79"/>
  <c r="F272" i="79"/>
  <c r="F268" i="79"/>
  <c r="F267" i="79"/>
  <c r="F263" i="79"/>
  <c r="F262" i="79"/>
  <c r="F258" i="79"/>
  <c r="F257" i="79"/>
  <c r="F253" i="79"/>
  <c r="F252" i="79"/>
  <c r="F248" i="79"/>
  <c r="F247" i="79"/>
  <c r="F243" i="79"/>
  <c r="F242" i="79"/>
  <c r="F238" i="79"/>
  <c r="F237" i="79"/>
  <c r="F233" i="79"/>
  <c r="F232" i="79"/>
  <c r="F228" i="79"/>
  <c r="F227" i="79"/>
  <c r="F223" i="79"/>
  <c r="F222" i="79"/>
  <c r="F218" i="79"/>
  <c r="F217" i="79"/>
  <c r="F213" i="79"/>
  <c r="F212" i="79"/>
  <c r="F208" i="79"/>
  <c r="F207" i="79"/>
  <c r="F203" i="79"/>
  <c r="F202" i="79"/>
  <c r="F198" i="79"/>
  <c r="F197" i="79"/>
  <c r="F193" i="79"/>
  <c r="F192" i="79"/>
  <c r="F188" i="79"/>
  <c r="F187" i="79"/>
  <c r="F183" i="79"/>
  <c r="F182" i="79"/>
  <c r="F178" i="79"/>
  <c r="F177" i="79"/>
  <c r="F173" i="79"/>
  <c r="F172" i="79"/>
  <c r="F168" i="79"/>
  <c r="F167" i="79"/>
  <c r="F163" i="79"/>
  <c r="F162" i="79"/>
  <c r="F158" i="79"/>
  <c r="F157" i="79"/>
  <c r="F153" i="79"/>
  <c r="F152" i="79"/>
  <c r="F148" i="79"/>
  <c r="F147" i="79"/>
  <c r="F143" i="79"/>
  <c r="F142" i="79"/>
  <c r="F138" i="79"/>
  <c r="F137" i="79"/>
  <c r="F133" i="79"/>
  <c r="F132" i="79"/>
  <c r="F128" i="79"/>
  <c r="F127" i="79"/>
  <c r="F123" i="79"/>
  <c r="F122" i="79"/>
  <c r="F118" i="79"/>
  <c r="F117" i="79"/>
  <c r="F113" i="79"/>
  <c r="F112" i="79"/>
  <c r="F106" i="79"/>
  <c r="F105" i="79"/>
  <c r="F101" i="79"/>
  <c r="F100" i="79"/>
  <c r="F96" i="79"/>
  <c r="F95" i="79"/>
  <c r="F91" i="79"/>
  <c r="F90" i="79"/>
  <c r="F86" i="79"/>
  <c r="F85" i="79"/>
  <c r="F81" i="79"/>
  <c r="F80" i="79"/>
  <c r="F76" i="79"/>
  <c r="F75" i="79"/>
  <c r="F71" i="79"/>
  <c r="F70" i="79"/>
  <c r="F66" i="79"/>
  <c r="F65" i="79"/>
  <c r="F61" i="79"/>
  <c r="F60" i="79"/>
  <c r="F56" i="79"/>
  <c r="F55" i="79"/>
  <c r="F51" i="79"/>
  <c r="F50" i="79"/>
  <c r="F44" i="79"/>
  <c r="F43" i="79"/>
  <c r="F39" i="79"/>
  <c r="F38" i="79"/>
  <c r="F34" i="79"/>
  <c r="F33" i="79"/>
  <c r="F29" i="79"/>
  <c r="F28" i="79"/>
  <c r="F24" i="79"/>
  <c r="F23" i="79"/>
  <c r="F19" i="79"/>
  <c r="F18" i="79"/>
  <c r="F14" i="79"/>
  <c r="F13" i="79"/>
  <c r="F9" i="79"/>
  <c r="F8" i="79"/>
  <c r="F4" i="79"/>
  <c r="F3" i="79"/>
  <c r="E1203" i="79"/>
  <c r="Q72" i="84"/>
  <c r="Q59" i="84"/>
  <c r="K59" i="84"/>
  <c r="P74" i="84"/>
  <c r="F59" i="84"/>
  <c r="Q58" i="84"/>
  <c r="Q51" i="84"/>
  <c r="J50" i="84"/>
  <c r="J51" i="84"/>
  <c r="M47" i="84"/>
  <c r="D46" i="84"/>
  <c r="F34" i="84"/>
  <c r="F62" i="84"/>
  <c r="F33" i="84"/>
  <c r="F61" i="84"/>
  <c r="F32" i="84"/>
  <c r="F60" i="84"/>
  <c r="F31" i="84"/>
  <c r="F28" i="84"/>
  <c r="C28" i="84"/>
  <c r="F23" i="84"/>
  <c r="D23" i="84"/>
  <c r="F21" i="84"/>
  <c r="M20" i="84"/>
  <c r="F20" i="84"/>
  <c r="M19" i="84"/>
  <c r="M18" i="84"/>
  <c r="F18" i="84"/>
  <c r="M17" i="84"/>
  <c r="F17" i="84"/>
  <c r="F15" i="84"/>
  <c r="G1" i="84"/>
  <c r="Q72" i="83"/>
  <c r="Q59" i="83"/>
  <c r="K59" i="83"/>
  <c r="P74" i="83"/>
  <c r="F59" i="83"/>
  <c r="Q58" i="83"/>
  <c r="Q51" i="83"/>
  <c r="J50" i="83"/>
  <c r="J51" i="83"/>
  <c r="M47" i="83"/>
  <c r="D46" i="83"/>
  <c r="F34" i="83"/>
  <c r="F62" i="83"/>
  <c r="F33" i="83"/>
  <c r="F61" i="83"/>
  <c r="F32" i="83"/>
  <c r="F60" i="83"/>
  <c r="F31" i="83"/>
  <c r="F28" i="83"/>
  <c r="C28" i="83"/>
  <c r="F23" i="83"/>
  <c r="D24" i="83"/>
  <c r="F21" i="83"/>
  <c r="M20" i="83"/>
  <c r="F20" i="83"/>
  <c r="M19" i="83"/>
  <c r="M18" i="83"/>
  <c r="F18" i="83"/>
  <c r="M17" i="83"/>
  <c r="F17" i="83"/>
  <c r="F15" i="83"/>
  <c r="G1" i="83"/>
  <c r="C76" i="85"/>
  <c r="C76" i="84"/>
  <c r="C76" i="83"/>
  <c r="Q71" i="85"/>
  <c r="P61" i="85"/>
  <c r="D22" i="85"/>
  <c r="D23" i="85"/>
  <c r="Q71" i="84"/>
  <c r="D24" i="84"/>
  <c r="P61" i="84"/>
  <c r="D22" i="84"/>
  <c r="Q71" i="83"/>
  <c r="P61" i="83"/>
  <c r="D22" i="83"/>
  <c r="D23" i="83"/>
  <c r="M28" i="85"/>
  <c r="F6" i="85"/>
  <c r="F43" i="85"/>
  <c r="M29" i="85"/>
  <c r="M6" i="85"/>
  <c r="F7" i="85"/>
  <c r="F42" i="85"/>
  <c r="M8" i="85"/>
  <c r="M9" i="85"/>
  <c r="M23" i="85"/>
  <c r="F37" i="85"/>
  <c r="F36" i="85"/>
  <c r="F9" i="85"/>
  <c r="L47" i="85"/>
  <c r="F13" i="85"/>
  <c r="M10" i="1"/>
  <c r="BQ5" i="3"/>
  <c r="F28" i="6"/>
  <c r="BR5" i="3"/>
  <c r="G28" i="6"/>
  <c r="E28" i="6"/>
  <c r="K23" i="6"/>
  <c r="S10" i="1"/>
  <c r="T10" i="1"/>
  <c r="C14" i="85"/>
  <c r="F26" i="85"/>
  <c r="F8" i="85"/>
  <c r="M24" i="85"/>
  <c r="L48" i="85"/>
  <c r="F38" i="85"/>
  <c r="M22" i="85"/>
  <c r="F16" i="85"/>
  <c r="J15" i="85"/>
  <c r="M27" i="85"/>
  <c r="F40" i="85"/>
  <c r="M26" i="85"/>
  <c r="J15" i="84"/>
  <c r="M27" i="84"/>
  <c r="M26" i="84"/>
  <c r="M23" i="84"/>
  <c r="M24" i="84"/>
  <c r="M22" i="84"/>
  <c r="M28" i="84"/>
  <c r="L47" i="84"/>
  <c r="M26" i="83"/>
  <c r="M23" i="83"/>
  <c r="L47" i="83"/>
  <c r="M24" i="83"/>
  <c r="J15" i="83"/>
  <c r="M27" i="83"/>
  <c r="M22" i="83"/>
  <c r="M28" i="83"/>
  <c r="F68" i="85"/>
  <c r="F66" i="85"/>
  <c r="L57" i="85"/>
  <c r="L56" i="85"/>
  <c r="J60" i="85"/>
  <c r="Q48" i="85"/>
  <c r="L60" i="85"/>
  <c r="J59" i="85"/>
  <c r="J53" i="85"/>
  <c r="I54" i="85"/>
  <c r="J57" i="85"/>
  <c r="J55" i="85"/>
  <c r="J58" i="85"/>
  <c r="Q50" i="85"/>
  <c r="F51" i="85"/>
  <c r="C27" i="85"/>
  <c r="C15" i="85"/>
  <c r="C18" i="85"/>
  <c r="N59" i="85"/>
  <c r="L58" i="85"/>
  <c r="M59" i="85"/>
  <c r="L59" i="85"/>
  <c r="F64" i="85"/>
  <c r="F65" i="85"/>
  <c r="F50" i="85"/>
  <c r="M7" i="85"/>
  <c r="J6" i="85"/>
  <c r="F71" i="85"/>
  <c r="C6" i="85"/>
  <c r="I54" i="84"/>
  <c r="N59" i="84"/>
  <c r="L58" i="84"/>
  <c r="M59" i="84"/>
  <c r="L59" i="84"/>
  <c r="F68" i="84"/>
  <c r="F51" i="84"/>
  <c r="F64" i="84"/>
  <c r="L56" i="84"/>
  <c r="L60" i="84"/>
  <c r="J57" i="84"/>
  <c r="J55" i="84"/>
  <c r="J58" i="84"/>
  <c r="Q50" i="84"/>
  <c r="Q48" i="84"/>
  <c r="J59" i="84"/>
  <c r="F65" i="84"/>
  <c r="F66" i="84"/>
  <c r="I54" i="83"/>
  <c r="F66" i="83"/>
  <c r="F68" i="83"/>
  <c r="F64" i="83"/>
  <c r="J57" i="83"/>
  <c r="J55" i="83"/>
  <c r="J58" i="83"/>
  <c r="Q50" i="83"/>
  <c r="Q48" i="83"/>
  <c r="L60" i="83"/>
  <c r="J59" i="83"/>
  <c r="F51" i="83"/>
  <c r="N59" i="83"/>
  <c r="L58" i="83"/>
  <c r="M59" i="83"/>
  <c r="L59" i="83"/>
  <c r="F65" i="83"/>
  <c r="V20" i="1"/>
  <c r="U19" i="1"/>
  <c r="U21" i="1"/>
  <c r="V21" i="1"/>
  <c r="U20" i="1"/>
  <c r="I7" i="6"/>
  <c r="O98" i="78"/>
  <c r="N6" i="1"/>
  <c r="N7" i="1"/>
  <c r="N8" i="1"/>
  <c r="N9" i="1"/>
  <c r="N10" i="1"/>
  <c r="N11" i="1"/>
  <c r="N12" i="1"/>
  <c r="N13" i="1"/>
  <c r="N14" i="1"/>
  <c r="O90" i="78"/>
  <c r="O91" i="78"/>
  <c r="O92" i="78"/>
  <c r="O93" i="78"/>
  <c r="O94" i="78"/>
  <c r="O95" i="78"/>
  <c r="O96" i="78"/>
  <c r="O89" i="78"/>
  <c r="P90" i="78"/>
  <c r="P91" i="78"/>
  <c r="P92" i="78"/>
  <c r="P93" i="78"/>
  <c r="P94" i="78"/>
  <c r="P95" i="78"/>
  <c r="P96" i="78"/>
  <c r="P89" i="78"/>
  <c r="P101" i="78"/>
  <c r="E120" i="77"/>
  <c r="G120" i="77"/>
  <c r="N120" i="77"/>
  <c r="B104" i="78"/>
  <c r="B105" i="78"/>
  <c r="M97" i="78"/>
  <c r="M90" i="78"/>
  <c r="M3" i="78"/>
  <c r="C98" i="78"/>
  <c r="L14" i="1"/>
  <c r="L13" i="1"/>
  <c r="L12" i="1"/>
  <c r="L11" i="1"/>
  <c r="L8" i="1"/>
  <c r="L7" i="1"/>
  <c r="C16" i="85"/>
  <c r="C17" i="85"/>
  <c r="L46" i="85"/>
  <c r="C19" i="85"/>
  <c r="J18" i="85"/>
  <c r="C32" i="85"/>
  <c r="C33" i="85"/>
  <c r="Q61" i="85"/>
  <c r="Q74" i="85"/>
  <c r="Q73" i="85"/>
  <c r="Q60" i="85"/>
  <c r="F1" i="85"/>
  <c r="Q52" i="85"/>
  <c r="Q66" i="85"/>
  <c r="Q57" i="85"/>
  <c r="C49" i="85"/>
  <c r="Q52" i="84"/>
  <c r="Q61" i="84"/>
  <c r="Q74" i="84"/>
  <c r="Q66" i="84"/>
  <c r="Q57" i="84"/>
  <c r="Q73" i="84"/>
  <c r="Q60" i="84"/>
  <c r="Q73" i="83"/>
  <c r="Q60" i="83"/>
  <c r="Q52" i="83"/>
  <c r="Q66" i="83"/>
  <c r="Q57" i="83"/>
  <c r="Q61" i="83"/>
  <c r="Q74" i="83"/>
  <c r="L56" i="83"/>
  <c r="C20" i="85"/>
  <c r="C26" i="85"/>
  <c r="J124" i="77"/>
  <c r="G25" i="6"/>
  <c r="G23" i="6"/>
  <c r="G22" i="6"/>
  <c r="F19" i="6"/>
  <c r="I118" i="78"/>
  <c r="AH13" i="3"/>
  <c r="J100" i="77"/>
  <c r="I96" i="77"/>
  <c r="U13" i="3"/>
  <c r="D1202" i="79"/>
  <c r="H676" i="82"/>
  <c r="F843" i="82"/>
  <c r="E842" i="82"/>
  <c r="D842" i="82"/>
  <c r="B842" i="82"/>
  <c r="K841" i="82"/>
  <c r="L841" i="82"/>
  <c r="G841" i="82"/>
  <c r="G840" i="82"/>
  <c r="G839" i="82"/>
  <c r="G838" i="82"/>
  <c r="G837" i="82"/>
  <c r="G836" i="82"/>
  <c r="K835" i="82"/>
  <c r="L835" i="82"/>
  <c r="G835" i="82"/>
  <c r="L834" i="82"/>
  <c r="G834" i="82"/>
  <c r="K834" i="82"/>
  <c r="L833" i="82"/>
  <c r="K833" i="82"/>
  <c r="G833" i="82"/>
  <c r="K832" i="82"/>
  <c r="L832" i="82"/>
  <c r="G832" i="82"/>
  <c r="K831" i="82"/>
  <c r="L831" i="82"/>
  <c r="G831" i="82"/>
  <c r="L830" i="82"/>
  <c r="G830" i="82"/>
  <c r="K830" i="82"/>
  <c r="G829" i="82"/>
  <c r="G828" i="82"/>
  <c r="H822" i="82"/>
  <c r="G827" i="82"/>
  <c r="G826" i="82"/>
  <c r="K825" i="82"/>
  <c r="L825" i="82"/>
  <c r="G825" i="82"/>
  <c r="L824" i="82"/>
  <c r="G824" i="82"/>
  <c r="K824" i="82"/>
  <c r="L823" i="82"/>
  <c r="K823" i="82"/>
  <c r="G823" i="82"/>
  <c r="K822" i="82"/>
  <c r="L822" i="82"/>
  <c r="G822" i="82"/>
  <c r="G821" i="82"/>
  <c r="G820" i="82"/>
  <c r="G819" i="82"/>
  <c r="G818" i="82"/>
  <c r="K817" i="82"/>
  <c r="L817" i="82"/>
  <c r="G817" i="82"/>
  <c r="G816" i="82"/>
  <c r="K816" i="82"/>
  <c r="L816" i="82"/>
  <c r="G815" i="82"/>
  <c r="K815" i="82"/>
  <c r="L815" i="82"/>
  <c r="H814" i="82"/>
  <c r="G814" i="82"/>
  <c r="K814" i="82"/>
  <c r="L814" i="82"/>
  <c r="G813" i="82"/>
  <c r="G812" i="82"/>
  <c r="G811" i="82"/>
  <c r="G810" i="82"/>
  <c r="G809" i="82"/>
  <c r="G808" i="82"/>
  <c r="G807" i="82"/>
  <c r="K807" i="82"/>
  <c r="L807" i="82"/>
  <c r="G806" i="82"/>
  <c r="K806" i="82"/>
  <c r="L806" i="82"/>
  <c r="K805" i="82"/>
  <c r="L805" i="82"/>
  <c r="G805" i="82"/>
  <c r="G804" i="82"/>
  <c r="K804" i="82"/>
  <c r="L804" i="82"/>
  <c r="G803" i="82"/>
  <c r="H802" i="82"/>
  <c r="G802" i="82"/>
  <c r="K802" i="82"/>
  <c r="L802" i="82"/>
  <c r="L801" i="82"/>
  <c r="J801" i="82"/>
  <c r="J813" i="82"/>
  <c r="G801" i="82"/>
  <c r="K801" i="82"/>
  <c r="G800" i="82"/>
  <c r="G799" i="82"/>
  <c r="G798" i="82"/>
  <c r="G797" i="82"/>
  <c r="G796" i="82"/>
  <c r="G795" i="82"/>
  <c r="K795" i="82"/>
  <c r="L795" i="82"/>
  <c r="G794" i="82"/>
  <c r="K794" i="82"/>
  <c r="L794" i="82"/>
  <c r="K793" i="82"/>
  <c r="L793" i="82"/>
  <c r="G793" i="82"/>
  <c r="G792" i="82"/>
  <c r="K792" i="82"/>
  <c r="L792" i="82"/>
  <c r="G791" i="82"/>
  <c r="K791" i="82"/>
  <c r="L791" i="82"/>
  <c r="H790" i="82"/>
  <c r="G790" i="82"/>
  <c r="K790" i="82"/>
  <c r="L790" i="82"/>
  <c r="G789" i="82"/>
  <c r="G788" i="82"/>
  <c r="G787" i="82"/>
  <c r="G786" i="82"/>
  <c r="G785" i="82"/>
  <c r="K785" i="82"/>
  <c r="L785" i="82"/>
  <c r="G784" i="82"/>
  <c r="K784" i="82"/>
  <c r="L784" i="82"/>
  <c r="K783" i="82"/>
  <c r="L783" i="82"/>
  <c r="G783" i="82"/>
  <c r="L782" i="82"/>
  <c r="K782" i="82"/>
  <c r="H782" i="82"/>
  <c r="G782" i="82"/>
  <c r="G781" i="82"/>
  <c r="K781" i="82"/>
  <c r="L781" i="82"/>
  <c r="G780" i="82"/>
  <c r="G779" i="82"/>
  <c r="G778" i="82"/>
  <c r="G777" i="82"/>
  <c r="G776" i="82"/>
  <c r="K775" i="82"/>
  <c r="L775" i="82"/>
  <c r="G775" i="82"/>
  <c r="K774" i="82"/>
  <c r="L774" i="82"/>
  <c r="G774" i="82"/>
  <c r="L773" i="82"/>
  <c r="G773" i="82"/>
  <c r="K773" i="82"/>
  <c r="L772" i="82"/>
  <c r="K772" i="82"/>
  <c r="G772" i="82"/>
  <c r="K771" i="82"/>
  <c r="L771" i="82"/>
  <c r="G771" i="82"/>
  <c r="G770" i="82"/>
  <c r="H770" i="82"/>
  <c r="G769" i="82"/>
  <c r="G768" i="82"/>
  <c r="G767" i="82"/>
  <c r="G766" i="82"/>
  <c r="L765" i="82"/>
  <c r="G765" i="82"/>
  <c r="K765" i="82"/>
  <c r="G764" i="82"/>
  <c r="K764" i="82"/>
  <c r="L764" i="82"/>
  <c r="G763" i="82"/>
  <c r="K763" i="82"/>
  <c r="L763" i="82"/>
  <c r="K762" i="82"/>
  <c r="L762" i="82"/>
  <c r="G762" i="82"/>
  <c r="G761" i="82"/>
  <c r="G760" i="82"/>
  <c r="G759" i="82"/>
  <c r="G758" i="82"/>
  <c r="G757" i="82"/>
  <c r="K757" i="82"/>
  <c r="L757" i="82"/>
  <c r="K756" i="82"/>
  <c r="L756" i="82"/>
  <c r="G756" i="82"/>
  <c r="G755" i="82"/>
  <c r="K755" i="82"/>
  <c r="L755" i="82"/>
  <c r="G754" i="82"/>
  <c r="K754" i="82"/>
  <c r="L754" i="82"/>
  <c r="J753" i="82"/>
  <c r="G753" i="82"/>
  <c r="K753" i="82"/>
  <c r="G752" i="82"/>
  <c r="G751" i="82"/>
  <c r="G750" i="82"/>
  <c r="G749" i="82"/>
  <c r="G748" i="82"/>
  <c r="K747" i="82"/>
  <c r="L747" i="82"/>
  <c r="G747" i="82"/>
  <c r="K746" i="82"/>
  <c r="L746" i="82"/>
  <c r="G746" i="82"/>
  <c r="L745" i="82"/>
  <c r="G745" i="82"/>
  <c r="K745" i="82"/>
  <c r="L744" i="82"/>
  <c r="K744" i="82"/>
  <c r="G744" i="82"/>
  <c r="K743" i="82"/>
  <c r="L743" i="82"/>
  <c r="G743" i="82"/>
  <c r="G742" i="82"/>
  <c r="H742" i="82"/>
  <c r="G741" i="82"/>
  <c r="G740" i="82"/>
  <c r="G739" i="82"/>
  <c r="J738" i="82"/>
  <c r="J741" i="82"/>
  <c r="G738" i="82"/>
  <c r="L737" i="82"/>
  <c r="G737" i="82"/>
  <c r="K737" i="82"/>
  <c r="G736" i="82"/>
  <c r="K736" i="82"/>
  <c r="L736" i="82"/>
  <c r="G735" i="82"/>
  <c r="K735" i="82"/>
  <c r="L735" i="82"/>
  <c r="K734" i="82"/>
  <c r="L734" i="82"/>
  <c r="G734" i="82"/>
  <c r="L733" i="82"/>
  <c r="J733" i="82"/>
  <c r="G733" i="82"/>
  <c r="K733" i="82"/>
  <c r="G732" i="82"/>
  <c r="G731" i="82"/>
  <c r="G730" i="82"/>
  <c r="G729" i="82"/>
  <c r="G728" i="82"/>
  <c r="L727" i="82"/>
  <c r="G727" i="82"/>
  <c r="K727" i="82"/>
  <c r="K726" i="82"/>
  <c r="L726" i="82"/>
  <c r="G726" i="82"/>
  <c r="L725" i="82"/>
  <c r="G725" i="82"/>
  <c r="K725" i="82"/>
  <c r="K724" i="82"/>
  <c r="L724" i="82"/>
  <c r="G724" i="82"/>
  <c r="L723" i="82"/>
  <c r="G723" i="82"/>
  <c r="K723" i="82"/>
  <c r="K722" i="82"/>
  <c r="L722" i="82"/>
  <c r="G722" i="82"/>
  <c r="K721" i="82"/>
  <c r="L721" i="82"/>
  <c r="G721" i="82"/>
  <c r="G720" i="82"/>
  <c r="G719" i="82"/>
  <c r="G718" i="82"/>
  <c r="G717" i="82"/>
  <c r="G716" i="82"/>
  <c r="K715" i="82"/>
  <c r="L715" i="82"/>
  <c r="G715" i="82"/>
  <c r="G714" i="82"/>
  <c r="K714" i="82"/>
  <c r="L714" i="82"/>
  <c r="K713" i="82"/>
  <c r="L713" i="82"/>
  <c r="G713" i="82"/>
  <c r="G712" i="82"/>
  <c r="K712" i="82"/>
  <c r="L712" i="82"/>
  <c r="K711" i="82"/>
  <c r="L711" i="82"/>
  <c r="G711" i="82"/>
  <c r="L710" i="82"/>
  <c r="K710" i="82"/>
  <c r="G710" i="82"/>
  <c r="J709" i="82"/>
  <c r="K709" i="82"/>
  <c r="G709" i="82"/>
  <c r="G708" i="82"/>
  <c r="J707" i="82"/>
  <c r="K707" i="82"/>
  <c r="G707" i="82"/>
  <c r="G706" i="82"/>
  <c r="K706" i="82"/>
  <c r="K705" i="82"/>
  <c r="L705" i="82"/>
  <c r="G705" i="82"/>
  <c r="G704" i="82"/>
  <c r="K704" i="82"/>
  <c r="L704" i="82"/>
  <c r="K703" i="82"/>
  <c r="L703" i="82"/>
  <c r="G703" i="82"/>
  <c r="H702" i="82"/>
  <c r="G702" i="82"/>
  <c r="K702" i="82"/>
  <c r="L702" i="82"/>
  <c r="J701" i="82"/>
  <c r="G701" i="82"/>
  <c r="K701" i="82"/>
  <c r="L701" i="82"/>
  <c r="J700" i="82"/>
  <c r="G700" i="82"/>
  <c r="L699" i="82"/>
  <c r="J699" i="82"/>
  <c r="M698" i="82"/>
  <c r="G699" i="82"/>
  <c r="K699" i="82"/>
  <c r="K698" i="82"/>
  <c r="J698" i="82"/>
  <c r="J706" i="82"/>
  <c r="G698" i="82"/>
  <c r="K697" i="82"/>
  <c r="L697" i="82"/>
  <c r="G697" i="82"/>
  <c r="G696" i="82"/>
  <c r="K696" i="82"/>
  <c r="L696" i="82"/>
  <c r="K695" i="82"/>
  <c r="L695" i="82"/>
  <c r="G695" i="82"/>
  <c r="L694" i="82"/>
  <c r="K694" i="82"/>
  <c r="H694" i="82"/>
  <c r="G694" i="82"/>
  <c r="G693" i="82"/>
  <c r="K693" i="82"/>
  <c r="L693" i="82"/>
  <c r="G692" i="82"/>
  <c r="G691" i="82"/>
  <c r="G690" i="82"/>
  <c r="G689" i="82"/>
  <c r="G688" i="82"/>
  <c r="K687" i="82"/>
  <c r="L687" i="82"/>
  <c r="G687" i="82"/>
  <c r="G686" i="82"/>
  <c r="K686" i="82"/>
  <c r="L686" i="82"/>
  <c r="K685" i="82"/>
  <c r="L685" i="82"/>
  <c r="G685" i="82"/>
  <c r="G684" i="82"/>
  <c r="H682" i="82"/>
  <c r="K683" i="82"/>
  <c r="L683" i="82"/>
  <c r="G683" i="82"/>
  <c r="L682" i="82"/>
  <c r="K682" i="82"/>
  <c r="G682" i="82"/>
  <c r="G681" i="82"/>
  <c r="J680" i="82"/>
  <c r="K680" i="82"/>
  <c r="L680" i="82"/>
  <c r="G680" i="82"/>
  <c r="J679" i="82"/>
  <c r="G679" i="82"/>
  <c r="K679" i="82"/>
  <c r="K678" i="82"/>
  <c r="L678" i="82"/>
  <c r="G678" i="82"/>
  <c r="G677" i="82"/>
  <c r="K677" i="82"/>
  <c r="L677" i="82"/>
  <c r="K676" i="82"/>
  <c r="L676" i="82"/>
  <c r="G676" i="82"/>
  <c r="G675" i="82"/>
  <c r="G674" i="82"/>
  <c r="G673" i="82"/>
  <c r="G672" i="82"/>
  <c r="G671" i="82"/>
  <c r="K671" i="82"/>
  <c r="L671" i="82"/>
  <c r="K670" i="82"/>
  <c r="L670" i="82"/>
  <c r="G670" i="82"/>
  <c r="G669" i="82"/>
  <c r="K669" i="82"/>
  <c r="L669" i="82"/>
  <c r="G668" i="82"/>
  <c r="K668" i="82"/>
  <c r="L668" i="82"/>
  <c r="G667" i="82"/>
  <c r="G666" i="82"/>
  <c r="G665" i="82"/>
  <c r="J664" i="82"/>
  <c r="G664" i="82"/>
  <c r="G663" i="82"/>
  <c r="K663" i="82"/>
  <c r="L663" i="82"/>
  <c r="K662" i="82"/>
  <c r="L662" i="82"/>
  <c r="G662" i="82"/>
  <c r="G661" i="82"/>
  <c r="K661" i="82"/>
  <c r="L661" i="82"/>
  <c r="K660" i="82"/>
  <c r="L660" i="82"/>
  <c r="G660" i="82"/>
  <c r="H660" i="82"/>
  <c r="K659" i="82"/>
  <c r="L659" i="82"/>
  <c r="G659" i="82"/>
  <c r="G658" i="82"/>
  <c r="G657" i="82"/>
  <c r="G656" i="82"/>
  <c r="G655" i="82"/>
  <c r="G654" i="82"/>
  <c r="G653" i="82"/>
  <c r="G652" i="82"/>
  <c r="K651" i="82"/>
  <c r="L651" i="82"/>
  <c r="G651" i="82"/>
  <c r="G650" i="82"/>
  <c r="K650" i="82"/>
  <c r="L650" i="82"/>
  <c r="K649" i="82"/>
  <c r="L649" i="82"/>
  <c r="G649" i="82"/>
  <c r="G648" i="82"/>
  <c r="K648" i="82"/>
  <c r="L648" i="82"/>
  <c r="K647" i="82"/>
  <c r="L647" i="82"/>
  <c r="G647" i="82"/>
  <c r="G646" i="82"/>
  <c r="H644" i="82"/>
  <c r="K645" i="82"/>
  <c r="L645" i="82"/>
  <c r="G645" i="82"/>
  <c r="L644" i="82"/>
  <c r="K644" i="82"/>
  <c r="G644" i="82"/>
  <c r="G643" i="82"/>
  <c r="K643" i="82"/>
  <c r="L643" i="82"/>
  <c r="G642" i="82"/>
  <c r="G641" i="82"/>
  <c r="G640" i="82"/>
  <c r="G639" i="82"/>
  <c r="G638" i="82"/>
  <c r="G637" i="82"/>
  <c r="K637" i="82"/>
  <c r="L637" i="82"/>
  <c r="K636" i="82"/>
  <c r="L636" i="82"/>
  <c r="G636" i="82"/>
  <c r="G635" i="82"/>
  <c r="K635" i="82"/>
  <c r="L635" i="82"/>
  <c r="K634" i="82"/>
  <c r="L634" i="82"/>
  <c r="G634" i="82"/>
  <c r="G633" i="82"/>
  <c r="K633" i="82"/>
  <c r="L633" i="82"/>
  <c r="K632" i="82"/>
  <c r="L632" i="82"/>
  <c r="G632" i="82"/>
  <c r="H632" i="82"/>
  <c r="G631" i="82"/>
  <c r="G630" i="82"/>
  <c r="J629" i="82"/>
  <c r="G629" i="82"/>
  <c r="G628" i="82"/>
  <c r="K628" i="82"/>
  <c r="L628" i="82"/>
  <c r="K627" i="82"/>
  <c r="L627" i="82"/>
  <c r="G627" i="82"/>
  <c r="H626" i="82"/>
  <c r="G626" i="82"/>
  <c r="K626" i="82"/>
  <c r="L626" i="82"/>
  <c r="G625" i="82"/>
  <c r="J624" i="82"/>
  <c r="L624" i="82"/>
  <c r="G624" i="82"/>
  <c r="K624" i="82"/>
  <c r="J623" i="82"/>
  <c r="J625" i="82"/>
  <c r="G623" i="82"/>
  <c r="K623" i="82"/>
  <c r="K622" i="82"/>
  <c r="J622" i="82"/>
  <c r="L622" i="82"/>
  <c r="G622" i="82"/>
  <c r="K621" i="82"/>
  <c r="L621" i="82"/>
  <c r="G621" i="82"/>
  <c r="G620" i="82"/>
  <c r="H618" i="82"/>
  <c r="K619" i="82"/>
  <c r="L619" i="82"/>
  <c r="G619" i="82"/>
  <c r="L618" i="82"/>
  <c r="K618" i="82"/>
  <c r="G618" i="82"/>
  <c r="G617" i="82"/>
  <c r="K617" i="82"/>
  <c r="L617" i="82"/>
  <c r="G616" i="82"/>
  <c r="G615" i="82"/>
  <c r="G614" i="82"/>
  <c r="G613" i="82"/>
  <c r="G612" i="82"/>
  <c r="G611" i="82"/>
  <c r="G610" i="82"/>
  <c r="G609" i="82"/>
  <c r="K609" i="82"/>
  <c r="L609" i="82"/>
  <c r="K608" i="82"/>
  <c r="L608" i="82"/>
  <c r="G608" i="82"/>
  <c r="G607" i="82"/>
  <c r="K607" i="82"/>
  <c r="L607" i="82"/>
  <c r="K606" i="82"/>
  <c r="L606" i="82"/>
  <c r="G606" i="82"/>
  <c r="G605" i="82"/>
  <c r="K605" i="82"/>
  <c r="L605" i="82"/>
  <c r="K604" i="82"/>
  <c r="L604" i="82"/>
  <c r="G604" i="82"/>
  <c r="G603" i="82"/>
  <c r="K603" i="82"/>
  <c r="L603" i="82"/>
  <c r="G602" i="82"/>
  <c r="K601" i="82"/>
  <c r="L601" i="82"/>
  <c r="J601" i="82"/>
  <c r="G601" i="82"/>
  <c r="G600" i="82"/>
  <c r="G599" i="82"/>
  <c r="G598" i="82"/>
  <c r="G597" i="82"/>
  <c r="G596" i="82"/>
  <c r="G595" i="82"/>
  <c r="K595" i="82"/>
  <c r="L595" i="82"/>
  <c r="K594" i="82"/>
  <c r="L594" i="82"/>
  <c r="G594" i="82"/>
  <c r="G593" i="82"/>
  <c r="K593" i="82"/>
  <c r="L593" i="82"/>
  <c r="K592" i="82"/>
  <c r="L592" i="82"/>
  <c r="G592" i="82"/>
  <c r="G591" i="82"/>
  <c r="K591" i="82"/>
  <c r="L591" i="82"/>
  <c r="G590" i="82"/>
  <c r="K590" i="82"/>
  <c r="L590" i="82"/>
  <c r="K589" i="82"/>
  <c r="L589" i="82"/>
  <c r="G589" i="82"/>
  <c r="G588" i="82"/>
  <c r="G587" i="82"/>
  <c r="G586" i="82"/>
  <c r="G585" i="82"/>
  <c r="G584" i="82"/>
  <c r="K583" i="82"/>
  <c r="L583" i="82"/>
  <c r="G583" i="82"/>
  <c r="L582" i="82"/>
  <c r="G582" i="82"/>
  <c r="K582" i="82"/>
  <c r="K581" i="82"/>
  <c r="L581" i="82"/>
  <c r="G581" i="82"/>
  <c r="L580" i="82"/>
  <c r="G580" i="82"/>
  <c r="K580" i="82"/>
  <c r="K579" i="82"/>
  <c r="L579" i="82"/>
  <c r="G579" i="82"/>
  <c r="L578" i="82"/>
  <c r="K578" i="82"/>
  <c r="H578" i="82"/>
  <c r="G578" i="82"/>
  <c r="L577" i="82"/>
  <c r="J577" i="82"/>
  <c r="K577" i="82"/>
  <c r="G577" i="82"/>
  <c r="G576" i="82"/>
  <c r="G575" i="82"/>
  <c r="G574" i="82"/>
  <c r="G573" i="82"/>
  <c r="G572" i="82"/>
  <c r="G571" i="82"/>
  <c r="G570" i="82"/>
  <c r="K569" i="82"/>
  <c r="L569" i="82"/>
  <c r="G569" i="82"/>
  <c r="L568" i="82"/>
  <c r="G568" i="82"/>
  <c r="K568" i="82"/>
  <c r="K567" i="82"/>
  <c r="L567" i="82"/>
  <c r="G567" i="82"/>
  <c r="L566" i="82"/>
  <c r="G566" i="82"/>
  <c r="K566" i="82"/>
  <c r="K565" i="82"/>
  <c r="L565" i="82"/>
  <c r="G565" i="82"/>
  <c r="L564" i="82"/>
  <c r="G564" i="82"/>
  <c r="K564" i="82"/>
  <c r="K563" i="82"/>
  <c r="L563" i="82"/>
  <c r="G563" i="82"/>
  <c r="H562" i="82"/>
  <c r="G562" i="82"/>
  <c r="K562" i="82"/>
  <c r="L562" i="82"/>
  <c r="G561" i="82"/>
  <c r="K561" i="82"/>
  <c r="L561" i="82"/>
  <c r="G560" i="82"/>
  <c r="G559" i="82"/>
  <c r="G558" i="82"/>
  <c r="G557" i="82"/>
  <c r="G556" i="82"/>
  <c r="G555" i="82"/>
  <c r="G554" i="82"/>
  <c r="L553" i="82"/>
  <c r="G553" i="82"/>
  <c r="K553" i="82"/>
  <c r="K552" i="82"/>
  <c r="L552" i="82"/>
  <c r="G552" i="82"/>
  <c r="L551" i="82"/>
  <c r="G551" i="82"/>
  <c r="K551" i="82"/>
  <c r="K550" i="82"/>
  <c r="L550" i="82"/>
  <c r="G550" i="82"/>
  <c r="L549" i="82"/>
  <c r="G549" i="82"/>
  <c r="K549" i="82"/>
  <c r="K548" i="82"/>
  <c r="L548" i="82"/>
  <c r="G548" i="82"/>
  <c r="L547" i="82"/>
  <c r="G547" i="82"/>
  <c r="K547" i="82"/>
  <c r="K546" i="82"/>
  <c r="L546" i="82"/>
  <c r="G546" i="82"/>
  <c r="G545" i="82"/>
  <c r="G544" i="82"/>
  <c r="G543" i="82"/>
  <c r="K543" i="82"/>
  <c r="L543" i="82"/>
  <c r="G542" i="82"/>
  <c r="G541" i="82"/>
  <c r="J540" i="82"/>
  <c r="G540" i="82"/>
  <c r="L539" i="82"/>
  <c r="G539" i="82"/>
  <c r="K539" i="82"/>
  <c r="K538" i="82"/>
  <c r="L538" i="82"/>
  <c r="G538" i="82"/>
  <c r="K537" i="82"/>
  <c r="J537" i="82"/>
  <c r="G537" i="82"/>
  <c r="G536" i="82"/>
  <c r="G535" i="82"/>
  <c r="G534" i="82"/>
  <c r="G533" i="82"/>
  <c r="G532" i="82"/>
  <c r="G531" i="82"/>
  <c r="G530" i="82"/>
  <c r="L529" i="82"/>
  <c r="G529" i="82"/>
  <c r="K529" i="82"/>
  <c r="K528" i="82"/>
  <c r="L528" i="82"/>
  <c r="G528" i="82"/>
  <c r="L527" i="82"/>
  <c r="G527" i="82"/>
  <c r="K527" i="82"/>
  <c r="K526" i="82"/>
  <c r="L526" i="82"/>
  <c r="G526" i="82"/>
  <c r="L525" i="82"/>
  <c r="G525" i="82"/>
  <c r="K525" i="82"/>
  <c r="K524" i="82"/>
  <c r="L524" i="82"/>
  <c r="G524" i="82"/>
  <c r="L523" i="82"/>
  <c r="G523" i="82"/>
  <c r="K523" i="82"/>
  <c r="K522" i="82"/>
  <c r="L522" i="82"/>
  <c r="G522" i="82"/>
  <c r="K521" i="82"/>
  <c r="L521" i="82"/>
  <c r="G521" i="82"/>
  <c r="G520" i="82"/>
  <c r="G519" i="82"/>
  <c r="G518" i="82"/>
  <c r="G517" i="82"/>
  <c r="G516" i="82"/>
  <c r="G515" i="82"/>
  <c r="G514" i="82"/>
  <c r="K513" i="82"/>
  <c r="L513" i="82"/>
  <c r="G513" i="82"/>
  <c r="G512" i="82"/>
  <c r="K512" i="82"/>
  <c r="L512" i="82"/>
  <c r="K511" i="82"/>
  <c r="L511" i="82"/>
  <c r="G511" i="82"/>
  <c r="G510" i="82"/>
  <c r="K510" i="82"/>
  <c r="L510" i="82"/>
  <c r="K509" i="82"/>
  <c r="L509" i="82"/>
  <c r="G509" i="82"/>
  <c r="G508" i="82"/>
  <c r="K508" i="82"/>
  <c r="L508" i="82"/>
  <c r="K507" i="82"/>
  <c r="L507" i="82"/>
  <c r="G507" i="82"/>
  <c r="L506" i="82"/>
  <c r="H506" i="82"/>
  <c r="G506" i="82"/>
  <c r="K506" i="82"/>
  <c r="G505" i="82"/>
  <c r="G504" i="82"/>
  <c r="G503" i="82"/>
  <c r="G502" i="82"/>
  <c r="G501" i="82"/>
  <c r="G500" i="82"/>
  <c r="G499" i="82"/>
  <c r="K499" i="82"/>
  <c r="L499" i="82"/>
  <c r="G498" i="82"/>
  <c r="K498" i="82"/>
  <c r="L498" i="82"/>
  <c r="K497" i="82"/>
  <c r="L497" i="82"/>
  <c r="G497" i="82"/>
  <c r="G496" i="82"/>
  <c r="K496" i="82"/>
  <c r="L496" i="82"/>
  <c r="G495" i="82"/>
  <c r="H494" i="82"/>
  <c r="G494" i="82"/>
  <c r="K494" i="82"/>
  <c r="L494" i="82"/>
  <c r="G493" i="82"/>
  <c r="G492" i="82"/>
  <c r="G491" i="82"/>
  <c r="G490" i="82"/>
  <c r="G489" i="82"/>
  <c r="G488" i="82"/>
  <c r="G487" i="82"/>
  <c r="K487" i="82"/>
  <c r="L487" i="82"/>
  <c r="G486" i="82"/>
  <c r="K486" i="82"/>
  <c r="L486" i="82"/>
  <c r="K485" i="82"/>
  <c r="L485" i="82"/>
  <c r="G485" i="82"/>
  <c r="G484" i="82"/>
  <c r="K484" i="82"/>
  <c r="L484" i="82"/>
  <c r="G483" i="82"/>
  <c r="K483" i="82"/>
  <c r="L483" i="82"/>
  <c r="L482" i="82"/>
  <c r="H482" i="82"/>
  <c r="G482" i="82"/>
  <c r="K482" i="82"/>
  <c r="G481" i="82"/>
  <c r="J480" i="82"/>
  <c r="G480" i="82"/>
  <c r="G479" i="82"/>
  <c r="J478" i="82"/>
  <c r="G478" i="82"/>
  <c r="G477" i="82"/>
  <c r="J476" i="82"/>
  <c r="G476" i="82"/>
  <c r="G475" i="82"/>
  <c r="K474" i="82"/>
  <c r="J474" i="82"/>
  <c r="G474" i="82"/>
  <c r="G473" i="82"/>
  <c r="K473" i="82"/>
  <c r="L473" i="82"/>
  <c r="G472" i="82"/>
  <c r="K472" i="82"/>
  <c r="L472" i="82"/>
  <c r="K471" i="82"/>
  <c r="L471" i="82"/>
  <c r="G471" i="82"/>
  <c r="G470" i="82"/>
  <c r="K470" i="82"/>
  <c r="L470" i="82"/>
  <c r="K469" i="82"/>
  <c r="L469" i="82"/>
  <c r="G469" i="82"/>
  <c r="G468" i="82"/>
  <c r="K468" i="82"/>
  <c r="L468" i="82"/>
  <c r="K467" i="82"/>
  <c r="L467" i="82"/>
  <c r="G467" i="82"/>
  <c r="H466" i="82"/>
  <c r="G466" i="82"/>
  <c r="K466" i="82"/>
  <c r="L466" i="82"/>
  <c r="G465" i="82"/>
  <c r="G464" i="82"/>
  <c r="G463" i="82"/>
  <c r="G462" i="82"/>
  <c r="K461" i="82"/>
  <c r="L461" i="82"/>
  <c r="G461" i="82"/>
  <c r="G460" i="82"/>
  <c r="H458" i="82"/>
  <c r="K459" i="82"/>
  <c r="L459" i="82"/>
  <c r="G459" i="82"/>
  <c r="L458" i="82"/>
  <c r="K458" i="82"/>
  <c r="G458" i="82"/>
  <c r="G457" i="82"/>
  <c r="G456" i="82"/>
  <c r="G455" i="82"/>
  <c r="G454" i="82"/>
  <c r="G453" i="82"/>
  <c r="G452" i="82"/>
  <c r="K451" i="82"/>
  <c r="L451" i="82"/>
  <c r="G451" i="82"/>
  <c r="G450" i="82"/>
  <c r="K450" i="82"/>
  <c r="L450" i="82"/>
  <c r="K449" i="82"/>
  <c r="L449" i="82"/>
  <c r="G449" i="82"/>
  <c r="G448" i="82"/>
  <c r="H446" i="82"/>
  <c r="K447" i="82"/>
  <c r="L447" i="82"/>
  <c r="G447" i="82"/>
  <c r="L446" i="82"/>
  <c r="K446" i="82"/>
  <c r="G446" i="82"/>
  <c r="G445" i="82"/>
  <c r="J444" i="82"/>
  <c r="K444" i="82"/>
  <c r="L444" i="82"/>
  <c r="G444" i="82"/>
  <c r="J443" i="82"/>
  <c r="K443" i="82"/>
  <c r="L443" i="82"/>
  <c r="G443" i="82"/>
  <c r="J442" i="82"/>
  <c r="J462" i="82"/>
  <c r="G442" i="82"/>
  <c r="K442" i="82"/>
  <c r="L442" i="82"/>
  <c r="K441" i="82"/>
  <c r="L441" i="82"/>
  <c r="G441" i="82"/>
  <c r="G440" i="82"/>
  <c r="K440" i="82"/>
  <c r="L440" i="82"/>
  <c r="K439" i="82"/>
  <c r="L439" i="82"/>
  <c r="G439" i="82"/>
  <c r="H438" i="82"/>
  <c r="G438" i="82"/>
  <c r="K438" i="82"/>
  <c r="L438" i="82"/>
  <c r="J437" i="82"/>
  <c r="G437" i="82"/>
  <c r="K437" i="82"/>
  <c r="J436" i="82"/>
  <c r="G436" i="82"/>
  <c r="K436" i="82"/>
  <c r="J435" i="82"/>
  <c r="G435" i="82"/>
  <c r="K435" i="82"/>
  <c r="K434" i="82"/>
  <c r="J434" i="82"/>
  <c r="L434" i="82"/>
  <c r="G434" i="82"/>
  <c r="K433" i="82"/>
  <c r="L433" i="82"/>
  <c r="G433" i="82"/>
  <c r="G432" i="82"/>
  <c r="H430" i="82"/>
  <c r="K431" i="82"/>
  <c r="L431" i="82"/>
  <c r="G431" i="82"/>
  <c r="L430" i="82"/>
  <c r="K430" i="82"/>
  <c r="G430" i="82"/>
  <c r="G429" i="82"/>
  <c r="G428" i="82"/>
  <c r="G427" i="82"/>
  <c r="G426" i="82"/>
  <c r="G425" i="82"/>
  <c r="G424" i="82"/>
  <c r="K423" i="82"/>
  <c r="L423" i="82"/>
  <c r="G423" i="82"/>
  <c r="G422" i="82"/>
  <c r="K422" i="82"/>
  <c r="L422" i="82"/>
  <c r="K421" i="82"/>
  <c r="L421" i="82"/>
  <c r="G421" i="82"/>
  <c r="G420" i="82"/>
  <c r="H418" i="82"/>
  <c r="K419" i="82"/>
  <c r="L419" i="82"/>
  <c r="G419" i="82"/>
  <c r="L418" i="82"/>
  <c r="K418" i="82"/>
  <c r="G418" i="82"/>
  <c r="G417" i="82"/>
  <c r="G416" i="82"/>
  <c r="G415" i="82"/>
  <c r="G414" i="82"/>
  <c r="G413" i="82"/>
  <c r="G412" i="82"/>
  <c r="K411" i="82"/>
  <c r="L411" i="82"/>
  <c r="G411" i="82"/>
  <c r="G410" i="82"/>
  <c r="K410" i="82"/>
  <c r="L410" i="82"/>
  <c r="K409" i="82"/>
  <c r="L409" i="82"/>
  <c r="G409" i="82"/>
  <c r="G408" i="82"/>
  <c r="H406" i="82"/>
  <c r="K407" i="82"/>
  <c r="L407" i="82"/>
  <c r="G407" i="82"/>
  <c r="L406" i="82"/>
  <c r="K406" i="82"/>
  <c r="G406" i="82"/>
  <c r="G405" i="82"/>
  <c r="G404" i="82"/>
  <c r="G403" i="82"/>
  <c r="G402" i="82"/>
  <c r="G401" i="82"/>
  <c r="G400" i="82"/>
  <c r="K399" i="82"/>
  <c r="L399" i="82"/>
  <c r="G399" i="82"/>
  <c r="G398" i="82"/>
  <c r="K398" i="82"/>
  <c r="L398" i="82"/>
  <c r="K397" i="82"/>
  <c r="L397" i="82"/>
  <c r="G397" i="82"/>
  <c r="G396" i="82"/>
  <c r="K395" i="82"/>
  <c r="L395" i="82"/>
  <c r="G395" i="82"/>
  <c r="L394" i="82"/>
  <c r="K394" i="82"/>
  <c r="G394" i="82"/>
  <c r="G393" i="82"/>
  <c r="G392" i="82"/>
  <c r="G391" i="82"/>
  <c r="G390" i="82"/>
  <c r="G389" i="82"/>
  <c r="G388" i="82"/>
  <c r="K387" i="82"/>
  <c r="L387" i="82"/>
  <c r="G387" i="82"/>
  <c r="L386" i="82"/>
  <c r="G386" i="82"/>
  <c r="K386" i="82"/>
  <c r="K385" i="82"/>
  <c r="L385" i="82"/>
  <c r="G385" i="82"/>
  <c r="L384" i="82"/>
  <c r="G384" i="82"/>
  <c r="K384" i="82"/>
  <c r="K383" i="82"/>
  <c r="L383" i="82"/>
  <c r="G383" i="82"/>
  <c r="H382" i="82"/>
  <c r="G382" i="82"/>
  <c r="K382" i="82"/>
  <c r="L382" i="82"/>
  <c r="G381" i="82"/>
  <c r="G380" i="82"/>
  <c r="G379" i="82"/>
  <c r="G378" i="82"/>
  <c r="G377" i="82"/>
  <c r="G376" i="82"/>
  <c r="K375" i="82"/>
  <c r="L375" i="82"/>
  <c r="G375" i="82"/>
  <c r="G374" i="82"/>
  <c r="K374" i="82"/>
  <c r="L374" i="82"/>
  <c r="K373" i="82"/>
  <c r="L373" i="82"/>
  <c r="G373" i="82"/>
  <c r="G372" i="82"/>
  <c r="K372" i="82"/>
  <c r="L372" i="82"/>
  <c r="K371" i="82"/>
  <c r="L371" i="82"/>
  <c r="G371" i="82"/>
  <c r="H370" i="82"/>
  <c r="G370" i="82"/>
  <c r="K370" i="82"/>
  <c r="L370" i="82"/>
  <c r="G369" i="82"/>
  <c r="G368" i="82"/>
  <c r="G367" i="82"/>
  <c r="G366" i="82"/>
  <c r="G365" i="82"/>
  <c r="K364" i="82"/>
  <c r="L364" i="82"/>
  <c r="G364" i="82"/>
  <c r="G363" i="82"/>
  <c r="K363" i="82"/>
  <c r="L363" i="82"/>
  <c r="K362" i="82"/>
  <c r="L362" i="82"/>
  <c r="G362" i="82"/>
  <c r="G361" i="82"/>
  <c r="K361" i="82"/>
  <c r="L361" i="82"/>
  <c r="G360" i="82"/>
  <c r="G359" i="82"/>
  <c r="G358" i="82"/>
  <c r="G357" i="82"/>
  <c r="G356" i="82"/>
  <c r="G355" i="82"/>
  <c r="G354" i="82"/>
  <c r="L353" i="82"/>
  <c r="G353" i="82"/>
  <c r="K353" i="82"/>
  <c r="K352" i="82"/>
  <c r="L352" i="82"/>
  <c r="G352" i="82"/>
  <c r="L351" i="82"/>
  <c r="G351" i="82"/>
  <c r="K351" i="82"/>
  <c r="K350" i="82"/>
  <c r="L350" i="82"/>
  <c r="G350" i="82"/>
  <c r="L349" i="82"/>
  <c r="G349" i="82"/>
  <c r="K349" i="82"/>
  <c r="K348" i="82"/>
  <c r="L348" i="82"/>
  <c r="G348" i="82"/>
  <c r="G347" i="82"/>
  <c r="G346" i="82"/>
  <c r="G345" i="82"/>
  <c r="G344" i="82"/>
  <c r="G343" i="82"/>
  <c r="G342" i="82"/>
  <c r="G341" i="82"/>
  <c r="K341" i="82"/>
  <c r="L341" i="82"/>
  <c r="K340" i="82"/>
  <c r="L340" i="82"/>
  <c r="G340" i="82"/>
  <c r="G339" i="82"/>
  <c r="K339" i="82"/>
  <c r="L339" i="82"/>
  <c r="K338" i="82"/>
  <c r="L338" i="82"/>
  <c r="G338" i="82"/>
  <c r="G337" i="82"/>
  <c r="K337" i="82"/>
  <c r="L337" i="82"/>
  <c r="G336" i="82"/>
  <c r="K336" i="82"/>
  <c r="L336" i="82"/>
  <c r="G335" i="82"/>
  <c r="G334" i="82"/>
  <c r="G333" i="82"/>
  <c r="G332" i="82"/>
  <c r="G331" i="82"/>
  <c r="G330" i="82"/>
  <c r="L329" i="82"/>
  <c r="G329" i="82"/>
  <c r="K329" i="82"/>
  <c r="K328" i="82"/>
  <c r="L328" i="82"/>
  <c r="G328" i="82"/>
  <c r="L327" i="82"/>
  <c r="G327" i="82"/>
  <c r="K327" i="82"/>
  <c r="K326" i="82"/>
  <c r="L326" i="82"/>
  <c r="G326" i="82"/>
  <c r="L325" i="82"/>
  <c r="G325" i="82"/>
  <c r="K325" i="82"/>
  <c r="K324" i="82"/>
  <c r="L324" i="82"/>
  <c r="G324" i="82"/>
  <c r="G323" i="82"/>
  <c r="G322" i="82"/>
  <c r="G321" i="82"/>
  <c r="G320" i="82"/>
  <c r="G319" i="82"/>
  <c r="G318" i="82"/>
  <c r="K318" i="82"/>
  <c r="L318" i="82"/>
  <c r="K317" i="82"/>
  <c r="L317" i="82"/>
  <c r="G317" i="82"/>
  <c r="G316" i="82"/>
  <c r="K316" i="82"/>
  <c r="L316" i="82"/>
  <c r="K315" i="82"/>
  <c r="L315" i="82"/>
  <c r="G315" i="82"/>
  <c r="L314" i="82"/>
  <c r="H314" i="82"/>
  <c r="G314" i="82"/>
  <c r="K314" i="82"/>
  <c r="G313" i="82"/>
  <c r="G312" i="82"/>
  <c r="G311" i="82"/>
  <c r="G310" i="82"/>
  <c r="J309" i="82"/>
  <c r="J319" i="82"/>
  <c r="G309" i="82"/>
  <c r="K308" i="82"/>
  <c r="L308" i="82"/>
  <c r="G308" i="82"/>
  <c r="G307" i="82"/>
  <c r="K307" i="82"/>
  <c r="L307" i="82"/>
  <c r="K306" i="82"/>
  <c r="L306" i="82"/>
  <c r="G306" i="82"/>
  <c r="G305" i="82"/>
  <c r="K305" i="82"/>
  <c r="L305" i="82"/>
  <c r="G304" i="82"/>
  <c r="K304" i="82"/>
  <c r="L304" i="82"/>
  <c r="G303" i="82"/>
  <c r="G302" i="82"/>
  <c r="G301" i="82"/>
  <c r="G300" i="82"/>
  <c r="G299" i="82"/>
  <c r="G298" i="82"/>
  <c r="G297" i="82"/>
  <c r="K297" i="82"/>
  <c r="L297" i="82"/>
  <c r="K296" i="82"/>
  <c r="L296" i="82"/>
  <c r="G296" i="82"/>
  <c r="G295" i="82"/>
  <c r="K295" i="82"/>
  <c r="L295" i="82"/>
  <c r="K294" i="82"/>
  <c r="L294" i="82"/>
  <c r="G294" i="82"/>
  <c r="G293" i="82"/>
  <c r="K293" i="82"/>
  <c r="L293" i="82"/>
  <c r="G292" i="82"/>
  <c r="K292" i="82"/>
  <c r="L292" i="82"/>
  <c r="G291" i="82"/>
  <c r="G290" i="82"/>
  <c r="G289" i="82"/>
  <c r="G288" i="82"/>
  <c r="G287" i="82"/>
  <c r="G286" i="82"/>
  <c r="G285" i="82"/>
  <c r="K285" i="82"/>
  <c r="L285" i="82"/>
  <c r="K284" i="82"/>
  <c r="L284" i="82"/>
  <c r="G284" i="82"/>
  <c r="G283" i="82"/>
  <c r="K283" i="82"/>
  <c r="L283" i="82"/>
  <c r="K282" i="82"/>
  <c r="L282" i="82"/>
  <c r="G282" i="82"/>
  <c r="G281" i="82"/>
  <c r="K281" i="82"/>
  <c r="L281" i="82"/>
  <c r="G280" i="82"/>
  <c r="K280" i="82"/>
  <c r="L280" i="82"/>
  <c r="G279" i="82"/>
  <c r="G278" i="82"/>
  <c r="G277" i="82"/>
  <c r="G276" i="82"/>
  <c r="G275" i="82"/>
  <c r="G274" i="82"/>
  <c r="G273" i="82"/>
  <c r="K273" i="82"/>
  <c r="L273" i="82"/>
  <c r="K272" i="82"/>
  <c r="L272" i="82"/>
  <c r="G272" i="82"/>
  <c r="G271" i="82"/>
  <c r="K271" i="82"/>
  <c r="L271" i="82"/>
  <c r="K270" i="82"/>
  <c r="L270" i="82"/>
  <c r="G270" i="82"/>
  <c r="G269" i="82"/>
  <c r="K269" i="82"/>
  <c r="L269" i="82"/>
  <c r="G268" i="82"/>
  <c r="K268" i="82"/>
  <c r="L268" i="82"/>
  <c r="G267" i="82"/>
  <c r="G266" i="82"/>
  <c r="J265" i="82"/>
  <c r="G265" i="82"/>
  <c r="G264" i="82"/>
  <c r="H262" i="82"/>
  <c r="K263" i="82"/>
  <c r="L263" i="82"/>
  <c r="G263" i="82"/>
  <c r="G262" i="82"/>
  <c r="K262" i="82"/>
  <c r="L262" i="82"/>
  <c r="G261" i="82"/>
  <c r="K261" i="82"/>
  <c r="J260" i="82"/>
  <c r="J261" i="82"/>
  <c r="G260" i="82"/>
  <c r="K260" i="82"/>
  <c r="L260" i="82"/>
  <c r="J259" i="82"/>
  <c r="G259" i="82"/>
  <c r="K259" i="82"/>
  <c r="K258" i="82"/>
  <c r="L258" i="82"/>
  <c r="G258" i="82"/>
  <c r="G257" i="82"/>
  <c r="K257" i="82"/>
  <c r="L257" i="82"/>
  <c r="K256" i="82"/>
  <c r="L256" i="82"/>
  <c r="G256" i="82"/>
  <c r="H256" i="82"/>
  <c r="G255" i="82"/>
  <c r="G254" i="82"/>
  <c r="G253" i="82"/>
  <c r="G252" i="82"/>
  <c r="G251" i="82"/>
  <c r="G250" i="82"/>
  <c r="G249" i="82"/>
  <c r="K249" i="82"/>
  <c r="L249" i="82"/>
  <c r="K248" i="82"/>
  <c r="L248" i="82"/>
  <c r="G248" i="82"/>
  <c r="G247" i="82"/>
  <c r="K247" i="82"/>
  <c r="L247" i="82"/>
  <c r="K246" i="82"/>
  <c r="L246" i="82"/>
  <c r="G246" i="82"/>
  <c r="G245" i="82"/>
  <c r="K245" i="82"/>
  <c r="L245" i="82"/>
  <c r="K244" i="82"/>
  <c r="L244" i="82"/>
  <c r="G244" i="82"/>
  <c r="H244" i="82"/>
  <c r="G243" i="82"/>
  <c r="G242" i="82"/>
  <c r="G241" i="82"/>
  <c r="G240" i="82"/>
  <c r="G239" i="82"/>
  <c r="G238" i="82"/>
  <c r="G237" i="82"/>
  <c r="K237" i="82"/>
  <c r="L237" i="82"/>
  <c r="K236" i="82"/>
  <c r="L236" i="82"/>
  <c r="G236" i="82"/>
  <c r="G235" i="82"/>
  <c r="K235" i="82"/>
  <c r="L235" i="82"/>
  <c r="K234" i="82"/>
  <c r="L234" i="82"/>
  <c r="G234" i="82"/>
  <c r="G233" i="82"/>
  <c r="K233" i="82"/>
  <c r="L233" i="82"/>
  <c r="K232" i="82"/>
  <c r="L232" i="82"/>
  <c r="G232" i="82"/>
  <c r="H232" i="82"/>
  <c r="G231" i="82"/>
  <c r="G230" i="82"/>
  <c r="G229" i="82"/>
  <c r="J228" i="82"/>
  <c r="G228" i="82"/>
  <c r="K228" i="82"/>
  <c r="L228" i="82"/>
  <c r="G227" i="82"/>
  <c r="K227" i="82"/>
  <c r="L227" i="82"/>
  <c r="K226" i="82"/>
  <c r="L226" i="82"/>
  <c r="G226" i="82"/>
  <c r="G225" i="82"/>
  <c r="K225" i="82"/>
  <c r="L225" i="82"/>
  <c r="G224" i="82"/>
  <c r="G223" i="82"/>
  <c r="J222" i="82"/>
  <c r="G222" i="82"/>
  <c r="G221" i="82"/>
  <c r="K221" i="82"/>
  <c r="L221" i="82"/>
  <c r="G220" i="82"/>
  <c r="H220" i="82"/>
  <c r="G219" i="82"/>
  <c r="G218" i="82"/>
  <c r="G217" i="82"/>
  <c r="G216" i="82"/>
  <c r="L215" i="82"/>
  <c r="G215" i="82"/>
  <c r="K215" i="82"/>
  <c r="K214" i="82"/>
  <c r="L214" i="82"/>
  <c r="G214" i="82"/>
  <c r="L213" i="82"/>
  <c r="G213" i="82"/>
  <c r="K213" i="82"/>
  <c r="K212" i="82"/>
  <c r="L212" i="82"/>
  <c r="G212" i="82"/>
  <c r="G211" i="82"/>
  <c r="G210" i="82"/>
  <c r="G209" i="82"/>
  <c r="G208" i="82"/>
  <c r="G207" i="82"/>
  <c r="G206" i="82"/>
  <c r="G205" i="82"/>
  <c r="K205" i="82"/>
  <c r="L205" i="82"/>
  <c r="K204" i="82"/>
  <c r="L204" i="82"/>
  <c r="G204" i="82"/>
  <c r="G203" i="82"/>
  <c r="K203" i="82"/>
  <c r="L203" i="82"/>
  <c r="K202" i="82"/>
  <c r="L202" i="82"/>
  <c r="G202" i="82"/>
  <c r="G201" i="82"/>
  <c r="K201" i="82"/>
  <c r="L201" i="82"/>
  <c r="G200" i="82"/>
  <c r="K200" i="82"/>
  <c r="L200" i="82"/>
  <c r="G199" i="82"/>
  <c r="G198" i="82"/>
  <c r="G197" i="82"/>
  <c r="G196" i="82"/>
  <c r="G195" i="82"/>
  <c r="G194" i="82"/>
  <c r="L193" i="82"/>
  <c r="G193" i="82"/>
  <c r="K193" i="82"/>
  <c r="K192" i="82"/>
  <c r="L192" i="82"/>
  <c r="G192" i="82"/>
  <c r="L191" i="82"/>
  <c r="G191" i="82"/>
  <c r="K191" i="82"/>
  <c r="K190" i="82"/>
  <c r="L190" i="82"/>
  <c r="G190" i="82"/>
  <c r="L189" i="82"/>
  <c r="G189" i="82"/>
  <c r="K189" i="82"/>
  <c r="K188" i="82"/>
  <c r="L188" i="82"/>
  <c r="G188" i="82"/>
  <c r="G187" i="82"/>
  <c r="G186" i="82"/>
  <c r="G185" i="82"/>
  <c r="G184" i="82"/>
  <c r="G183" i="82"/>
  <c r="K183" i="82"/>
  <c r="L183" i="82"/>
  <c r="K182" i="82"/>
  <c r="L182" i="82"/>
  <c r="G182" i="82"/>
  <c r="G181" i="82"/>
  <c r="K181" i="82"/>
  <c r="L181" i="82"/>
  <c r="G180" i="82"/>
  <c r="H180" i="82"/>
  <c r="G179" i="82"/>
  <c r="G178" i="82"/>
  <c r="G177" i="82"/>
  <c r="G176" i="82"/>
  <c r="L175" i="82"/>
  <c r="G175" i="82"/>
  <c r="K175" i="82"/>
  <c r="K174" i="82"/>
  <c r="L174" i="82"/>
  <c r="G174" i="82"/>
  <c r="L173" i="82"/>
  <c r="G173" i="82"/>
  <c r="K173" i="82"/>
  <c r="K172" i="82"/>
  <c r="L172" i="82"/>
  <c r="G172" i="82"/>
  <c r="K171" i="82"/>
  <c r="G171" i="82"/>
  <c r="G170" i="82"/>
  <c r="G169" i="82"/>
  <c r="G168" i="82"/>
  <c r="G167" i="82"/>
  <c r="G166" i="82"/>
  <c r="G165" i="82"/>
  <c r="K165" i="82"/>
  <c r="L165" i="82"/>
  <c r="K164" i="82"/>
  <c r="L164" i="82"/>
  <c r="G164" i="82"/>
  <c r="G163" i="82"/>
  <c r="K163" i="82"/>
  <c r="L163" i="82"/>
  <c r="K162" i="82"/>
  <c r="L162" i="82"/>
  <c r="G162" i="82"/>
  <c r="G161" i="82"/>
  <c r="K161" i="82"/>
  <c r="L161" i="82"/>
  <c r="G160" i="82"/>
  <c r="K160" i="82"/>
  <c r="L160" i="82"/>
  <c r="G159" i="82"/>
  <c r="G158" i="82"/>
  <c r="G157" i="82"/>
  <c r="J156" i="82"/>
  <c r="J176" i="82"/>
  <c r="G156" i="82"/>
  <c r="L155" i="82"/>
  <c r="G155" i="82"/>
  <c r="K155" i="82"/>
  <c r="K154" i="82"/>
  <c r="L154" i="82"/>
  <c r="G154" i="82"/>
  <c r="L153" i="82"/>
  <c r="G153" i="82"/>
  <c r="K153" i="82"/>
  <c r="K152" i="82"/>
  <c r="L152" i="82"/>
  <c r="G152" i="82"/>
  <c r="K151" i="82"/>
  <c r="J151" i="82"/>
  <c r="J171" i="82"/>
  <c r="G151" i="82"/>
  <c r="G150" i="82"/>
  <c r="G149" i="82"/>
  <c r="G148" i="82"/>
  <c r="G147" i="82"/>
  <c r="J146" i="82"/>
  <c r="J166" i="82"/>
  <c r="G146" i="82"/>
  <c r="L145" i="82"/>
  <c r="G145" i="82"/>
  <c r="K145" i="82"/>
  <c r="K144" i="82"/>
  <c r="L144" i="82"/>
  <c r="G144" i="82"/>
  <c r="L143" i="82"/>
  <c r="G143" i="82"/>
  <c r="K143" i="82"/>
  <c r="K142" i="82"/>
  <c r="L142" i="82"/>
  <c r="G142" i="82"/>
  <c r="L141" i="82"/>
  <c r="G141" i="82"/>
  <c r="K141" i="82"/>
  <c r="K140" i="82"/>
  <c r="L140" i="82"/>
  <c r="G140" i="82"/>
  <c r="G139" i="82"/>
  <c r="G138" i="82"/>
  <c r="J137" i="82"/>
  <c r="G137" i="82"/>
  <c r="G136" i="82"/>
  <c r="K136" i="82"/>
  <c r="L136" i="82"/>
  <c r="K135" i="82"/>
  <c r="L135" i="82"/>
  <c r="G135" i="82"/>
  <c r="H134" i="82"/>
  <c r="G134" i="82"/>
  <c r="K134" i="82"/>
  <c r="L134" i="82"/>
  <c r="L133" i="82"/>
  <c r="J133" i="82"/>
  <c r="G133" i="82"/>
  <c r="K133" i="82"/>
  <c r="M132" i="82"/>
  <c r="K132" i="82"/>
  <c r="J132" i="82"/>
  <c r="G132" i="82"/>
  <c r="K131" i="82"/>
  <c r="L131" i="82"/>
  <c r="G131" i="82"/>
  <c r="H130" i="82"/>
  <c r="G130" i="82"/>
  <c r="K130" i="82"/>
  <c r="L130" i="82"/>
  <c r="G129" i="82"/>
  <c r="J128" i="82"/>
  <c r="G128" i="82"/>
  <c r="G127" i="82"/>
  <c r="J126" i="82"/>
  <c r="G126" i="82"/>
  <c r="K126" i="82"/>
  <c r="K125" i="82"/>
  <c r="L125" i="82"/>
  <c r="G125" i="82"/>
  <c r="G124" i="82"/>
  <c r="K124" i="82"/>
  <c r="L124" i="82"/>
  <c r="K123" i="82"/>
  <c r="L123" i="82"/>
  <c r="G123" i="82"/>
  <c r="L122" i="82"/>
  <c r="K122" i="82"/>
  <c r="G122" i="82"/>
  <c r="G121" i="82"/>
  <c r="K121" i="82"/>
  <c r="L121" i="82"/>
  <c r="J120" i="82"/>
  <c r="G120" i="82"/>
  <c r="K120" i="82"/>
  <c r="G119" i="82"/>
  <c r="J118" i="82"/>
  <c r="G118" i="82"/>
  <c r="G117" i="82"/>
  <c r="K116" i="82"/>
  <c r="J116" i="82"/>
  <c r="J119" i="82"/>
  <c r="G116" i="82"/>
  <c r="K115" i="82"/>
  <c r="L115" i="82"/>
  <c r="G115" i="82"/>
  <c r="K114" i="82"/>
  <c r="L114" i="82"/>
  <c r="G114" i="82"/>
  <c r="L113" i="82"/>
  <c r="G113" i="82"/>
  <c r="K113" i="82"/>
  <c r="L112" i="82"/>
  <c r="K112" i="82"/>
  <c r="G112" i="82"/>
  <c r="K111" i="82"/>
  <c r="L111" i="82"/>
  <c r="G111" i="82"/>
  <c r="G110" i="82"/>
  <c r="H110" i="82"/>
  <c r="J109" i="82"/>
  <c r="J129" i="82"/>
  <c r="G109" i="82"/>
  <c r="K109" i="82"/>
  <c r="K108" i="82"/>
  <c r="J108" i="82"/>
  <c r="G108" i="82"/>
  <c r="J107" i="82"/>
  <c r="G107" i="82"/>
  <c r="G106" i="82"/>
  <c r="K106" i="82"/>
  <c r="L106" i="82"/>
  <c r="G105" i="82"/>
  <c r="K105" i="82"/>
  <c r="L105" i="82"/>
  <c r="G104" i="82"/>
  <c r="K104" i="82"/>
  <c r="L104" i="82"/>
  <c r="K103" i="82"/>
  <c r="L103" i="82"/>
  <c r="G103" i="82"/>
  <c r="L102" i="82"/>
  <c r="K102" i="82"/>
  <c r="G102" i="82"/>
  <c r="J101" i="82"/>
  <c r="K101" i="82"/>
  <c r="L101" i="82"/>
  <c r="G101" i="82"/>
  <c r="J100" i="82"/>
  <c r="K100" i="82"/>
  <c r="L100" i="82"/>
  <c r="G100" i="82"/>
  <c r="J99" i="82"/>
  <c r="K99" i="82"/>
  <c r="L99" i="82"/>
  <c r="G99" i="82"/>
  <c r="J98" i="82"/>
  <c r="K98" i="82"/>
  <c r="L98" i="82"/>
  <c r="G98" i="82"/>
  <c r="J97" i="82"/>
  <c r="K97" i="82"/>
  <c r="L97" i="82"/>
  <c r="G97" i="82"/>
  <c r="M96" i="82"/>
  <c r="J96" i="82"/>
  <c r="G96" i="82"/>
  <c r="K96" i="82"/>
  <c r="L96" i="82"/>
  <c r="K95" i="82"/>
  <c r="L95" i="82"/>
  <c r="G95" i="82"/>
  <c r="G94" i="82"/>
  <c r="K94" i="82"/>
  <c r="L94" i="82"/>
  <c r="G93" i="82"/>
  <c r="K93" i="82"/>
  <c r="L93" i="82"/>
  <c r="G92" i="82"/>
  <c r="K92" i="82"/>
  <c r="L92" i="82"/>
  <c r="K91" i="82"/>
  <c r="L91" i="82"/>
  <c r="G91" i="82"/>
  <c r="L90" i="82"/>
  <c r="K90" i="82"/>
  <c r="G90" i="82"/>
  <c r="G89" i="82"/>
  <c r="K89" i="82"/>
  <c r="L89" i="82"/>
  <c r="J88" i="82"/>
  <c r="G88" i="82"/>
  <c r="K88" i="82"/>
  <c r="K87" i="82"/>
  <c r="J87" i="82"/>
  <c r="G87" i="82"/>
  <c r="J86" i="82"/>
  <c r="G86" i="82"/>
  <c r="J85" i="82"/>
  <c r="G85" i="82"/>
  <c r="K85" i="82"/>
  <c r="K84" i="82"/>
  <c r="L84" i="82"/>
  <c r="G84" i="82"/>
  <c r="K83" i="82"/>
  <c r="L83" i="82"/>
  <c r="G83" i="82"/>
  <c r="L82" i="82"/>
  <c r="G82" i="82"/>
  <c r="K82" i="82"/>
  <c r="L81" i="82"/>
  <c r="K81" i="82"/>
  <c r="G81" i="82"/>
  <c r="K80" i="82"/>
  <c r="L80" i="82"/>
  <c r="G80" i="82"/>
  <c r="K79" i="82"/>
  <c r="L79" i="82"/>
  <c r="G79" i="82"/>
  <c r="L78" i="82"/>
  <c r="G78" i="82"/>
  <c r="K78" i="82"/>
  <c r="J77" i="82"/>
  <c r="G77" i="82"/>
  <c r="J76" i="82"/>
  <c r="G76" i="82"/>
  <c r="K76" i="82"/>
  <c r="L76" i="82"/>
  <c r="J75" i="82"/>
  <c r="G75" i="82"/>
  <c r="M74" i="82"/>
  <c r="G74" i="82"/>
  <c r="K74" i="82"/>
  <c r="L74" i="82"/>
  <c r="G73" i="82"/>
  <c r="K73" i="82"/>
  <c r="L73" i="82"/>
  <c r="K72" i="82"/>
  <c r="L72" i="82"/>
  <c r="G72" i="82"/>
  <c r="G71" i="82"/>
  <c r="K71" i="82"/>
  <c r="L71" i="82"/>
  <c r="K70" i="82"/>
  <c r="L70" i="82"/>
  <c r="H70" i="82"/>
  <c r="G70" i="82"/>
  <c r="J69" i="82"/>
  <c r="G69" i="82"/>
  <c r="K69" i="82"/>
  <c r="J68" i="82"/>
  <c r="G68" i="82"/>
  <c r="K68" i="82"/>
  <c r="G67" i="82"/>
  <c r="K66" i="82"/>
  <c r="L66" i="82"/>
  <c r="J66" i="82"/>
  <c r="G66" i="82"/>
  <c r="K65" i="82"/>
  <c r="L65" i="82"/>
  <c r="G65" i="82"/>
  <c r="K64" i="82"/>
  <c r="L64" i="82"/>
  <c r="G64" i="82"/>
  <c r="L63" i="82"/>
  <c r="G63" i="82"/>
  <c r="K63" i="82"/>
  <c r="G62" i="82"/>
  <c r="H62" i="82"/>
  <c r="K61" i="82"/>
  <c r="L61" i="82"/>
  <c r="G61" i="82"/>
  <c r="J60" i="82"/>
  <c r="K60" i="82"/>
  <c r="L60" i="82"/>
  <c r="G60" i="82"/>
  <c r="J59" i="82"/>
  <c r="K59" i="82"/>
  <c r="L59" i="82"/>
  <c r="G59" i="82"/>
  <c r="J58" i="82"/>
  <c r="K58" i="82"/>
  <c r="L58" i="82"/>
  <c r="G58" i="82"/>
  <c r="J57" i="82"/>
  <c r="K57" i="82"/>
  <c r="L57" i="82"/>
  <c r="G57" i="82"/>
  <c r="M56" i="82"/>
  <c r="K56" i="82"/>
  <c r="L56" i="82"/>
  <c r="G56" i="82"/>
  <c r="G55" i="82"/>
  <c r="K55" i="82"/>
  <c r="L55" i="82"/>
  <c r="G54" i="82"/>
  <c r="K54" i="82"/>
  <c r="L54" i="82"/>
  <c r="G53" i="82"/>
  <c r="K53" i="82"/>
  <c r="L53" i="82"/>
  <c r="K52" i="82"/>
  <c r="L52" i="82"/>
  <c r="G52" i="82"/>
  <c r="G51" i="82"/>
  <c r="K51" i="82"/>
  <c r="L51" i="82"/>
  <c r="G50" i="82"/>
  <c r="H50" i="82"/>
  <c r="G49" i="82"/>
  <c r="G48" i="82"/>
  <c r="G47" i="82"/>
  <c r="J46" i="82"/>
  <c r="G46" i="82"/>
  <c r="G45" i="82"/>
  <c r="K45" i="82"/>
  <c r="L45" i="82"/>
  <c r="K44" i="82"/>
  <c r="L44" i="82"/>
  <c r="G44" i="82"/>
  <c r="G43" i="82"/>
  <c r="K43" i="82"/>
  <c r="L43" i="82"/>
  <c r="K42" i="82"/>
  <c r="L42" i="82"/>
  <c r="G42" i="82"/>
  <c r="H42" i="82"/>
  <c r="K41" i="82"/>
  <c r="L41" i="82"/>
  <c r="G41" i="82"/>
  <c r="J40" i="82"/>
  <c r="G40" i="82"/>
  <c r="J39" i="82"/>
  <c r="K39" i="82"/>
  <c r="G39" i="82"/>
  <c r="J38" i="82"/>
  <c r="G38" i="82"/>
  <c r="J37" i="82"/>
  <c r="K37" i="82"/>
  <c r="G37" i="82"/>
  <c r="K36" i="82"/>
  <c r="L36" i="82"/>
  <c r="G36" i="82"/>
  <c r="G35" i="82"/>
  <c r="K35" i="82"/>
  <c r="L35" i="82"/>
  <c r="K34" i="82"/>
  <c r="L34" i="82"/>
  <c r="G34" i="82"/>
  <c r="G33" i="82"/>
  <c r="K33" i="82"/>
  <c r="L33" i="82"/>
  <c r="K32" i="82"/>
  <c r="L32" i="82"/>
  <c r="G32" i="82"/>
  <c r="G31" i="82"/>
  <c r="K31" i="82"/>
  <c r="L31" i="82"/>
  <c r="G30" i="82"/>
  <c r="K30" i="82"/>
  <c r="L30" i="82"/>
  <c r="K29" i="82"/>
  <c r="L29" i="82"/>
  <c r="G29" i="82"/>
  <c r="J28" i="82"/>
  <c r="G28" i="82"/>
  <c r="K28" i="82"/>
  <c r="L28" i="82"/>
  <c r="J27" i="82"/>
  <c r="G27" i="82"/>
  <c r="K27" i="82"/>
  <c r="L27" i="82"/>
  <c r="J26" i="82"/>
  <c r="G26" i="82"/>
  <c r="K26" i="82"/>
  <c r="L26" i="82"/>
  <c r="J25" i="82"/>
  <c r="G25" i="82"/>
  <c r="K25" i="82"/>
  <c r="L25" i="82"/>
  <c r="M24" i="82"/>
  <c r="J24" i="82"/>
  <c r="L24" i="82"/>
  <c r="G24" i="82"/>
  <c r="K24" i="82"/>
  <c r="K23" i="82"/>
  <c r="L23" i="82"/>
  <c r="G23" i="82"/>
  <c r="G22" i="82"/>
  <c r="K22" i="82"/>
  <c r="L22" i="82"/>
  <c r="K21" i="82"/>
  <c r="L21" i="82"/>
  <c r="G21" i="82"/>
  <c r="G20" i="82"/>
  <c r="K20" i="82"/>
  <c r="L20" i="82"/>
  <c r="K19" i="82"/>
  <c r="L19" i="82"/>
  <c r="G19" i="82"/>
  <c r="G18" i="82"/>
  <c r="K18" i="82"/>
  <c r="L18" i="82"/>
  <c r="J17" i="82"/>
  <c r="G17" i="82"/>
  <c r="K17" i="82"/>
  <c r="L17" i="82"/>
  <c r="J16" i="82"/>
  <c r="G16" i="82"/>
  <c r="K16" i="82"/>
  <c r="L16" i="82"/>
  <c r="J15" i="82"/>
  <c r="G15" i="82"/>
  <c r="K15" i="82"/>
  <c r="L15" i="82"/>
  <c r="M14" i="82"/>
  <c r="J14" i="82"/>
  <c r="L14" i="82"/>
  <c r="G14" i="82"/>
  <c r="K14" i="82"/>
  <c r="K13" i="82"/>
  <c r="L13" i="82"/>
  <c r="G13" i="82"/>
  <c r="G12" i="82"/>
  <c r="K12" i="82"/>
  <c r="L12" i="82"/>
  <c r="K11" i="82"/>
  <c r="L11" i="82"/>
  <c r="G11" i="82"/>
  <c r="L10" i="82"/>
  <c r="K10" i="82"/>
  <c r="H10" i="82"/>
  <c r="G10" i="82"/>
  <c r="J9" i="82"/>
  <c r="G9" i="82"/>
  <c r="K8" i="82"/>
  <c r="L8" i="82"/>
  <c r="J8" i="82"/>
  <c r="G8" i="82"/>
  <c r="K7" i="82"/>
  <c r="L7" i="82"/>
  <c r="G7" i="82"/>
  <c r="L6" i="82"/>
  <c r="K6" i="82"/>
  <c r="H6" i="82"/>
  <c r="G6" i="82"/>
  <c r="J5" i="82"/>
  <c r="G5" i="82"/>
  <c r="K4" i="82"/>
  <c r="L4" i="82"/>
  <c r="J4" i="82"/>
  <c r="G4" i="82"/>
  <c r="K3" i="82"/>
  <c r="L3" i="82"/>
  <c r="G3" i="82"/>
  <c r="L2" i="82"/>
  <c r="K2" i="82"/>
  <c r="H2" i="82"/>
  <c r="G2" i="82"/>
  <c r="S13" i="3"/>
  <c r="I13" i="3"/>
  <c r="H13" i="4"/>
  <c r="L128" i="82"/>
  <c r="J179" i="82"/>
  <c r="J177" i="82"/>
  <c r="K177" i="82"/>
  <c r="K176" i="82"/>
  <c r="J184" i="82"/>
  <c r="L176" i="82"/>
  <c r="K199" i="82"/>
  <c r="K179" i="82"/>
  <c r="K149" i="82"/>
  <c r="L38" i="82"/>
  <c r="K48" i="82"/>
  <c r="K119" i="82"/>
  <c r="L119" i="82"/>
  <c r="J170" i="82"/>
  <c r="J169" i="82"/>
  <c r="J168" i="82"/>
  <c r="J167" i="82"/>
  <c r="J194" i="82"/>
  <c r="K147" i="82"/>
  <c r="M4" i="82"/>
  <c r="M8" i="82"/>
  <c r="H18" i="82"/>
  <c r="M36" i="82"/>
  <c r="L37" i="82"/>
  <c r="L39" i="82"/>
  <c r="K50" i="82"/>
  <c r="L50" i="82"/>
  <c r="L68" i="82"/>
  <c r="L88" i="82"/>
  <c r="H102" i="82"/>
  <c r="K110" i="82"/>
  <c r="L110" i="82"/>
  <c r="G842" i="82"/>
  <c r="J67" i="82"/>
  <c r="K77" i="82"/>
  <c r="L77" i="82"/>
  <c r="H78" i="82"/>
  <c r="L87" i="82"/>
  <c r="L108" i="82"/>
  <c r="L116" i="82"/>
  <c r="H122" i="82"/>
  <c r="K128" i="82"/>
  <c r="L132" i="82"/>
  <c r="H140" i="82"/>
  <c r="L171" i="82"/>
  <c r="J199" i="82"/>
  <c r="L156" i="82"/>
  <c r="H172" i="82"/>
  <c r="H212" i="82"/>
  <c r="K224" i="82"/>
  <c r="L224" i="82"/>
  <c r="H224" i="82"/>
  <c r="J267" i="82"/>
  <c r="L261" i="82"/>
  <c r="M259" i="82"/>
  <c r="J365" i="82"/>
  <c r="J322" i="82"/>
  <c r="J321" i="82"/>
  <c r="J320" i="82"/>
  <c r="K365" i="82"/>
  <c r="H90" i="82"/>
  <c r="L107" i="82"/>
  <c r="M106" i="82"/>
  <c r="J150" i="82"/>
  <c r="J149" i="82"/>
  <c r="J148" i="82"/>
  <c r="M146" i="82"/>
  <c r="J147" i="82"/>
  <c r="K146" i="82"/>
  <c r="L146" i="82"/>
  <c r="K184" i="82"/>
  <c r="K267" i="82"/>
  <c r="K5" i="82"/>
  <c r="K9" i="82"/>
  <c r="L9" i="82"/>
  <c r="H30" i="82"/>
  <c r="K38" i="82"/>
  <c r="K40" i="82"/>
  <c r="L40" i="82"/>
  <c r="K46" i="82"/>
  <c r="L46" i="82"/>
  <c r="J47" i="82"/>
  <c r="K47" i="82"/>
  <c r="J48" i="82"/>
  <c r="J49" i="82"/>
  <c r="K49" i="82"/>
  <c r="K62" i="82"/>
  <c r="L62" i="82"/>
  <c r="L69" i="82"/>
  <c r="K75" i="82"/>
  <c r="L75" i="82"/>
  <c r="L85" i="82"/>
  <c r="M84" i="82"/>
  <c r="K86" i="82"/>
  <c r="L86" i="82"/>
  <c r="K107" i="82"/>
  <c r="M116" i="82"/>
  <c r="J117" i="82"/>
  <c r="K118" i="82"/>
  <c r="L118" i="82"/>
  <c r="L126" i="82"/>
  <c r="J127" i="82"/>
  <c r="J138" i="82"/>
  <c r="J139" i="82"/>
  <c r="K137" i="82"/>
  <c r="L137" i="82"/>
  <c r="H152" i="82"/>
  <c r="K156" i="82"/>
  <c r="K180" i="82"/>
  <c r="L180" i="82"/>
  <c r="H188" i="82"/>
  <c r="K194" i="82"/>
  <c r="K220" i="82"/>
  <c r="L220" i="82"/>
  <c r="L222" i="82"/>
  <c r="J223" i="82"/>
  <c r="K222" i="82"/>
  <c r="L259" i="82"/>
  <c r="L109" i="82"/>
  <c r="L120" i="82"/>
  <c r="K129" i="82"/>
  <c r="L129" i="82"/>
  <c r="J159" i="82"/>
  <c r="K159" i="82"/>
  <c r="J158" i="82"/>
  <c r="J157" i="82"/>
  <c r="K157" i="82"/>
  <c r="H160" i="82"/>
  <c r="K166" i="82"/>
  <c r="L166" i="82"/>
  <c r="H200" i="82"/>
  <c r="K223" i="82"/>
  <c r="L151" i="82"/>
  <c r="J229" i="82"/>
  <c r="J230" i="82"/>
  <c r="J311" i="82"/>
  <c r="H348" i="82"/>
  <c r="H394" i="82"/>
  <c r="K396" i="82"/>
  <c r="L396" i="82"/>
  <c r="L436" i="82"/>
  <c r="L309" i="82"/>
  <c r="J310" i="82"/>
  <c r="H360" i="82"/>
  <c r="L480" i="82"/>
  <c r="K264" i="82"/>
  <c r="L264" i="82"/>
  <c r="K265" i="82"/>
  <c r="L265" i="82"/>
  <c r="J266" i="82"/>
  <c r="K266" i="82"/>
  <c r="H268" i="82"/>
  <c r="H280" i="82"/>
  <c r="H292" i="82"/>
  <c r="H304" i="82"/>
  <c r="K309" i="82"/>
  <c r="K312" i="82"/>
  <c r="H324" i="82"/>
  <c r="K360" i="82"/>
  <c r="L360" i="82"/>
  <c r="L435" i="82"/>
  <c r="L437" i="82"/>
  <c r="J312" i="82"/>
  <c r="K319" i="82"/>
  <c r="L319" i="82"/>
  <c r="H336" i="82"/>
  <c r="J464" i="82"/>
  <c r="K464" i="82"/>
  <c r="J463" i="82"/>
  <c r="K462" i="82"/>
  <c r="L462" i="82"/>
  <c r="K463" i="82"/>
  <c r="K408" i="82"/>
  <c r="L408" i="82"/>
  <c r="K420" i="82"/>
  <c r="L420" i="82"/>
  <c r="K432" i="82"/>
  <c r="L432" i="82"/>
  <c r="K448" i="82"/>
  <c r="L448" i="82"/>
  <c r="K460" i="82"/>
  <c r="L460" i="82"/>
  <c r="K476" i="82"/>
  <c r="L476" i="82"/>
  <c r="J477" i="82"/>
  <c r="K480" i="82"/>
  <c r="K495" i="82"/>
  <c r="L495" i="82"/>
  <c r="H538" i="82"/>
  <c r="K625" i="82"/>
  <c r="K665" i="82"/>
  <c r="K741" i="82"/>
  <c r="L741" i="82"/>
  <c r="M434" i="82"/>
  <c r="J445" i="82"/>
  <c r="J541" i="82"/>
  <c r="K540" i="82"/>
  <c r="L540" i="82"/>
  <c r="M540" i="82"/>
  <c r="H542" i="82"/>
  <c r="H602" i="82"/>
  <c r="L625" i="82"/>
  <c r="K666" i="82"/>
  <c r="J514" i="82"/>
  <c r="L474" i="82"/>
  <c r="J475" i="82"/>
  <c r="K475" i="82"/>
  <c r="K478" i="82"/>
  <c r="L478" i="82"/>
  <c r="J479" i="82"/>
  <c r="K479" i="82"/>
  <c r="H522" i="82"/>
  <c r="L537" i="82"/>
  <c r="K542" i="82"/>
  <c r="L542" i="82"/>
  <c r="J544" i="82"/>
  <c r="H546" i="82"/>
  <c r="K602" i="82"/>
  <c r="L602" i="82"/>
  <c r="L679" i="82"/>
  <c r="K477" i="82"/>
  <c r="H590" i="82"/>
  <c r="K620" i="82"/>
  <c r="L620" i="82"/>
  <c r="K646" i="82"/>
  <c r="L646" i="82"/>
  <c r="K664" i="82"/>
  <c r="L664" i="82"/>
  <c r="J665" i="82"/>
  <c r="J666" i="82"/>
  <c r="J667" i="82"/>
  <c r="H668" i="82"/>
  <c r="K684" i="82"/>
  <c r="L684" i="82"/>
  <c r="K700" i="82"/>
  <c r="L700" i="82"/>
  <c r="L707" i="82"/>
  <c r="H710" i="82"/>
  <c r="K742" i="82"/>
  <c r="L742" i="82"/>
  <c r="K758" i="82"/>
  <c r="K770" i="82"/>
  <c r="L770" i="82"/>
  <c r="M622" i="82"/>
  <c r="L623" i="82"/>
  <c r="J672" i="82"/>
  <c r="K672" i="82"/>
  <c r="J681" i="82"/>
  <c r="K629" i="82"/>
  <c r="L629" i="82"/>
  <c r="J630" i="82"/>
  <c r="J631" i="82"/>
  <c r="L706" i="82"/>
  <c r="J708" i="82"/>
  <c r="M706" i="82"/>
  <c r="L709" i="82"/>
  <c r="H722" i="82"/>
  <c r="J739" i="82"/>
  <c r="K739" i="82"/>
  <c r="H754" i="82"/>
  <c r="K738" i="82"/>
  <c r="L738" i="82"/>
  <c r="J758" i="82"/>
  <c r="J740" i="82"/>
  <c r="L698" i="82"/>
  <c r="H762" i="82"/>
  <c r="K803" i="82"/>
  <c r="L803" i="82"/>
  <c r="H734" i="82"/>
  <c r="L753" i="82"/>
  <c r="H830" i="82"/>
  <c r="K813" i="82"/>
  <c r="L813" i="82"/>
  <c r="K631" i="82"/>
  <c r="L631" i="82"/>
  <c r="J675" i="82"/>
  <c r="K667" i="82"/>
  <c r="L667" i="82"/>
  <c r="L139" i="82"/>
  <c r="K139" i="82"/>
  <c r="M137" i="82"/>
  <c r="L477" i="82"/>
  <c r="K230" i="82"/>
  <c r="L230" i="82"/>
  <c r="M228" i="82"/>
  <c r="L740" i="82"/>
  <c r="J761" i="82"/>
  <c r="J760" i="82"/>
  <c r="J759" i="82"/>
  <c r="M758" i="82"/>
  <c r="J766" i="82"/>
  <c r="L758" i="82"/>
  <c r="J673" i="82"/>
  <c r="L665" i="82"/>
  <c r="M664" i="82"/>
  <c r="K544" i="82"/>
  <c r="M544" i="82"/>
  <c r="L544" i="82"/>
  <c r="J545" i="82"/>
  <c r="J231" i="82"/>
  <c r="L158" i="82"/>
  <c r="L223" i="82"/>
  <c r="L117" i="82"/>
  <c r="L149" i="82"/>
  <c r="L365" i="82"/>
  <c r="J366" i="82"/>
  <c r="J367" i="82"/>
  <c r="J368" i="82"/>
  <c r="L267" i="82"/>
  <c r="L167" i="82"/>
  <c r="K167" i="82"/>
  <c r="M166" i="82"/>
  <c r="K117" i="82"/>
  <c r="L739" i="82"/>
  <c r="L159" i="82"/>
  <c r="L49" i="82"/>
  <c r="L320" i="82"/>
  <c r="K320" i="82"/>
  <c r="K67" i="82"/>
  <c r="L5" i="82"/>
  <c r="K150" i="82"/>
  <c r="L150" i="82"/>
  <c r="K168" i="82"/>
  <c r="L168" i="82"/>
  <c r="J178" i="82"/>
  <c r="L177" i="82"/>
  <c r="L475" i="82"/>
  <c r="L311" i="82"/>
  <c r="L127" i="82"/>
  <c r="M126" i="82"/>
  <c r="M738" i="82"/>
  <c r="M679" i="82"/>
  <c r="K681" i="82"/>
  <c r="L681" i="82"/>
  <c r="K740" i="82"/>
  <c r="J465" i="82"/>
  <c r="L445" i="82"/>
  <c r="M442" i="82"/>
  <c r="K445" i="82"/>
  <c r="L463" i="82"/>
  <c r="L312" i="82"/>
  <c r="K541" i="82"/>
  <c r="L541" i="82"/>
  <c r="J313" i="82"/>
  <c r="K310" i="82"/>
  <c r="L310" i="82"/>
  <c r="K229" i="82"/>
  <c r="L229" i="82"/>
  <c r="M156" i="82"/>
  <c r="M222" i="82"/>
  <c r="L48" i="82"/>
  <c r="L147" i="82"/>
  <c r="K127" i="82"/>
  <c r="L321" i="82"/>
  <c r="K321" i="82"/>
  <c r="L199" i="82"/>
  <c r="J211" i="82"/>
  <c r="M66" i="82"/>
  <c r="K169" i="82"/>
  <c r="L169" i="82"/>
  <c r="J187" i="82"/>
  <c r="J186" i="82"/>
  <c r="J185" i="82"/>
  <c r="L184" i="82"/>
  <c r="J216" i="82"/>
  <c r="L179" i="82"/>
  <c r="K708" i="82"/>
  <c r="L708" i="82"/>
  <c r="J481" i="82"/>
  <c r="L266" i="82"/>
  <c r="K630" i="82"/>
  <c r="L630" i="82"/>
  <c r="L672" i="82"/>
  <c r="J674" i="82"/>
  <c r="L666" i="82"/>
  <c r="M629" i="82"/>
  <c r="L479" i="82"/>
  <c r="J530" i="82"/>
  <c r="J519" i="82"/>
  <c r="J515" i="82"/>
  <c r="J520" i="82"/>
  <c r="J516" i="82"/>
  <c r="J517" i="82"/>
  <c r="J518" i="82"/>
  <c r="L464" i="82"/>
  <c r="K311" i="82"/>
  <c r="K514" i="82"/>
  <c r="L514" i="82"/>
  <c r="M265" i="82"/>
  <c r="L157" i="82"/>
  <c r="K138" i="82"/>
  <c r="L138" i="82"/>
  <c r="L47" i="82"/>
  <c r="K322" i="82"/>
  <c r="L322" i="82"/>
  <c r="M46" i="82"/>
  <c r="J198" i="82"/>
  <c r="J197" i="82"/>
  <c r="J196" i="82"/>
  <c r="J195" i="82"/>
  <c r="J206" i="82"/>
  <c r="L194" i="82"/>
  <c r="K170" i="82"/>
  <c r="L170" i="82"/>
  <c r="K158" i="82"/>
  <c r="K148" i="82"/>
  <c r="L148" i="82"/>
  <c r="L197" i="82"/>
  <c r="K197" i="82"/>
  <c r="K520" i="82"/>
  <c r="L520" i="82"/>
  <c r="K674" i="82"/>
  <c r="L674" i="82"/>
  <c r="L195" i="82"/>
  <c r="K195" i="82"/>
  <c r="K517" i="82"/>
  <c r="L517" i="82"/>
  <c r="L481" i="82"/>
  <c r="K481" i="82"/>
  <c r="J219" i="82"/>
  <c r="J218" i="82"/>
  <c r="J217" i="82"/>
  <c r="M216" i="82"/>
  <c r="K216" i="82"/>
  <c r="L216" i="82"/>
  <c r="L465" i="82"/>
  <c r="K465" i="82"/>
  <c r="L760" i="82"/>
  <c r="K760" i="82"/>
  <c r="L196" i="82"/>
  <c r="K196" i="82"/>
  <c r="M474" i="82"/>
  <c r="K516" i="82"/>
  <c r="L516" i="82"/>
  <c r="J536" i="82"/>
  <c r="J535" i="82"/>
  <c r="J534" i="82"/>
  <c r="J533" i="82"/>
  <c r="J532" i="82"/>
  <c r="J531" i="82"/>
  <c r="K530" i="82"/>
  <c r="M530" i="82"/>
  <c r="J554" i="82"/>
  <c r="L530" i="82"/>
  <c r="M184" i="82"/>
  <c r="L211" i="82"/>
  <c r="J243" i="82"/>
  <c r="K211" i="82"/>
  <c r="J323" i="82"/>
  <c r="L313" i="82"/>
  <c r="K313" i="82"/>
  <c r="L67" i="82"/>
  <c r="K368" i="82"/>
  <c r="L368" i="82"/>
  <c r="K231" i="82"/>
  <c r="L231" i="82"/>
  <c r="K545" i="82"/>
  <c r="L545" i="82"/>
  <c r="J786" i="82"/>
  <c r="J768" i="82"/>
  <c r="K766" i="82"/>
  <c r="L766" i="82"/>
  <c r="J769" i="82"/>
  <c r="J767" i="82"/>
  <c r="L761" i="82"/>
  <c r="K761" i="82"/>
  <c r="K675" i="82"/>
  <c r="L675" i="82"/>
  <c r="L185" i="82"/>
  <c r="K185" i="82"/>
  <c r="L367" i="82"/>
  <c r="K367" i="82"/>
  <c r="J238" i="82"/>
  <c r="J210" i="82"/>
  <c r="J209" i="82"/>
  <c r="J208" i="82"/>
  <c r="J207" i="82"/>
  <c r="L206" i="82"/>
  <c r="K206" i="82"/>
  <c r="L198" i="82"/>
  <c r="K198" i="82"/>
  <c r="M514" i="82"/>
  <c r="K515" i="82"/>
  <c r="L515" i="82"/>
  <c r="M672" i="82"/>
  <c r="L186" i="82"/>
  <c r="K186" i="82"/>
  <c r="L178" i="82"/>
  <c r="M176" i="82"/>
  <c r="K178" i="82"/>
  <c r="L366" i="82"/>
  <c r="K366" i="82"/>
  <c r="M462" i="82"/>
  <c r="K673" i="82"/>
  <c r="L673" i="82"/>
  <c r="K759" i="82"/>
  <c r="L759" i="82"/>
  <c r="M309" i="82"/>
  <c r="K518" i="82"/>
  <c r="L518" i="82"/>
  <c r="M194" i="82"/>
  <c r="K519" i="82"/>
  <c r="L519" i="82"/>
  <c r="K187" i="82"/>
  <c r="L187" i="82"/>
  <c r="L210" i="82"/>
  <c r="K210" i="82"/>
  <c r="K767" i="82"/>
  <c r="L767" i="82"/>
  <c r="J818" i="82"/>
  <c r="K786" i="82"/>
  <c r="L786" i="82"/>
  <c r="J787" i="82"/>
  <c r="J788" i="82"/>
  <c r="J789" i="82"/>
  <c r="L531" i="82"/>
  <c r="K531" i="82"/>
  <c r="K535" i="82"/>
  <c r="L535" i="82"/>
  <c r="L219" i="82"/>
  <c r="K219" i="82"/>
  <c r="K207" i="82"/>
  <c r="L207" i="82"/>
  <c r="M206" i="82"/>
  <c r="L769" i="82"/>
  <c r="K769" i="82"/>
  <c r="M766" i="82"/>
  <c r="L243" i="82"/>
  <c r="K243" i="82"/>
  <c r="J255" i="82"/>
  <c r="J570" i="82"/>
  <c r="J560" i="82"/>
  <c r="J559" i="82"/>
  <c r="J558" i="82"/>
  <c r="J557" i="82"/>
  <c r="J556" i="82"/>
  <c r="J555" i="82"/>
  <c r="K554" i="82"/>
  <c r="L554" i="82"/>
  <c r="L532" i="82"/>
  <c r="K532" i="82"/>
  <c r="K536" i="82"/>
  <c r="L536" i="82"/>
  <c r="L208" i="82"/>
  <c r="K208" i="82"/>
  <c r="J250" i="82"/>
  <c r="L238" i="82"/>
  <c r="J242" i="82"/>
  <c r="J241" i="82"/>
  <c r="J240" i="82"/>
  <c r="M238" i="82"/>
  <c r="J239" i="82"/>
  <c r="K238" i="82"/>
  <c r="K533" i="82"/>
  <c r="L533" i="82"/>
  <c r="L217" i="82"/>
  <c r="K217" i="82"/>
  <c r="K209" i="82"/>
  <c r="L209" i="82"/>
  <c r="L768" i="82"/>
  <c r="K768" i="82"/>
  <c r="K323" i="82"/>
  <c r="L323" i="82"/>
  <c r="J369" i="82"/>
  <c r="M319" i="82"/>
  <c r="K534" i="82"/>
  <c r="L534" i="82"/>
  <c r="L218" i="82"/>
  <c r="K218" i="82"/>
  <c r="L570" i="82"/>
  <c r="J610" i="82"/>
  <c r="J576" i="82"/>
  <c r="J572" i="82"/>
  <c r="J573" i="82"/>
  <c r="J574" i="82"/>
  <c r="K570" i="82"/>
  <c r="J575" i="82"/>
  <c r="J571" i="82"/>
  <c r="L242" i="82"/>
  <c r="K242" i="82"/>
  <c r="L555" i="82"/>
  <c r="K555" i="82"/>
  <c r="L559" i="82"/>
  <c r="K559" i="82"/>
  <c r="J279" i="82"/>
  <c r="K255" i="82"/>
  <c r="L255" i="82"/>
  <c r="K789" i="82"/>
  <c r="L789" i="82"/>
  <c r="K369" i="82"/>
  <c r="L369" i="82"/>
  <c r="M365" i="82"/>
  <c r="L239" i="82"/>
  <c r="K239" i="82"/>
  <c r="L556" i="82"/>
  <c r="K556" i="82"/>
  <c r="L560" i="82"/>
  <c r="K560" i="82"/>
  <c r="L788" i="82"/>
  <c r="K788" i="82"/>
  <c r="J821" i="82"/>
  <c r="J820" i="82"/>
  <c r="J819" i="82"/>
  <c r="J826" i="82"/>
  <c r="K818" i="82"/>
  <c r="L818" i="82"/>
  <c r="K557" i="82"/>
  <c r="L557" i="82"/>
  <c r="K240" i="82"/>
  <c r="L240" i="82"/>
  <c r="K787" i="82"/>
  <c r="L787" i="82"/>
  <c r="K241" i="82"/>
  <c r="L241" i="82"/>
  <c r="J274" i="82"/>
  <c r="J254" i="82"/>
  <c r="J253" i="82"/>
  <c r="J252" i="82"/>
  <c r="M250" i="82"/>
  <c r="J251" i="82"/>
  <c r="K250" i="82"/>
  <c r="L250" i="82"/>
  <c r="K558" i="82"/>
  <c r="L558" i="82"/>
  <c r="M554" i="82"/>
  <c r="M786" i="82"/>
  <c r="L274" i="82"/>
  <c r="J278" i="82"/>
  <c r="J277" i="82"/>
  <c r="J276" i="82"/>
  <c r="J275" i="82"/>
  <c r="K274" i="82"/>
  <c r="J286" i="82"/>
  <c r="K826" i="82"/>
  <c r="L826" i="82"/>
  <c r="J291" i="82"/>
  <c r="L279" i="82"/>
  <c r="K279" i="82"/>
  <c r="K575" i="82"/>
  <c r="L575" i="82"/>
  <c r="K573" i="82"/>
  <c r="L573" i="82"/>
  <c r="L253" i="82"/>
  <c r="K253" i="82"/>
  <c r="K819" i="82"/>
  <c r="J827" i="82"/>
  <c r="L819" i="82"/>
  <c r="K572" i="82"/>
  <c r="L572" i="82"/>
  <c r="K254" i="82"/>
  <c r="L254" i="82"/>
  <c r="K820" i="82"/>
  <c r="L820" i="82"/>
  <c r="J828" i="82"/>
  <c r="K574" i="82"/>
  <c r="L574" i="82"/>
  <c r="K576" i="82"/>
  <c r="L576" i="82"/>
  <c r="L251" i="82"/>
  <c r="K251" i="82"/>
  <c r="M818" i="82"/>
  <c r="J829" i="82"/>
  <c r="K821" i="82"/>
  <c r="L821" i="82"/>
  <c r="K571" i="82"/>
  <c r="L571" i="82"/>
  <c r="M570" i="82"/>
  <c r="J652" i="82"/>
  <c r="J616" i="82"/>
  <c r="J615" i="82"/>
  <c r="J614" i="82"/>
  <c r="J613" i="82"/>
  <c r="J612" i="82"/>
  <c r="J611" i="82"/>
  <c r="K610" i="82"/>
  <c r="L610" i="82"/>
  <c r="K252" i="82"/>
  <c r="L252" i="82"/>
  <c r="K614" i="82"/>
  <c r="L614" i="82"/>
  <c r="L612" i="82"/>
  <c r="K612" i="82"/>
  <c r="K616" i="82"/>
  <c r="L616" i="82"/>
  <c r="L828" i="82"/>
  <c r="K828" i="82"/>
  <c r="L275" i="82"/>
  <c r="K275" i="82"/>
  <c r="M610" i="82"/>
  <c r="K613" i="82"/>
  <c r="L613" i="82"/>
  <c r="J658" i="82"/>
  <c r="J657" i="82"/>
  <c r="J656" i="82"/>
  <c r="J655" i="82"/>
  <c r="J654" i="82"/>
  <c r="J653" i="82"/>
  <c r="M652" i="82"/>
  <c r="K652" i="82"/>
  <c r="L652" i="82"/>
  <c r="J303" i="82"/>
  <c r="K291" i="82"/>
  <c r="L291" i="82"/>
  <c r="M274" i="82"/>
  <c r="L276" i="82"/>
  <c r="K276" i="82"/>
  <c r="L286" i="82"/>
  <c r="J290" i="82"/>
  <c r="J289" i="82"/>
  <c r="J288" i="82"/>
  <c r="J287" i="82"/>
  <c r="M286" i="82"/>
  <c r="K286" i="82"/>
  <c r="J298" i="82"/>
  <c r="L277" i="82"/>
  <c r="K277" i="82"/>
  <c r="L611" i="82"/>
  <c r="K611" i="82"/>
  <c r="K615" i="82"/>
  <c r="L615" i="82"/>
  <c r="L829" i="82"/>
  <c r="K829" i="82"/>
  <c r="L827" i="82"/>
  <c r="K827" i="82"/>
  <c r="M826" i="82"/>
  <c r="K278" i="82"/>
  <c r="L278" i="82"/>
  <c r="J330" i="82"/>
  <c r="J302" i="82"/>
  <c r="J301" i="82"/>
  <c r="J300" i="82"/>
  <c r="J299" i="82"/>
  <c r="M298" i="82"/>
  <c r="K298" i="82"/>
  <c r="L298" i="82"/>
  <c r="L655" i="82"/>
  <c r="K655" i="82"/>
  <c r="L288" i="82"/>
  <c r="K288" i="82"/>
  <c r="L656" i="82"/>
  <c r="K656" i="82"/>
  <c r="J335" i="82"/>
  <c r="K303" i="82"/>
  <c r="L303" i="82"/>
  <c r="K289" i="82"/>
  <c r="L289" i="82"/>
  <c r="K653" i="82"/>
  <c r="L653" i="82"/>
  <c r="K657" i="82"/>
  <c r="L657" i="82"/>
  <c r="K290" i="82"/>
  <c r="L290" i="82"/>
  <c r="K654" i="82"/>
  <c r="L654" i="82"/>
  <c r="K658" i="82"/>
  <c r="L658" i="82"/>
  <c r="K287" i="82"/>
  <c r="L287" i="82"/>
  <c r="L300" i="82"/>
  <c r="K300" i="82"/>
  <c r="K301" i="82"/>
  <c r="L301" i="82"/>
  <c r="L302" i="82"/>
  <c r="K302" i="82"/>
  <c r="J347" i="82"/>
  <c r="K335" i="82"/>
  <c r="L335" i="82"/>
  <c r="K299" i="82"/>
  <c r="L299" i="82"/>
  <c r="J334" i="82"/>
  <c r="J333" i="82"/>
  <c r="J332" i="82"/>
  <c r="J331" i="82"/>
  <c r="J342" i="82"/>
  <c r="K330" i="82"/>
  <c r="L330" i="82"/>
  <c r="J346" i="82"/>
  <c r="J345" i="82"/>
  <c r="J344" i="82"/>
  <c r="J343" i="82"/>
  <c r="J354" i="82"/>
  <c r="L342" i="82"/>
  <c r="K342" i="82"/>
  <c r="K334" i="82"/>
  <c r="L334" i="82"/>
  <c r="L331" i="82"/>
  <c r="K331" i="82"/>
  <c r="M330" i="82"/>
  <c r="J359" i="82"/>
  <c r="K347" i="82"/>
  <c r="L347" i="82"/>
  <c r="K332" i="82"/>
  <c r="L332" i="82"/>
  <c r="L333" i="82"/>
  <c r="K333" i="82"/>
  <c r="K344" i="82"/>
  <c r="L344" i="82"/>
  <c r="L359" i="82"/>
  <c r="J381" i="82"/>
  <c r="K359" i="82"/>
  <c r="K345" i="82"/>
  <c r="L345" i="82"/>
  <c r="J376" i="82"/>
  <c r="J358" i="82"/>
  <c r="J357" i="82"/>
  <c r="J356" i="82"/>
  <c r="J355" i="82"/>
  <c r="K354" i="82"/>
  <c r="L354" i="82"/>
  <c r="L346" i="82"/>
  <c r="K346" i="82"/>
  <c r="K343" i="82"/>
  <c r="L343" i="82"/>
  <c r="M342" i="82"/>
  <c r="K356" i="82"/>
  <c r="L356" i="82"/>
  <c r="M354" i="82"/>
  <c r="J393" i="82"/>
  <c r="K381" i="82"/>
  <c r="L381" i="82"/>
  <c r="L357" i="82"/>
  <c r="K357" i="82"/>
  <c r="K358" i="82"/>
  <c r="L358" i="82"/>
  <c r="L355" i="82"/>
  <c r="K355" i="82"/>
  <c r="J388" i="82"/>
  <c r="J377" i="82"/>
  <c r="J378" i="82"/>
  <c r="J379" i="82"/>
  <c r="J380" i="82"/>
  <c r="K376" i="82"/>
  <c r="L376" i="82"/>
  <c r="K378" i="82"/>
  <c r="L378" i="82"/>
  <c r="K393" i="82"/>
  <c r="L393" i="82"/>
  <c r="J405" i="82"/>
  <c r="K380" i="82"/>
  <c r="L380" i="82"/>
  <c r="J400" i="82"/>
  <c r="J392" i="82"/>
  <c r="K388" i="82"/>
  <c r="L388" i="82"/>
  <c r="J389" i="82"/>
  <c r="J390" i="82"/>
  <c r="J391" i="82"/>
  <c r="M388" i="82"/>
  <c r="L377" i="82"/>
  <c r="K377" i="82"/>
  <c r="M376" i="82"/>
  <c r="L379" i="82"/>
  <c r="K379" i="82"/>
  <c r="K389" i="82"/>
  <c r="L389" i="82"/>
  <c r="L405" i="82"/>
  <c r="K405" i="82"/>
  <c r="J417" i="82"/>
  <c r="K391" i="82"/>
  <c r="L391" i="82"/>
  <c r="K392" i="82"/>
  <c r="L392" i="82"/>
  <c r="K390" i="82"/>
  <c r="L390" i="82"/>
  <c r="J404" i="82"/>
  <c r="J403" i="82"/>
  <c r="J402" i="82"/>
  <c r="J401" i="82"/>
  <c r="J412" i="82"/>
  <c r="K400" i="82"/>
  <c r="L400" i="82"/>
  <c r="K402" i="82"/>
  <c r="L402" i="82"/>
  <c r="M400" i="82"/>
  <c r="L403" i="82"/>
  <c r="K403" i="82"/>
  <c r="L412" i="82"/>
  <c r="J416" i="82"/>
  <c r="J415" i="82"/>
  <c r="J414" i="82"/>
  <c r="J413" i="82"/>
  <c r="J424" i="82"/>
  <c r="K412" i="82"/>
  <c r="K404" i="82"/>
  <c r="L404" i="82"/>
  <c r="L401" i="82"/>
  <c r="K401" i="82"/>
  <c r="K417" i="82"/>
  <c r="L417" i="82"/>
  <c r="J429" i="82"/>
  <c r="L429" i="82"/>
  <c r="K429" i="82"/>
  <c r="J457" i="82"/>
  <c r="J428" i="82"/>
  <c r="J427" i="82"/>
  <c r="J426" i="82"/>
  <c r="J425" i="82"/>
  <c r="M424" i="82"/>
  <c r="J452" i="82"/>
  <c r="K424" i="82"/>
  <c r="L424" i="82"/>
  <c r="K416" i="82"/>
  <c r="L416" i="82"/>
  <c r="K413" i="82"/>
  <c r="L413" i="82"/>
  <c r="K414" i="82"/>
  <c r="L414" i="82"/>
  <c r="M412" i="82"/>
  <c r="L415" i="82"/>
  <c r="K415" i="82"/>
  <c r="L426" i="82"/>
  <c r="K426" i="82"/>
  <c r="L427" i="82"/>
  <c r="K427" i="82"/>
  <c r="J493" i="82"/>
  <c r="K457" i="82"/>
  <c r="L457" i="82"/>
  <c r="J488" i="82"/>
  <c r="J456" i="82"/>
  <c r="J455" i="82"/>
  <c r="J454" i="82"/>
  <c r="J453" i="82"/>
  <c r="M452" i="82"/>
  <c r="K452" i="82"/>
  <c r="L452" i="82"/>
  <c r="K428" i="82"/>
  <c r="L428" i="82"/>
  <c r="K425" i="82"/>
  <c r="L425" i="82"/>
  <c r="L455" i="82"/>
  <c r="K455" i="82"/>
  <c r="L456" i="82"/>
  <c r="K456" i="82"/>
  <c r="L453" i="82"/>
  <c r="K453" i="82"/>
  <c r="L493" i="82"/>
  <c r="J505" i="82"/>
  <c r="K493" i="82"/>
  <c r="K454" i="82"/>
  <c r="L454" i="82"/>
  <c r="L488" i="82"/>
  <c r="J492" i="82"/>
  <c r="K488" i="82"/>
  <c r="J489" i="82"/>
  <c r="J490" i="82"/>
  <c r="J500" i="82"/>
  <c r="J491" i="82"/>
  <c r="M488" i="82"/>
  <c r="L490" i="82"/>
  <c r="K490" i="82"/>
  <c r="L505" i="82"/>
  <c r="K505" i="82"/>
  <c r="L489" i="82"/>
  <c r="K489" i="82"/>
  <c r="L491" i="82"/>
  <c r="K491" i="82"/>
  <c r="J584" i="82"/>
  <c r="J502" i="82"/>
  <c r="J503" i="82"/>
  <c r="J504" i="82"/>
  <c r="J501" i="82"/>
  <c r="K500" i="82"/>
  <c r="L500" i="82"/>
  <c r="L492" i="82"/>
  <c r="K492" i="82"/>
  <c r="L503" i="82"/>
  <c r="K503" i="82"/>
  <c r="L502" i="82"/>
  <c r="K502" i="82"/>
  <c r="L501" i="82"/>
  <c r="K501" i="82"/>
  <c r="L504" i="82"/>
  <c r="K504" i="82"/>
  <c r="M500" i="82"/>
  <c r="J588" i="82"/>
  <c r="K584" i="82"/>
  <c r="L584" i="82"/>
  <c r="J585" i="82"/>
  <c r="J586" i="82"/>
  <c r="J596" i="82"/>
  <c r="J587" i="82"/>
  <c r="M584" i="82"/>
  <c r="K587" i="82"/>
  <c r="L587" i="82"/>
  <c r="J638" i="82"/>
  <c r="J600" i="82"/>
  <c r="J599" i="82"/>
  <c r="J598" i="82"/>
  <c r="J597" i="82"/>
  <c r="L596" i="82"/>
  <c r="K596" i="82"/>
  <c r="K588" i="82"/>
  <c r="L588" i="82"/>
  <c r="K586" i="82"/>
  <c r="L586" i="82"/>
  <c r="K585" i="82"/>
  <c r="L585" i="82"/>
  <c r="L597" i="82"/>
  <c r="K597" i="82"/>
  <c r="L638" i="82"/>
  <c r="J642" i="82"/>
  <c r="J641" i="82"/>
  <c r="J640" i="82"/>
  <c r="J639" i="82"/>
  <c r="K638" i="82"/>
  <c r="J688" i="82"/>
  <c r="L598" i="82"/>
  <c r="K598" i="82"/>
  <c r="M596" i="82"/>
  <c r="K599" i="82"/>
  <c r="L599" i="82"/>
  <c r="K600" i="82"/>
  <c r="L600" i="82"/>
  <c r="K642" i="82"/>
  <c r="L642" i="82"/>
  <c r="K639" i="82"/>
  <c r="L639" i="82"/>
  <c r="M638" i="82"/>
  <c r="K640" i="82"/>
  <c r="L640" i="82"/>
  <c r="J716" i="82"/>
  <c r="J690" i="82"/>
  <c r="J691" i="82"/>
  <c r="J692" i="82"/>
  <c r="J689" i="82"/>
  <c r="K688" i="82"/>
  <c r="L688" i="82"/>
  <c r="K641" i="82"/>
  <c r="L641" i="82"/>
  <c r="L692" i="82"/>
  <c r="K692" i="82"/>
  <c r="M688" i="82"/>
  <c r="J728" i="82"/>
  <c r="J719" i="82"/>
  <c r="M716" i="82"/>
  <c r="J720" i="82"/>
  <c r="J717" i="82"/>
  <c r="J718" i="82"/>
  <c r="K716" i="82"/>
  <c r="L716" i="82"/>
  <c r="K691" i="82"/>
  <c r="L691" i="82"/>
  <c r="K689" i="82"/>
  <c r="L689" i="82"/>
  <c r="K690" i="82"/>
  <c r="L690" i="82"/>
  <c r="K717" i="82"/>
  <c r="L717" i="82"/>
  <c r="J729" i="82"/>
  <c r="J748" i="82"/>
  <c r="M728" i="82"/>
  <c r="K728" i="82"/>
  <c r="L728" i="82"/>
  <c r="J732" i="82"/>
  <c r="K720" i="82"/>
  <c r="L720" i="82"/>
  <c r="K718" i="82"/>
  <c r="J730" i="82"/>
  <c r="L718" i="82"/>
  <c r="K719" i="82"/>
  <c r="L719" i="82"/>
  <c r="J731" i="82"/>
  <c r="L730" i="82"/>
  <c r="K730" i="82"/>
  <c r="L732" i="82"/>
  <c r="K732" i="82"/>
  <c r="J749" i="82"/>
  <c r="J776" i="82"/>
  <c r="J751" i="82"/>
  <c r="L748" i="82"/>
  <c r="J752" i="82"/>
  <c r="J750" i="82"/>
  <c r="K748" i="82"/>
  <c r="L731" i="82"/>
  <c r="K731" i="82"/>
  <c r="L729" i="82"/>
  <c r="K729" i="82"/>
  <c r="L750" i="82"/>
  <c r="K750" i="82"/>
  <c r="M748" i="82"/>
  <c r="K751" i="82"/>
  <c r="L751" i="82"/>
  <c r="J796" i="82"/>
  <c r="J779" i="82"/>
  <c r="J780" i="82"/>
  <c r="K776" i="82"/>
  <c r="L776" i="82"/>
  <c r="J777" i="82"/>
  <c r="J778" i="82"/>
  <c r="K752" i="82"/>
  <c r="L752" i="82"/>
  <c r="K749" i="82"/>
  <c r="L749" i="82"/>
  <c r="L778" i="82"/>
  <c r="K778" i="82"/>
  <c r="L777" i="82"/>
  <c r="K777" i="82"/>
  <c r="L779" i="82"/>
  <c r="K779" i="82"/>
  <c r="J800" i="82"/>
  <c r="K796" i="82"/>
  <c r="L796" i="82"/>
  <c r="J797" i="82"/>
  <c r="J798" i="82"/>
  <c r="J808" i="82"/>
  <c r="J799" i="82"/>
  <c r="L780" i="82"/>
  <c r="K780" i="82"/>
  <c r="M776" i="82"/>
  <c r="L799" i="82"/>
  <c r="K799" i="82"/>
  <c r="L808" i="82"/>
  <c r="J810" i="82"/>
  <c r="J811" i="82"/>
  <c r="J836" i="82"/>
  <c r="J812" i="82"/>
  <c r="J809" i="82"/>
  <c r="K808" i="82"/>
  <c r="L800" i="82"/>
  <c r="K800" i="82"/>
  <c r="L798" i="82"/>
  <c r="K798" i="82"/>
  <c r="M796" i="82"/>
  <c r="K797" i="82"/>
  <c r="L797" i="82"/>
  <c r="L809" i="82"/>
  <c r="K809" i="82"/>
  <c r="L811" i="82"/>
  <c r="K811" i="82"/>
  <c r="L812" i="82"/>
  <c r="K812" i="82"/>
  <c r="L810" i="82"/>
  <c r="K810" i="82"/>
  <c r="J840" i="82"/>
  <c r="J838" i="82"/>
  <c r="J839" i="82"/>
  <c r="J837" i="82"/>
  <c r="K836" i="82"/>
  <c r="L836" i="82"/>
  <c r="M808" i="82"/>
  <c r="K838" i="82"/>
  <c r="L838" i="82"/>
  <c r="L840" i="82"/>
  <c r="K840" i="82"/>
  <c r="J842" i="82"/>
  <c r="K837" i="82"/>
  <c r="L837" i="82"/>
  <c r="K839" i="82"/>
  <c r="L839" i="82"/>
  <c r="M836" i="82"/>
  <c r="M842" i="82"/>
  <c r="K842" i="82"/>
  <c r="L842" i="82"/>
  <c r="N12" i="80"/>
  <c r="N16" i="80"/>
  <c r="N18" i="80"/>
  <c r="N19" i="80"/>
  <c r="O8" i="80"/>
  <c r="P8" i="80"/>
  <c r="O18" i="80"/>
  <c r="P18" i="80"/>
  <c r="O16" i="80"/>
  <c r="P16" i="80"/>
  <c r="O12" i="80"/>
  <c r="P12" i="80"/>
  <c r="O4" i="80"/>
  <c r="P4" i="80"/>
  <c r="O2" i="80"/>
  <c r="P2" i="80"/>
  <c r="H121" i="77"/>
  <c r="R118" i="78"/>
  <c r="H118" i="78"/>
  <c r="D3" i="4"/>
  <c r="I52" i="80"/>
  <c r="I44" i="80"/>
  <c r="I36" i="80"/>
  <c r="K36" i="80"/>
  <c r="I32" i="80"/>
  <c r="I26" i="80"/>
  <c r="I22" i="80"/>
  <c r="I14" i="80"/>
  <c r="E72" i="80"/>
  <c r="O19" i="80"/>
  <c r="Q118" i="78"/>
  <c r="K118" i="78"/>
  <c r="J118" i="78"/>
  <c r="G118" i="78"/>
  <c r="F118" i="78"/>
  <c r="E118" i="78"/>
  <c r="D118" i="78"/>
  <c r="C117" i="78"/>
  <c r="R116" i="78"/>
  <c r="C116" i="78"/>
  <c r="R115" i="78"/>
  <c r="C115" i="78"/>
  <c r="R114" i="78"/>
  <c r="C114" i="78"/>
  <c r="R113" i="78"/>
  <c r="C113" i="78"/>
  <c r="R112" i="78"/>
  <c r="C112" i="78"/>
  <c r="R111" i="78"/>
  <c r="C111" i="78"/>
  <c r="R110" i="78"/>
  <c r="R109" i="78"/>
  <c r="C109" i="78"/>
  <c r="S106" i="78"/>
  <c r="S103" i="78"/>
  <c r="B103" i="78"/>
  <c r="V100" i="78"/>
  <c r="C88" i="78"/>
  <c r="T87" i="78"/>
  <c r="S87" i="78"/>
  <c r="T103" i="78"/>
  <c r="R87" i="78"/>
  <c r="T86" i="78"/>
  <c r="F86" i="78"/>
  <c r="D86" i="78"/>
  <c r="C86" i="78"/>
  <c r="U85" i="78"/>
  <c r="M85" i="78"/>
  <c r="U84" i="78"/>
  <c r="M84" i="78"/>
  <c r="U83" i="78"/>
  <c r="M83" i="78"/>
  <c r="U82" i="78"/>
  <c r="M82" i="78"/>
  <c r="U81" i="78"/>
  <c r="M81" i="78"/>
  <c r="U80" i="78"/>
  <c r="M80" i="78"/>
  <c r="U79" i="78"/>
  <c r="M79" i="78"/>
  <c r="U78" i="78"/>
  <c r="M78" i="78"/>
  <c r="U77" i="78"/>
  <c r="M77" i="78"/>
  <c r="U76" i="78"/>
  <c r="M76" i="78"/>
  <c r="U75" i="78"/>
  <c r="M75" i="78"/>
  <c r="U74" i="78"/>
  <c r="M74" i="78"/>
  <c r="U73" i="78"/>
  <c r="M73" i="78"/>
  <c r="U72" i="78"/>
  <c r="M72" i="78"/>
  <c r="U71" i="78"/>
  <c r="M71" i="78"/>
  <c r="U70" i="78"/>
  <c r="M70" i="78"/>
  <c r="U69" i="78"/>
  <c r="M69" i="78"/>
  <c r="U68" i="78"/>
  <c r="M68" i="78"/>
  <c r="U67" i="78"/>
  <c r="M67" i="78"/>
  <c r="U66" i="78"/>
  <c r="M66" i="78"/>
  <c r="U65" i="78"/>
  <c r="M65" i="78"/>
  <c r="U64" i="78"/>
  <c r="M64" i="78"/>
  <c r="U63" i="78"/>
  <c r="M63" i="78"/>
  <c r="U62" i="78"/>
  <c r="M62" i="78"/>
  <c r="U61" i="78"/>
  <c r="M61" i="78"/>
  <c r="U60" i="78"/>
  <c r="M60" i="78"/>
  <c r="U59" i="78"/>
  <c r="M59" i="78"/>
  <c r="U58" i="78"/>
  <c r="M58" i="78"/>
  <c r="U57" i="78"/>
  <c r="M57" i="78"/>
  <c r="U56" i="78"/>
  <c r="M56" i="78"/>
  <c r="U55" i="78"/>
  <c r="M55" i="78"/>
  <c r="U54" i="78"/>
  <c r="M54" i="78"/>
  <c r="U53" i="78"/>
  <c r="M53" i="78"/>
  <c r="U52" i="78"/>
  <c r="M52" i="78"/>
  <c r="U51" i="78"/>
  <c r="M51" i="78"/>
  <c r="U50" i="78"/>
  <c r="M50" i="78"/>
  <c r="U49" i="78"/>
  <c r="M49" i="78"/>
  <c r="U48" i="78"/>
  <c r="M48" i="78"/>
  <c r="U47" i="78"/>
  <c r="M47" i="78"/>
  <c r="U46" i="78"/>
  <c r="M46" i="78"/>
  <c r="U45" i="78"/>
  <c r="M45" i="78"/>
  <c r="U44" i="78"/>
  <c r="M44" i="78"/>
  <c r="U43" i="78"/>
  <c r="M43" i="78"/>
  <c r="U42" i="78"/>
  <c r="M42" i="78"/>
  <c r="U41" i="78"/>
  <c r="M41" i="78"/>
  <c r="U40" i="78"/>
  <c r="M40" i="78"/>
  <c r="U39" i="78"/>
  <c r="M39" i="78"/>
  <c r="U38" i="78"/>
  <c r="M38" i="78"/>
  <c r="U37" i="78"/>
  <c r="M37" i="78"/>
  <c r="U36" i="78"/>
  <c r="M36" i="78"/>
  <c r="U35" i="78"/>
  <c r="M35" i="78"/>
  <c r="U34" i="78"/>
  <c r="M34" i="78"/>
  <c r="U33" i="78"/>
  <c r="M33" i="78"/>
  <c r="U32" i="78"/>
  <c r="M32" i="78"/>
  <c r="U31" i="78"/>
  <c r="M31" i="78"/>
  <c r="U30" i="78"/>
  <c r="M30" i="78"/>
  <c r="U29" i="78"/>
  <c r="M29" i="78"/>
  <c r="U28" i="78"/>
  <c r="M28" i="78"/>
  <c r="U27" i="78"/>
  <c r="M27" i="78"/>
  <c r="U26" i="78"/>
  <c r="M26" i="78"/>
  <c r="U25" i="78"/>
  <c r="M25" i="78"/>
  <c r="U24" i="78"/>
  <c r="M24" i="78"/>
  <c r="U23" i="78"/>
  <c r="M23" i="78"/>
  <c r="U22" i="78"/>
  <c r="M22" i="78"/>
  <c r="U21" i="78"/>
  <c r="M21" i="78"/>
  <c r="U20" i="78"/>
  <c r="M20" i="78"/>
  <c r="U19" i="78"/>
  <c r="M19" i="78"/>
  <c r="U18" i="78"/>
  <c r="M18" i="78"/>
  <c r="U17" i="78"/>
  <c r="M17" i="78"/>
  <c r="U16" i="78"/>
  <c r="M16" i="78"/>
  <c r="U15" i="78"/>
  <c r="M15" i="78"/>
  <c r="U14" i="78"/>
  <c r="M14" i="78"/>
  <c r="U13" i="78"/>
  <c r="M13" i="78"/>
  <c r="U12" i="78"/>
  <c r="M12" i="78"/>
  <c r="U11" i="78"/>
  <c r="M11" i="78"/>
  <c r="U10" i="78"/>
  <c r="M10" i="78"/>
  <c r="U9" i="78"/>
  <c r="M9" i="78"/>
  <c r="U8" i="78"/>
  <c r="M8" i="78"/>
  <c r="U7" i="78"/>
  <c r="M7" i="78"/>
  <c r="U6" i="78"/>
  <c r="M6" i="78"/>
  <c r="U5" i="78"/>
  <c r="M5" i="78"/>
  <c r="U4" i="78"/>
  <c r="M4" i="78"/>
  <c r="U3" i="78"/>
  <c r="U87" i="78"/>
  <c r="U106" i="78"/>
  <c r="U103" i="78"/>
  <c r="H85" i="77"/>
  <c r="O119" i="77"/>
  <c r="O113" i="77"/>
  <c r="N108" i="77"/>
  <c r="N109" i="77"/>
  <c r="N106" i="77"/>
  <c r="L100" i="77"/>
  <c r="J96" i="77"/>
  <c r="N96" i="77"/>
  <c r="L96" i="77"/>
  <c r="K85" i="77"/>
  <c r="F85" i="77"/>
  <c r="G85" i="77"/>
  <c r="I85" i="77"/>
  <c r="L85" i="77"/>
  <c r="M85" i="77"/>
  <c r="E85" i="77"/>
  <c r="N84" i="77"/>
  <c r="M84" i="77"/>
  <c r="N2" i="77"/>
  <c r="N88" i="77"/>
  <c r="N89" i="77"/>
  <c r="N3" i="77"/>
  <c r="N4" i="77"/>
  <c r="N5" i="77"/>
  <c r="N6" i="77"/>
  <c r="N7" i="77"/>
  <c r="N8" i="77"/>
  <c r="N9" i="77"/>
  <c r="N10" i="77"/>
  <c r="N11" i="77"/>
  <c r="N12"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52" i="77"/>
  <c r="N53" i="77"/>
  <c r="N54" i="77"/>
  <c r="N55" i="77"/>
  <c r="N56" i="77"/>
  <c r="N57" i="77"/>
  <c r="N58" i="77"/>
  <c r="N59" i="77"/>
  <c r="N60" i="77"/>
  <c r="N61" i="77"/>
  <c r="N62" i="77"/>
  <c r="N63" i="77"/>
  <c r="N64" i="77"/>
  <c r="N65" i="77"/>
  <c r="N66" i="77"/>
  <c r="N67" i="77"/>
  <c r="N68" i="77"/>
  <c r="N69" i="77"/>
  <c r="N70" i="77"/>
  <c r="N71" i="77"/>
  <c r="N72" i="77"/>
  <c r="N73" i="77"/>
  <c r="N74" i="77"/>
  <c r="N75" i="77"/>
  <c r="N76" i="77"/>
  <c r="N77" i="77"/>
  <c r="N78" i="77"/>
  <c r="N79" i="77"/>
  <c r="N80" i="77"/>
  <c r="N81" i="77"/>
  <c r="N82" i="77"/>
  <c r="N83" i="77"/>
  <c r="N86" i="77"/>
  <c r="N87" i="77"/>
  <c r="N90" i="77"/>
  <c r="N91" i="77"/>
  <c r="N92" i="77"/>
  <c r="N94" i="77"/>
  <c r="N95" i="77"/>
  <c r="N98" i="77"/>
  <c r="N99" i="77"/>
  <c r="N100" i="77"/>
  <c r="N102" i="77"/>
  <c r="N103" i="77"/>
  <c r="N104" i="77"/>
  <c r="N105" i="77"/>
  <c r="N110" i="77"/>
  <c r="N111" i="77"/>
  <c r="N112" i="77"/>
  <c r="N114" i="77"/>
  <c r="N115" i="77"/>
  <c r="N116" i="77"/>
  <c r="N117" i="77"/>
  <c r="N118" i="77"/>
  <c r="N122" i="77"/>
  <c r="N123" i="77"/>
  <c r="N124" i="77"/>
  <c r="N125" i="77"/>
  <c r="N126" i="77"/>
  <c r="N127" i="77"/>
  <c r="N128" i="77"/>
  <c r="N129" i="77"/>
  <c r="N130" i="77"/>
  <c r="N131" i="77"/>
  <c r="N132" i="77"/>
  <c r="N133" i="77"/>
  <c r="N134" i="77"/>
  <c r="B3" i="77"/>
  <c r="N85" i="77"/>
  <c r="O85" i="77"/>
  <c r="O107" i="77"/>
  <c r="O93" i="77"/>
  <c r="O101" i="77"/>
  <c r="O97" i="77"/>
  <c r="AB7" i="71"/>
  <c r="AB6" i="71"/>
  <c r="AB5" i="71"/>
  <c r="AA6" i="71"/>
  <c r="AA5" i="71"/>
  <c r="Y5" i="71"/>
  <c r="Y6" i="71"/>
  <c r="Z6" i="71"/>
  <c r="X5" i="71"/>
  <c r="X6" i="71"/>
  <c r="AH5" i="71"/>
  <c r="AG5" i="71"/>
  <c r="AE5" i="71"/>
  <c r="AF5" i="71"/>
  <c r="AD5" i="71"/>
  <c r="Q5" i="71"/>
  <c r="Q6" i="71"/>
  <c r="P5" i="71"/>
  <c r="P6" i="71"/>
  <c r="O5" i="71"/>
  <c r="O6" i="71"/>
  <c r="Z5" i="71"/>
  <c r="N5" i="71"/>
  <c r="N6" i="71"/>
  <c r="F6" i="71"/>
  <c r="F5" i="71"/>
  <c r="E6" i="71"/>
  <c r="E5" i="71"/>
  <c r="C6" i="71"/>
  <c r="C5" i="71"/>
  <c r="D5" i="71"/>
  <c r="B6" i="71"/>
  <c r="B5" i="71"/>
  <c r="AH6" i="71"/>
  <c r="AG6" i="71"/>
  <c r="AE6" i="71"/>
  <c r="AF6" i="71"/>
  <c r="AD6" i="71"/>
  <c r="Q7" i="71"/>
  <c r="Q8" i="71"/>
  <c r="P7" i="71"/>
  <c r="P8" i="71"/>
  <c r="O7" i="71"/>
  <c r="O8" i="71"/>
  <c r="N7" i="71"/>
  <c r="N8" i="71"/>
  <c r="F8" i="71"/>
  <c r="F7" i="71"/>
  <c r="E8" i="71"/>
  <c r="E7" i="71"/>
  <c r="C8" i="71"/>
  <c r="C7" i="71"/>
  <c r="D6" i="71"/>
  <c r="B8" i="71"/>
  <c r="B7"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A7" i="71"/>
  <c r="Y7" i="71"/>
  <c r="X7" i="71"/>
  <c r="AD9" i="71"/>
  <c r="AH9" i="71"/>
  <c r="AG9" i="71"/>
  <c r="AE9" i="71"/>
  <c r="AF9" i="71"/>
  <c r="Q9" i="71"/>
  <c r="P9" i="71"/>
  <c r="O9" i="71"/>
  <c r="N9" i="71"/>
  <c r="L3" i="71"/>
  <c r="AH3" i="71"/>
  <c r="K3" i="71"/>
  <c r="AG3" i="71"/>
  <c r="J3" i="71"/>
  <c r="AE3" i="71"/>
  <c r="I3" i="71"/>
  <c r="AH10" i="71"/>
  <c r="AG10" i="71"/>
  <c r="AE10" i="71"/>
  <c r="AF10" i="71"/>
  <c r="AD10" i="71"/>
  <c r="Q10" i="71"/>
  <c r="Q11" i="71"/>
  <c r="P10" i="71"/>
  <c r="P11" i="71"/>
  <c r="AA10" i="71"/>
  <c r="O10" i="71"/>
  <c r="O11" i="71"/>
  <c r="N10" i="71"/>
  <c r="N11" i="71"/>
  <c r="X10" i="71"/>
  <c r="N12" i="71"/>
  <c r="AH11" i="71"/>
  <c r="AG11" i="71"/>
  <c r="AE11" i="71"/>
  <c r="AF11" i="71"/>
  <c r="AD11" i="71"/>
  <c r="Q12" i="71"/>
  <c r="AB10" i="71"/>
  <c r="P12" i="71"/>
  <c r="AA11" i="71"/>
  <c r="O12" i="71"/>
  <c r="Y10" i="71"/>
  <c r="Z10" i="71"/>
  <c r="M19" i="43"/>
  <c r="D14" i="71"/>
  <c r="AH12" i="71"/>
  <c r="AG12" i="71"/>
  <c r="AE12" i="71"/>
  <c r="AF12" i="71"/>
  <c r="AD12" i="71"/>
  <c r="AD13" i="71"/>
  <c r="AG13" i="71"/>
  <c r="AH13" i="71"/>
  <c r="AE13" i="71"/>
  <c r="AF13" i="71"/>
  <c r="N13" i="71"/>
  <c r="X11" i="71"/>
  <c r="Q13" i="71"/>
  <c r="AB12" i="71"/>
  <c r="P13" i="71"/>
  <c r="AA12" i="71"/>
  <c r="O13" i="71"/>
  <c r="Y11" i="71"/>
  <c r="Z11" i="71"/>
  <c r="Y12" i="71"/>
  <c r="Z12" i="71"/>
  <c r="C13" i="71"/>
  <c r="C12" i="71"/>
  <c r="Q14" i="71"/>
  <c r="F13" i="71"/>
  <c r="F12" i="71"/>
  <c r="F11" i="71"/>
  <c r="P14" i="71"/>
  <c r="E13" i="71"/>
  <c r="E12" i="71"/>
  <c r="E11" i="71"/>
  <c r="O14" i="71"/>
  <c r="N14" i="71"/>
  <c r="B13" i="71"/>
  <c r="B12" i="71"/>
  <c r="B11" i="71"/>
  <c r="B10" i="71"/>
  <c r="B9" i="71"/>
  <c r="V13" i="71"/>
  <c r="AB13" i="71"/>
  <c r="Y13" i="71"/>
  <c r="Z13" i="71"/>
  <c r="X13" i="71"/>
  <c r="AA13" i="71"/>
  <c r="A2" i="53"/>
  <c r="K59" i="67"/>
  <c r="P61" i="67"/>
  <c r="K59" i="15"/>
  <c r="P74" i="15"/>
  <c r="P74" i="67"/>
  <c r="D116" i="39"/>
  <c r="E116" i="39"/>
  <c r="F116" i="39"/>
  <c r="G116" i="39"/>
  <c r="H116" i="39"/>
  <c r="I116" i="39"/>
  <c r="J116" i="39"/>
  <c r="K116" i="39"/>
  <c r="L116" i="39"/>
  <c r="M116" i="39"/>
  <c r="C116" i="39"/>
  <c r="A21" i="62"/>
  <c r="A20" i="62"/>
  <c r="A22" i="51"/>
  <c r="A21" i="51"/>
  <c r="B16" i="72"/>
  <c r="A20" i="51"/>
  <c r="A14" i="62"/>
  <c r="A13" i="62"/>
  <c r="B59" i="72"/>
  <c r="A19" i="62"/>
  <c r="A12" i="62"/>
  <c r="B58" i="72"/>
  <c r="A120" i="9"/>
  <c r="H2" i="52"/>
  <c r="A1" i="52"/>
  <c r="A3" i="53"/>
  <c r="Q15" i="71"/>
  <c r="P15" i="71"/>
  <c r="O15" i="71"/>
  <c r="N15" i="71"/>
  <c r="A15" i="51"/>
  <c r="B12" i="72"/>
  <c r="C76" i="9"/>
  <c r="I107" i="40"/>
  <c r="K6" i="4"/>
  <c r="N56" i="9"/>
  <c r="B22" i="31"/>
  <c r="K56" i="9"/>
  <c r="E16" i="74"/>
  <c r="F16" i="74"/>
  <c r="E17" i="74"/>
  <c r="F17" i="74"/>
  <c r="E18" i="74"/>
  <c r="F18" i="74"/>
  <c r="E19" i="74"/>
  <c r="F19" i="74"/>
  <c r="E20" i="74"/>
  <c r="F20" i="74"/>
  <c r="E21" i="74"/>
  <c r="F21" i="74"/>
  <c r="E22" i="74"/>
  <c r="F22" i="74"/>
  <c r="E23" i="74"/>
  <c r="F23" i="74"/>
  <c r="B3" i="74"/>
  <c r="C91" i="9"/>
  <c r="B8" i="72"/>
  <c r="O16" i="71"/>
  <c r="P16" i="71"/>
  <c r="Q16" i="71"/>
  <c r="N16"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B44" i="72"/>
  <c r="B42" i="72"/>
  <c r="B69" i="72"/>
  <c r="B68" i="72"/>
  <c r="B63" i="72"/>
  <c r="B62"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C43" i="71"/>
  <c r="Q42" i="71"/>
  <c r="F43" i="71"/>
  <c r="F44" i="71"/>
  <c r="F45" i="71"/>
  <c r="V45" i="71"/>
  <c r="P42" i="71"/>
  <c r="E43" i="71"/>
  <c r="O42"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AB28" i="71"/>
  <c r="Q28" i="71"/>
  <c r="P28" i="71"/>
  <c r="AA28" i="71"/>
  <c r="O28" i="71"/>
  <c r="Y28" i="71"/>
  <c r="Z28" i="71"/>
  <c r="N28" i="71"/>
  <c r="X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O17" i="71"/>
  <c r="N17"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P17" i="71"/>
  <c r="E44" i="71"/>
  <c r="E45" i="71"/>
  <c r="U45" i="71"/>
  <c r="E48" i="71"/>
  <c r="E49" i="71"/>
  <c r="U49" i="71"/>
  <c r="E52" i="71"/>
  <c r="E53" i="71"/>
  <c r="U53" i="71"/>
  <c r="Q54" i="71"/>
  <c r="U57" i="71"/>
  <c r="E56" i="71"/>
  <c r="Q17"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9" i="1"/>
  <c r="AP10" i="1"/>
  <c r="AP11" i="1"/>
  <c r="AP12" i="1"/>
  <c r="AP13" i="1"/>
  <c r="L22" i="6"/>
  <c r="L23" i="6"/>
  <c r="L25" i="6"/>
  <c r="P27" i="6"/>
  <c r="A7" i="70"/>
  <c r="A8" i="70"/>
  <c r="A9" i="70"/>
  <c r="A10" i="70"/>
  <c r="E10" i="70"/>
  <c r="A11" i="70"/>
  <c r="A12" i="70"/>
  <c r="E12" i="70"/>
  <c r="A13" i="70"/>
  <c r="E13" i="70"/>
  <c r="A6" i="70"/>
  <c r="Q25" i="40"/>
  <c r="Z25" i="40"/>
  <c r="D94" i="40"/>
  <c r="E94" i="40"/>
  <c r="F25" i="40"/>
  <c r="AA25" i="40"/>
  <c r="Z29" i="39"/>
  <c r="Q29" i="39"/>
  <c r="D103" i="39"/>
  <c r="E103" i="39"/>
  <c r="F103" i="39"/>
  <c r="G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55" i="43"/>
  <c r="C25" i="40"/>
  <c r="S25" i="40"/>
  <c r="S18" i="36"/>
  <c r="U18" i="36"/>
  <c r="S21" i="34"/>
  <c r="F94" i="40"/>
  <c r="H25" i="40"/>
  <c r="G94" i="40"/>
  <c r="J25" i="40"/>
  <c r="H29" i="39"/>
  <c r="AB29" i="39"/>
  <c r="J29" i="39"/>
  <c r="AC29" i="39"/>
  <c r="G66" i="36"/>
  <c r="J18" i="36"/>
  <c r="F68" i="35"/>
  <c r="G68" i="35"/>
  <c r="H18" i="35"/>
  <c r="AB18" i="35"/>
  <c r="J18" i="35"/>
  <c r="W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F38" i="68"/>
  <c r="E37" i="68"/>
  <c r="F36" i="68"/>
  <c r="F35" i="68"/>
  <c r="F21" i="68"/>
  <c r="C21" i="68"/>
  <c r="F20" i="68"/>
  <c r="E10" i="68"/>
  <c r="E9" i="68"/>
  <c r="W21" i="21"/>
  <c r="AC21" i="21"/>
  <c r="Q72" i="67"/>
  <c r="Q59" i="67"/>
  <c r="Q58" i="67"/>
  <c r="Q51" i="67"/>
  <c r="J50" i="67"/>
  <c r="M47" i="67"/>
  <c r="D46" i="67"/>
  <c r="F33" i="67"/>
  <c r="F61" i="67"/>
  <c r="F23" i="67"/>
  <c r="D24" i="67"/>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B7" i="1"/>
  <c r="E7" i="1"/>
  <c r="A8" i="1"/>
  <c r="B8" i="1"/>
  <c r="E8" i="1"/>
  <c r="A9" i="1"/>
  <c r="A10" i="1"/>
  <c r="B11" i="1"/>
  <c r="E11" i="1"/>
  <c r="A12" i="1"/>
  <c r="B13" i="1"/>
  <c r="E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22" i="1"/>
  <c r="B23" i="1"/>
  <c r="B24" i="1"/>
  <c r="B43" i="1"/>
  <c r="D78" i="9"/>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4" i="3"/>
  <c r="BP15" i="3"/>
  <c r="BP16" i="3"/>
  <c r="BP17" i="3"/>
  <c r="M8" i="1"/>
  <c r="F23" i="15"/>
  <c r="D24" i="15"/>
  <c r="E23" i="6"/>
  <c r="O10" i="1"/>
  <c r="P10" i="1"/>
  <c r="E25" i="6"/>
  <c r="M13" i="1"/>
  <c r="O13" i="1"/>
  <c r="P13" i="1"/>
  <c r="BB13" i="3"/>
  <c r="BF13" i="3"/>
  <c r="BG13" i="3"/>
  <c r="BH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I55" i="9"/>
  <c r="F55" i="9"/>
  <c r="O53" i="9"/>
  <c r="D89" i="9"/>
  <c r="C89" i="9"/>
  <c r="C87" i="9"/>
  <c r="G12" i="1"/>
  <c r="J55" i="9"/>
  <c r="B31" i="1"/>
  <c r="B52" i="1"/>
  <c r="M20" i="15"/>
  <c r="T4" i="1"/>
  <c r="F15" i="15"/>
  <c r="F17" i="15"/>
  <c r="F18" i="15"/>
  <c r="F20" i="15"/>
  <c r="F21" i="1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B114" i="39"/>
  <c r="J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G95" i="39"/>
  <c r="D93" i="39"/>
  <c r="E93" i="39"/>
  <c r="F93" i="39"/>
  <c r="G93" i="39"/>
  <c r="D91" i="39"/>
  <c r="E91" i="39"/>
  <c r="F91" i="39"/>
  <c r="G91" i="39"/>
  <c r="D89" i="39"/>
  <c r="E89" i="39"/>
  <c r="B86" i="39"/>
  <c r="B84" i="39"/>
  <c r="B82" i="39"/>
  <c r="J12" i="39"/>
  <c r="AC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4" i="35"/>
  <c r="E64" i="35"/>
  <c r="F56" i="35"/>
  <c r="G56" i="35"/>
  <c r="H56" i="35"/>
  <c r="I56" i="35"/>
  <c r="C53" i="35"/>
  <c r="J9" i="35"/>
  <c r="AC9" i="35"/>
  <c r="P39" i="35"/>
  <c r="P38" i="35"/>
  <c r="V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C15" i="39"/>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U31" i="35"/>
  <c r="W36" i="35"/>
  <c r="S31"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AA41" i="39"/>
  <c r="H40" i="39"/>
  <c r="AB40" i="39"/>
  <c r="S38" i="39"/>
  <c r="S34" i="39"/>
  <c r="H34" i="39"/>
  <c r="U34" i="39"/>
  <c r="E109" i="39"/>
  <c r="F109" i="39"/>
  <c r="G109" i="39"/>
  <c r="H109" i="39"/>
  <c r="I109" i="39"/>
  <c r="J109" i="39"/>
  <c r="K109" i="39"/>
  <c r="L109" i="39"/>
  <c r="M109" i="39"/>
  <c r="H31" i="39"/>
  <c r="U31" i="39"/>
  <c r="F31" i="39"/>
  <c r="AA31" i="39"/>
  <c r="E101" i="39"/>
  <c r="F101" i="39"/>
  <c r="G101" i="39"/>
  <c r="H19" i="39"/>
  <c r="AB19" i="39"/>
  <c r="F19" i="39"/>
  <c r="AA19" i="39"/>
  <c r="H17" i="39"/>
  <c r="AB17" i="39"/>
  <c r="F17" i="39"/>
  <c r="AA17" i="39"/>
  <c r="J23" i="40"/>
  <c r="AC23" i="40"/>
  <c r="F21" i="40"/>
  <c r="AA21" i="40"/>
  <c r="J21" i="40"/>
  <c r="W21" i="40"/>
  <c r="H42" i="39"/>
  <c r="AB42" i="39"/>
  <c r="J34" i="39"/>
  <c r="AC34" i="39"/>
  <c r="J31" i="39"/>
  <c r="AC31" i="39"/>
  <c r="H27" i="39"/>
  <c r="AB27" i="39"/>
  <c r="J19" i="39"/>
  <c r="AC19" i="39"/>
  <c r="J17" i="39"/>
  <c r="W17" i="39"/>
  <c r="J27" i="39"/>
  <c r="AC27" i="39"/>
  <c r="F27" i="39"/>
  <c r="S27" i="39"/>
  <c r="F11" i="21"/>
  <c r="S11" i="21"/>
  <c r="S40" i="21"/>
  <c r="U34" i="21"/>
  <c r="S34" i="21"/>
  <c r="C25" i="39"/>
  <c r="C27" i="39"/>
  <c r="C21" i="39"/>
  <c r="H11"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S22" i="35"/>
  <c r="H10" i="35"/>
  <c r="AB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F23" i="35"/>
  <c r="AA23" i="35"/>
  <c r="J32" i="35"/>
  <c r="W32"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F29" i="35"/>
  <c r="AA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W33" i="35"/>
  <c r="F30" i="35"/>
  <c r="AA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AA13" i="39"/>
  <c r="J13" i="39"/>
  <c r="W13" i="39"/>
  <c r="H13" i="39"/>
  <c r="U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AA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H37" i="39"/>
  <c r="U37" i="39"/>
  <c r="AC37" i="39"/>
  <c r="W37" i="39"/>
  <c r="H25" i="39"/>
  <c r="AB25" i="39"/>
  <c r="J25" i="39"/>
  <c r="AC25" i="39"/>
  <c r="F25" i="39"/>
  <c r="S25" i="39"/>
  <c r="H41" i="39"/>
  <c r="U41" i="39"/>
  <c r="W14" i="39"/>
  <c r="W8" i="39"/>
  <c r="J19" i="40"/>
  <c r="AC19" i="40"/>
  <c r="J50" i="40"/>
  <c r="H103" i="9"/>
  <c r="D8" i="53"/>
  <c r="B16" i="53"/>
  <c r="B33" i="72"/>
  <c r="C7" i="37"/>
  <c r="C7" i="34"/>
  <c r="C7" i="36"/>
  <c r="W35" i="40"/>
  <c r="A118" i="9"/>
  <c r="A4" i="52"/>
  <c r="B41" i="72"/>
  <c r="J11" i="39"/>
  <c r="W11" i="39"/>
  <c r="F11" i="39"/>
  <c r="AA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AZ309" i="3"/>
  <c r="AZ317" i="3"/>
  <c r="AZ325" i="3"/>
  <c r="AZ333" i="3"/>
  <c r="AZ341" i="3"/>
  <c r="AC5" i="3"/>
  <c r="AZ549" i="3"/>
  <c r="AZ506" i="3"/>
  <c r="AZ496" i="3"/>
  <c r="G548" i="3"/>
  <c r="G538" i="3"/>
  <c r="G520" i="3"/>
  <c r="G502" i="3"/>
  <c r="BS5" i="3"/>
  <c r="BN5" i="3"/>
  <c r="AZ343" i="3"/>
  <c r="BK5" i="3"/>
  <c r="BI5" i="3"/>
  <c r="BG5" i="3"/>
  <c r="G17" i="3"/>
  <c r="BA17" i="3"/>
  <c r="BT5" i="3"/>
  <c r="AZ350" i="3"/>
  <c r="AZ352" i="3"/>
  <c r="AZ356" i="3"/>
  <c r="AZ360" i="3"/>
  <c r="AZ364" i="3"/>
  <c r="AZ368" i="3"/>
  <c r="BA15" i="3"/>
  <c r="AZ15" i="3"/>
  <c r="BB5" i="3"/>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G6" i="1"/>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H20" i="35"/>
  <c r="U20" i="35"/>
  <c r="F20" i="35"/>
  <c r="S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C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D93" i="9"/>
  <c r="M6" i="1"/>
  <c r="O6" i="1"/>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D1" i="66"/>
  <c r="E10" i="66"/>
  <c r="AZ80" i="3"/>
  <c r="AZ84" i="3"/>
  <c r="AZ88" i="3"/>
  <c r="AZ107" i="3"/>
  <c r="AZ111" i="3"/>
  <c r="M12"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S43" i="39"/>
  <c r="S37" i="39"/>
  <c r="U35" i="39"/>
  <c r="F32" i="39"/>
  <c r="S32" i="39"/>
  <c r="J21" i="39"/>
  <c r="AC21" i="39"/>
  <c r="F21" i="39"/>
  <c r="AA21" i="39"/>
  <c r="H21" i="39"/>
  <c r="AB21"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36" i="35"/>
  <c r="AA36" i="35"/>
  <c r="AA11" i="35"/>
  <c r="S8" i="35"/>
  <c r="W9" i="35"/>
  <c r="AC12" i="35"/>
  <c r="W13" i="35"/>
  <c r="F9" i="35"/>
  <c r="AA9" i="35"/>
  <c r="H9" i="35"/>
  <c r="U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G13" i="3"/>
  <c r="G5" i="3"/>
  <c r="B3" i="3"/>
  <c r="BL17" i="3"/>
  <c r="AZ17" i="3"/>
  <c r="BL5" i="3"/>
  <c r="J56" i="9"/>
  <c r="J57" i="9"/>
  <c r="J59" i="9"/>
  <c r="J61" i="9"/>
  <c r="A24" i="51"/>
  <c r="B18" i="72"/>
  <c r="U29" i="34"/>
  <c r="E32" i="6"/>
  <c r="L24" i="6"/>
  <c r="G1" i="68"/>
  <c r="K1" i="12"/>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71" i="43"/>
  <c r="C17" i="43"/>
  <c r="F33" i="43"/>
  <c r="K17" i="43"/>
  <c r="F34" i="43"/>
  <c r="N6" i="43"/>
  <c r="C6" i="43"/>
  <c r="N3" i="43"/>
  <c r="F38" i="43"/>
  <c r="F37" i="43"/>
  <c r="M9" i="43"/>
  <c r="N5" i="43"/>
  <c r="M12" i="43"/>
  <c r="B19" i="53"/>
  <c r="B37" i="72"/>
  <c r="C7" i="39"/>
  <c r="C68" i="39"/>
  <c r="D68" i="39"/>
  <c r="C7" i="35"/>
  <c r="C48" i="35"/>
  <c r="C7" i="33"/>
  <c r="C58" i="33"/>
  <c r="D58" i="33"/>
  <c r="C7" i="21"/>
  <c r="C58" i="21"/>
  <c r="C7" i="40"/>
  <c r="C63" i="40"/>
  <c r="M47" i="9"/>
  <c r="G19" i="43"/>
  <c r="O19" i="43"/>
  <c r="C46" i="36"/>
  <c r="D46" i="36"/>
  <c r="C59" i="34"/>
  <c r="D59" i="34"/>
  <c r="C52" i="37"/>
  <c r="D52" i="37"/>
  <c r="A4" i="51"/>
  <c r="B6" i="72"/>
  <c r="H66" i="43"/>
  <c r="H65" i="43"/>
  <c r="H64" i="43"/>
  <c r="H63" i="43"/>
  <c r="H55" i="43"/>
  <c r="H72" i="43"/>
  <c r="B6" i="1"/>
  <c r="E6" i="1"/>
  <c r="B9" i="1"/>
  <c r="E9" i="1"/>
  <c r="A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S13" i="39"/>
  <c r="S14" i="39"/>
  <c r="AA14" i="39"/>
  <c r="U43" i="39"/>
  <c r="AB43" i="39"/>
  <c r="AB11" i="39"/>
  <c r="U11" i="39"/>
  <c r="AA45" i="39"/>
  <c r="U38" i="39"/>
  <c r="S8" i="39"/>
  <c r="S20" i="36"/>
  <c r="AC25" i="36"/>
  <c r="S28" i="36"/>
  <c r="U32" i="36"/>
  <c r="W29" i="36"/>
  <c r="AC20" i="36"/>
  <c r="U25" i="36"/>
  <c r="AB28" i="36"/>
  <c r="AA13" i="36"/>
  <c r="W9" i="36"/>
  <c r="W22" i="36"/>
  <c r="W23" i="36"/>
  <c r="S9" i="36"/>
  <c r="AC25" i="35"/>
  <c r="U25" i="35"/>
  <c r="S24"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54" i="43"/>
  <c r="B65" i="43"/>
  <c r="B49" i="43"/>
  <c r="B52" i="43"/>
  <c r="B56" i="43"/>
  <c r="B60" i="43"/>
  <c r="B63" i="43"/>
  <c r="B67" i="43"/>
  <c r="D23" i="15"/>
  <c r="D22" i="15"/>
  <c r="F30" i="68"/>
  <c r="F30" i="11"/>
  <c r="C48" i="11"/>
  <c r="F28" i="67"/>
  <c r="F31" i="12"/>
  <c r="F52" i="9"/>
  <c r="M18" i="67"/>
  <c r="F32" i="67"/>
  <c r="F60" i="67"/>
  <c r="F30" i="69"/>
  <c r="C48" i="69"/>
  <c r="F32" i="15"/>
  <c r="F60" i="15"/>
  <c r="M18" i="15"/>
  <c r="F28" i="15"/>
  <c r="C28" i="15"/>
  <c r="E7" i="70"/>
  <c r="AA39" i="40"/>
  <c r="S39" i="40"/>
  <c r="S12" i="33"/>
  <c r="AA12" i="33"/>
  <c r="D68" i="9"/>
  <c r="F54" i="9"/>
  <c r="J32" i="39"/>
  <c r="AC32" i="39"/>
  <c r="H32" i="39"/>
  <c r="U32" i="39"/>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R22" i="31"/>
  <c r="B21" i="31"/>
  <c r="AB45" i="21"/>
  <c r="AC33" i="21"/>
  <c r="W33" i="21"/>
  <c r="S33" i="21"/>
  <c r="AA33" i="21"/>
  <c r="W32" i="21"/>
  <c r="AC32" i="21"/>
  <c r="AB9" i="21"/>
  <c r="U9" i="21"/>
  <c r="AA32" i="21"/>
  <c r="S32" i="21"/>
  <c r="W9" i="21"/>
  <c r="AC9" i="21"/>
  <c r="AB32" i="21"/>
  <c r="U32" i="21"/>
  <c r="AA10" i="21"/>
  <c r="S10" i="21"/>
  <c r="C30" i="11"/>
  <c r="E6" i="70"/>
  <c r="A18" i="62"/>
  <c r="B64" i="72"/>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AE7" i="1"/>
  <c r="AE6" i="1"/>
  <c r="AG6" i="1"/>
  <c r="H112" i="9"/>
  <c r="D21" i="53"/>
  <c r="B39" i="72"/>
  <c r="H111" i="9"/>
  <c r="D126" i="9"/>
  <c r="I14" i="74"/>
  <c r="B8" i="74"/>
  <c r="D59" i="9"/>
  <c r="M55" i="9"/>
  <c r="AD3" i="71"/>
  <c r="C65" i="40"/>
  <c r="D63" i="40"/>
  <c r="J1" i="73"/>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E46" i="36"/>
  <c r="F46" i="36"/>
  <c r="G46" i="36"/>
  <c r="H46" i="36"/>
  <c r="I46" i="36"/>
  <c r="J46" i="36"/>
  <c r="K46" i="36"/>
  <c r="L46" i="36"/>
  <c r="M46" i="36"/>
  <c r="N46" i="36"/>
  <c r="O46" i="36"/>
  <c r="C24" i="12"/>
  <c r="C48" i="68"/>
  <c r="C11" i="71"/>
  <c r="D11" i="71"/>
  <c r="D12" i="71"/>
  <c r="D13" i="71"/>
  <c r="U13" i="71"/>
  <c r="S13" i="71"/>
  <c r="T13" i="71"/>
  <c r="AB11" i="71"/>
  <c r="X9" i="71"/>
  <c r="X8" i="71"/>
  <c r="AA9" i="71"/>
  <c r="AA8" i="71"/>
  <c r="X12" i="71"/>
  <c r="Z7" i="71"/>
  <c r="Y8" i="71"/>
  <c r="Z8" i="71"/>
  <c r="AB9" i="71"/>
  <c r="AB8" i="71"/>
  <c r="S9" i="71"/>
  <c r="F10" i="71"/>
  <c r="F9" i="71"/>
  <c r="Y9" i="71"/>
  <c r="Z9" i="71"/>
  <c r="AB3" i="71"/>
  <c r="X3" i="71"/>
  <c r="C10" i="71"/>
  <c r="E10" i="71"/>
  <c r="E9" i="71"/>
  <c r="AF3" i="71"/>
  <c r="P24" i="43"/>
  <c r="B66" i="40"/>
  <c r="P21" i="43"/>
  <c r="P22" i="43"/>
  <c r="G20" i="43"/>
  <c r="D70" i="39"/>
  <c r="E68" i="39"/>
  <c r="V9" i="71"/>
  <c r="P23" i="43"/>
  <c r="B71" i="39"/>
  <c r="C9" i="71"/>
  <c r="D10" i="71"/>
  <c r="P25" i="43"/>
  <c r="E41" i="43"/>
  <c r="C41" i="43"/>
  <c r="F68" i="39"/>
  <c r="E70" i="39"/>
  <c r="D7" i="71"/>
  <c r="T9" i="71"/>
  <c r="D8" i="71"/>
  <c r="D9" i="71"/>
  <c r="G68" i="39"/>
  <c r="G70" i="39"/>
  <c r="F70" i="39"/>
  <c r="M20" i="43"/>
  <c r="C19" i="43"/>
  <c r="U9" i="71"/>
  <c r="AE10" i="1"/>
  <c r="M29" i="83"/>
  <c r="M29" i="84"/>
  <c r="F41" i="85"/>
  <c r="M24" i="15"/>
  <c r="E11" i="76"/>
  <c r="F3" i="73"/>
  <c r="M23" i="67"/>
  <c r="AO6" i="1"/>
  <c r="M8" i="67"/>
  <c r="M27" i="67"/>
  <c r="F7" i="67"/>
  <c r="E13" i="76"/>
  <c r="D2" i="33"/>
  <c r="L47" i="67"/>
  <c r="C76" i="15"/>
  <c r="AO12" i="1"/>
  <c r="M29" i="67"/>
  <c r="D7" i="73"/>
  <c r="B9" i="76"/>
  <c r="B13" i="76"/>
  <c r="B12" i="76"/>
  <c r="M24" i="67"/>
  <c r="F8" i="67"/>
  <c r="M22" i="67"/>
  <c r="D3" i="73"/>
  <c r="M28" i="67"/>
  <c r="D2" i="36"/>
  <c r="F42" i="67"/>
  <c r="M23" i="15"/>
  <c r="M27" i="15"/>
  <c r="M26" i="67"/>
  <c r="M26" i="15"/>
  <c r="M9" i="67"/>
  <c r="D2" i="35"/>
  <c r="L48" i="67"/>
  <c r="B10" i="76"/>
  <c r="F16" i="67"/>
  <c r="D2" i="21"/>
  <c r="M6" i="67"/>
  <c r="F26" i="67"/>
  <c r="F38" i="67"/>
  <c r="J15" i="15"/>
  <c r="F6" i="73"/>
  <c r="E7" i="76"/>
  <c r="F13" i="67"/>
  <c r="C76" i="67"/>
  <c r="E2" i="68"/>
  <c r="D4" i="73"/>
  <c r="AO13" i="1"/>
  <c r="F37" i="67"/>
  <c r="F43" i="67"/>
  <c r="F20" i="31"/>
  <c r="F40" i="67"/>
  <c r="F5" i="73"/>
  <c r="E12" i="76"/>
  <c r="L47" i="15"/>
  <c r="F9" i="67"/>
  <c r="B8" i="76"/>
  <c r="F7" i="73"/>
  <c r="G16" i="1"/>
  <c r="F10" i="39"/>
  <c r="AA10" i="39"/>
  <c r="AA32" i="39"/>
  <c r="R47" i="39"/>
  <c r="H10" i="39"/>
  <c r="AB10" i="39"/>
  <c r="AB32" i="39"/>
  <c r="T47" i="39"/>
  <c r="J10" i="39"/>
  <c r="AC10" i="39"/>
  <c r="V47" i="39"/>
  <c r="R48" i="39"/>
  <c r="C48" i="39"/>
  <c r="B56" i="39"/>
  <c r="E56" i="39"/>
  <c r="F56" i="39"/>
  <c r="B57" i="39"/>
  <c r="F57" i="39"/>
  <c r="B58" i="39"/>
  <c r="F58" i="39"/>
  <c r="B59" i="39"/>
  <c r="F59" i="39"/>
  <c r="B60" i="39"/>
  <c r="F60" i="39"/>
  <c r="B61" i="39"/>
  <c r="E11" i="6"/>
  <c r="E61" i="39"/>
  <c r="F61" i="39"/>
  <c r="B62" i="39"/>
  <c r="E12" i="6"/>
  <c r="E62" i="39"/>
  <c r="F62" i="39"/>
  <c r="B63" i="39"/>
  <c r="E13" i="6"/>
  <c r="E63" i="39"/>
  <c r="F63" i="39"/>
  <c r="B64" i="39"/>
  <c r="E14" i="6"/>
  <c r="E64" i="39"/>
  <c r="F64" i="39"/>
  <c r="B65" i="39"/>
  <c r="E15" i="6"/>
  <c r="E65" i="39"/>
  <c r="F65" i="39"/>
  <c r="F66" i="39"/>
  <c r="C6" i="68"/>
  <c r="C7" i="68"/>
  <c r="C5" i="68"/>
  <c r="C20" i="68"/>
  <c r="Q16" i="1"/>
  <c r="M7" i="1"/>
  <c r="M9" i="1"/>
  <c r="M11" i="1"/>
  <c r="M14" i="1"/>
  <c r="M16" i="1"/>
  <c r="N16" i="1"/>
  <c r="O7" i="1"/>
  <c r="O8" i="1"/>
  <c r="O9" i="1"/>
  <c r="O11" i="1"/>
  <c r="O12" i="1"/>
  <c r="O14" i="1"/>
  <c r="O16" i="1"/>
  <c r="E5" i="6"/>
  <c r="E6" i="6"/>
  <c r="F50" i="68"/>
  <c r="C56" i="68"/>
  <c r="D34" i="9"/>
  <c r="E9" i="76"/>
  <c r="F41" i="67"/>
  <c r="F36" i="67"/>
  <c r="M29" i="15"/>
  <c r="F6" i="67"/>
  <c r="D6" i="73"/>
  <c r="B7" i="76"/>
  <c r="AO7" i="1"/>
  <c r="M28" i="15"/>
  <c r="B11" i="76"/>
  <c r="J15" i="67"/>
  <c r="E8" i="76"/>
  <c r="D2" i="37"/>
  <c r="E10" i="76"/>
  <c r="E2" i="69"/>
  <c r="D2" i="34"/>
  <c r="M22" i="15"/>
  <c r="AC31" i="35"/>
  <c r="S32" i="35"/>
  <c r="W34" i="35"/>
  <c r="AC30" i="35"/>
  <c r="S30" i="35"/>
  <c r="U30" i="35"/>
  <c r="U32" i="35"/>
  <c r="AC32" i="35"/>
  <c r="AC33" i="35"/>
  <c r="U33" i="35"/>
  <c r="AA33" i="35"/>
  <c r="U34" i="35"/>
  <c r="S34" i="35"/>
  <c r="S28" i="35"/>
  <c r="U28" i="35"/>
  <c r="W28" i="35"/>
  <c r="S29" i="35"/>
  <c r="AA22" i="35"/>
  <c r="W22" i="35"/>
  <c r="U22" i="35"/>
  <c r="AC18" i="35"/>
  <c r="AC20" i="35"/>
  <c r="AA20" i="35"/>
  <c r="AB20" i="35"/>
  <c r="U18" i="35"/>
  <c r="S18" i="35"/>
  <c r="F64" i="35"/>
  <c r="G64" i="35"/>
  <c r="F14" i="35"/>
  <c r="H14" i="35"/>
  <c r="U14" i="35"/>
  <c r="J14" i="35"/>
  <c r="W14" i="35"/>
  <c r="F66" i="35"/>
  <c r="G66" i="35"/>
  <c r="W16" i="35"/>
  <c r="U16" i="35"/>
  <c r="S16" i="35"/>
  <c r="AA10" i="35"/>
  <c r="AC10" i="35"/>
  <c r="U10" i="35"/>
  <c r="AB9" i="35"/>
  <c r="S9" i="35"/>
  <c r="U8" i="35"/>
  <c r="C40" i="68"/>
  <c r="C40" i="69"/>
  <c r="S40" i="39"/>
  <c r="H39" i="39"/>
  <c r="U39" i="39"/>
  <c r="F120" i="39"/>
  <c r="G120" i="39"/>
  <c r="H120" i="39"/>
  <c r="I120" i="39"/>
  <c r="J120" i="39"/>
  <c r="K120" i="39"/>
  <c r="L120" i="39"/>
  <c r="M120" i="39"/>
  <c r="W40" i="39"/>
  <c r="S29" i="39"/>
  <c r="AA27" i="39"/>
  <c r="S21" i="39"/>
  <c r="S17" i="39"/>
  <c r="U17" i="39"/>
  <c r="W31" i="39"/>
  <c r="AB31" i="39"/>
  <c r="S31" i="39"/>
  <c r="W27" i="39"/>
  <c r="U27" i="39"/>
  <c r="W25" i="39"/>
  <c r="U25" i="39"/>
  <c r="AA25" i="39"/>
  <c r="AB23" i="39"/>
  <c r="S23" i="39"/>
  <c r="W23" i="39"/>
  <c r="W21" i="39"/>
  <c r="U21" i="39"/>
  <c r="W19" i="39"/>
  <c r="S19" i="39"/>
  <c r="U19" i="39"/>
  <c r="AC17" i="39"/>
  <c r="H15" i="39"/>
  <c r="AB15" i="39"/>
  <c r="J15" i="39"/>
  <c r="W15" i="39"/>
  <c r="F89" i="39"/>
  <c r="G89" i="39"/>
  <c r="F15" i="39"/>
  <c r="AA15" i="39"/>
  <c r="C29" i="39"/>
  <c r="C19" i="39"/>
  <c r="B75" i="43"/>
  <c r="AC13" i="39"/>
  <c r="W42" i="39"/>
  <c r="S42" i="39"/>
  <c r="U42" i="39"/>
  <c r="S41" i="39"/>
  <c r="AB41" i="39"/>
  <c r="AC41" i="39"/>
  <c r="U40" i="39"/>
  <c r="AA39" i="39"/>
  <c r="W39" i="39"/>
  <c r="W34" i="39"/>
  <c r="AB34" i="39"/>
  <c r="AB37" i="39"/>
  <c r="S35" i="39"/>
  <c r="W32" i="39"/>
  <c r="U14" i="39"/>
  <c r="AB13" i="39"/>
  <c r="U12" i="39"/>
  <c r="W12" i="39"/>
  <c r="S12" i="39"/>
  <c r="S11" i="39"/>
  <c r="U9" i="39"/>
  <c r="W9" i="39"/>
  <c r="S9" i="39"/>
  <c r="F69" i="85"/>
  <c r="J26" i="35"/>
  <c r="H26" i="35"/>
  <c r="F26" i="35"/>
  <c r="F71" i="84"/>
  <c r="F50" i="84"/>
  <c r="C49" i="84"/>
  <c r="J18" i="84"/>
  <c r="J18" i="83"/>
  <c r="F50" i="83"/>
  <c r="C49" i="83"/>
  <c r="F71" i="83"/>
  <c r="E10" i="6"/>
  <c r="F69" i="84"/>
  <c r="F69" i="83"/>
  <c r="P61" i="15"/>
  <c r="B66" i="43"/>
  <c r="B70" i="43"/>
  <c r="C94" i="9"/>
  <c r="C92" i="9"/>
  <c r="C5" i="11"/>
  <c r="AP8" i="1"/>
  <c r="AP6" i="1"/>
  <c r="D23" i="67"/>
  <c r="L26" i="6"/>
  <c r="F29" i="6"/>
  <c r="B6" i="49"/>
  <c r="C36" i="69"/>
  <c r="H78" i="43"/>
  <c r="H56" i="43"/>
  <c r="G17" i="43"/>
  <c r="C16" i="43"/>
  <c r="D5" i="43"/>
  <c r="C33" i="43"/>
  <c r="H53" i="43"/>
  <c r="H50" i="43"/>
  <c r="T35" i="4"/>
  <c r="A19" i="51"/>
  <c r="B14" i="72"/>
  <c r="A15" i="62"/>
  <c r="B61" i="72"/>
  <c r="E13" i="49"/>
  <c r="B14" i="49"/>
  <c r="D19" i="53"/>
  <c r="D127" i="9"/>
  <c r="D13" i="52"/>
  <c r="D12" i="52"/>
  <c r="M56" i="9"/>
  <c r="D58" i="21"/>
  <c r="C36" i="43"/>
  <c r="J7" i="36"/>
  <c r="E52" i="37"/>
  <c r="H7" i="33"/>
  <c r="E58" i="33"/>
  <c r="F58" i="33"/>
  <c r="G58" i="33"/>
  <c r="H58" i="33"/>
  <c r="I58" i="33"/>
  <c r="J58" i="33"/>
  <c r="K58" i="33"/>
  <c r="L58" i="33"/>
  <c r="M58" i="33"/>
  <c r="N58" i="33"/>
  <c r="O58" i="33"/>
  <c r="H68" i="39"/>
  <c r="H7" i="36"/>
  <c r="E59" i="34"/>
  <c r="F7" i="36"/>
  <c r="D65" i="40"/>
  <c r="E63" i="40"/>
  <c r="H7" i="35"/>
  <c r="J7" i="35"/>
  <c r="F7" i="35"/>
  <c r="D48" i="35"/>
  <c r="E48" i="35"/>
  <c r="F48" i="35"/>
  <c r="G48" i="35"/>
  <c r="H48" i="35"/>
  <c r="I48" i="35"/>
  <c r="J48" i="35"/>
  <c r="K48" i="35"/>
  <c r="L48" i="35"/>
  <c r="M48" i="35"/>
  <c r="N48" i="35"/>
  <c r="O48" i="35"/>
  <c r="F7" i="33"/>
  <c r="E59" i="40"/>
  <c r="P6" i="1"/>
  <c r="P12" i="1"/>
  <c r="G30" i="6"/>
  <c r="G31" i="6"/>
  <c r="F30" i="6"/>
  <c r="E29" i="6"/>
  <c r="P11" i="1"/>
  <c r="P8" i="1"/>
  <c r="P9" i="1"/>
  <c r="H16" i="1"/>
  <c r="B10" i="49"/>
  <c r="B9" i="49"/>
  <c r="E10" i="49"/>
  <c r="E22" i="49"/>
  <c r="E21" i="49"/>
  <c r="B8" i="49"/>
  <c r="E7" i="49"/>
  <c r="E11" i="49"/>
  <c r="B11" i="49"/>
  <c r="B22" i="49"/>
  <c r="E6" i="49"/>
  <c r="E14" i="49"/>
  <c r="B4" i="49"/>
  <c r="E8" i="49"/>
  <c r="E9" i="49"/>
  <c r="E4" i="49"/>
  <c r="B13" i="49"/>
  <c r="E4" i="4"/>
  <c r="B5" i="62"/>
  <c r="B73" i="72"/>
  <c r="Q71" i="15"/>
  <c r="J57" i="15"/>
  <c r="J55" i="15"/>
  <c r="J58" i="15"/>
  <c r="Q50" i="15"/>
  <c r="I54" i="15"/>
  <c r="L56" i="15"/>
  <c r="B6" i="70"/>
  <c r="K1" i="73"/>
  <c r="B20" i="31"/>
  <c r="C6" i="67"/>
  <c r="F51" i="67"/>
  <c r="F65" i="67"/>
  <c r="F50" i="15"/>
  <c r="F51" i="15"/>
  <c r="B12" i="70"/>
  <c r="F71" i="15"/>
  <c r="B7" i="70"/>
  <c r="J53" i="67"/>
  <c r="I54" i="67"/>
  <c r="J57" i="67"/>
  <c r="J55" i="67"/>
  <c r="J58" i="67"/>
  <c r="Q50" i="67"/>
  <c r="L56" i="67"/>
  <c r="F69" i="67"/>
  <c r="E20" i="43"/>
  <c r="F66" i="67"/>
  <c r="M59" i="15"/>
  <c r="L59" i="15"/>
  <c r="L58" i="15"/>
  <c r="N59" i="15"/>
  <c r="F66" i="15"/>
  <c r="Q71" i="67"/>
  <c r="F64" i="15"/>
  <c r="F70" i="67"/>
  <c r="C27" i="67"/>
  <c r="F71" i="67"/>
  <c r="F65" i="15"/>
  <c r="L58" i="67"/>
  <c r="N59" i="67"/>
  <c r="L59" i="67"/>
  <c r="M59" i="67"/>
  <c r="B13" i="70"/>
  <c r="M7" i="67"/>
  <c r="F50" i="67"/>
  <c r="F68" i="67"/>
  <c r="F64" i="67"/>
  <c r="F68" i="15"/>
  <c r="F31" i="67"/>
  <c r="F31" i="15"/>
  <c r="M17" i="15"/>
  <c r="M17" i="67"/>
  <c r="F59" i="15"/>
  <c r="F59" i="67"/>
  <c r="C17" i="67"/>
  <c r="C16" i="67"/>
  <c r="C14" i="67"/>
  <c r="AA14" i="35"/>
  <c r="S14" i="35"/>
  <c r="AB14" i="35"/>
  <c r="AC14" i="35"/>
  <c r="AB39" i="39"/>
  <c r="AC15" i="39"/>
  <c r="U15" i="39"/>
  <c r="S15" i="39"/>
  <c r="F11" i="85"/>
  <c r="M11" i="85"/>
  <c r="J10" i="85"/>
  <c r="J5" i="85"/>
  <c r="AA26" i="35"/>
  <c r="S26" i="35"/>
  <c r="U26" i="35"/>
  <c r="AB26" i="35"/>
  <c r="AC26" i="35"/>
  <c r="W26" i="35"/>
  <c r="E56" i="40"/>
  <c r="E73" i="80"/>
  <c r="C38" i="43"/>
  <c r="E38" i="43"/>
  <c r="C37" i="43"/>
  <c r="C39" i="43"/>
  <c r="G39" i="43"/>
  <c r="I39" i="43"/>
  <c r="D9" i="11"/>
  <c r="C9" i="11"/>
  <c r="L19" i="6"/>
  <c r="C9" i="68"/>
  <c r="L20" i="6"/>
  <c r="L21" i="6"/>
  <c r="D9" i="69"/>
  <c r="C9" i="69"/>
  <c r="AY6" i="3"/>
  <c r="E57" i="40"/>
  <c r="E51" i="40"/>
  <c r="F31" i="6"/>
  <c r="E60" i="40"/>
  <c r="C4" i="4"/>
  <c r="B4" i="62"/>
  <c r="B71" i="72"/>
  <c r="C34" i="43"/>
  <c r="G34" i="43"/>
  <c r="I34" i="43"/>
  <c r="C35" i="43"/>
  <c r="G35" i="43"/>
  <c r="I35" i="43"/>
  <c r="C5" i="43"/>
  <c r="F10" i="40"/>
  <c r="S10" i="40"/>
  <c r="J10" i="40"/>
  <c r="W10" i="40"/>
  <c r="H10" i="40"/>
  <c r="U10" i="40"/>
  <c r="B38" i="72"/>
  <c r="D20" i="53"/>
  <c r="B40" i="72"/>
  <c r="S7" i="36"/>
  <c r="AA7" i="36"/>
  <c r="R36" i="36"/>
  <c r="H70" i="39"/>
  <c r="I68" i="39"/>
  <c r="U7" i="35"/>
  <c r="AB7" i="35"/>
  <c r="J7" i="33"/>
  <c r="E39" i="43"/>
  <c r="E58" i="21"/>
  <c r="AB7" i="33"/>
  <c r="T48" i="33"/>
  <c r="G48" i="33"/>
  <c r="U7" i="33"/>
  <c r="S10" i="39"/>
  <c r="F63" i="40"/>
  <c r="E65" i="40"/>
  <c r="G38" i="43"/>
  <c r="I38" i="43"/>
  <c r="F59" i="34"/>
  <c r="F52" i="37"/>
  <c r="G36" i="43"/>
  <c r="I36" i="43"/>
  <c r="E36" i="43"/>
  <c r="AA7" i="33"/>
  <c r="R48" i="33"/>
  <c r="S7" i="33"/>
  <c r="S7" i="35"/>
  <c r="AA7" i="35"/>
  <c r="E37" i="43"/>
  <c r="G37" i="43"/>
  <c r="I37" i="43"/>
  <c r="AB7" i="36"/>
  <c r="T36" i="36"/>
  <c r="G36" i="36"/>
  <c r="U7" i="36"/>
  <c r="AC7" i="35"/>
  <c r="W7" i="35"/>
  <c r="AC7" i="36"/>
  <c r="V36" i="36"/>
  <c r="I36" i="36"/>
  <c r="W7" i="36"/>
  <c r="G33" i="43"/>
  <c r="I33" i="43"/>
  <c r="E33" i="43"/>
  <c r="P7" i="1"/>
  <c r="AC10" i="40"/>
  <c r="W10" i="39"/>
  <c r="E58" i="40"/>
  <c r="E16" i="6"/>
  <c r="E66" i="39"/>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83" i="3"/>
  <c r="AY23" i="3"/>
  <c r="AY155" i="3"/>
  <c r="AY59" i="3"/>
  <c r="AY131" i="3"/>
  <c r="AY58" i="3"/>
  <c r="AY268" i="3"/>
  <c r="AY371" i="3"/>
  <c r="AY318" i="3"/>
  <c r="AY428" i="3"/>
  <c r="AY106" i="3"/>
  <c r="AY245" i="3"/>
  <c r="AY395" i="3"/>
  <c r="AY342" i="3"/>
  <c r="AY452" i="3"/>
  <c r="AY513" i="3"/>
  <c r="AY569" i="3"/>
  <c r="AY553"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66" i="3"/>
  <c r="AY176" i="3"/>
  <c r="AY115" i="3"/>
  <c r="AY188" i="3"/>
  <c r="AY276" i="3"/>
  <c r="AY297" i="3"/>
  <c r="AY225" i="3"/>
  <c r="AY335" i="3"/>
  <c r="AY470" i="3"/>
  <c r="AY409" i="3"/>
  <c r="AY180" i="3"/>
  <c r="AY228" i="3"/>
  <c r="AY358" i="3"/>
  <c r="AY465" i="3"/>
  <c r="AY433" i="3"/>
  <c r="BK6" i="3"/>
  <c r="AY541" i="3"/>
  <c r="AY108"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207" i="3"/>
  <c r="AY42" i="3"/>
  <c r="AY168" i="3"/>
  <c r="AY366" i="3"/>
  <c r="AY441" i="3"/>
  <c r="AY260" i="3"/>
  <c r="AY310" i="3"/>
  <c r="AY549" i="3"/>
  <c r="AY97" i="3"/>
  <c r="AY45" i="3"/>
  <c r="AY28" i="3"/>
  <c r="AY201" i="3"/>
  <c r="AY138" i="3"/>
  <c r="AY118" i="3"/>
  <c r="AY294" i="3"/>
  <c r="AY231" i="3"/>
  <c r="AY214" i="3"/>
  <c r="AY381" i="3"/>
  <c r="AY554" i="3"/>
  <c r="AY104" i="3"/>
  <c r="AY24" i="3"/>
  <c r="AY87" i="3"/>
  <c r="AY144" i="3"/>
  <c r="AY152" i="3"/>
  <c r="AY253" i="3"/>
  <c r="AY303" i="3"/>
  <c r="AY529" i="3"/>
  <c r="AY217" i="3"/>
  <c r="AY463" i="3"/>
  <c r="AY544"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51" i="3"/>
  <c r="AY124" i="3"/>
  <c r="AY281" i="3"/>
  <c r="AY236" i="3"/>
  <c r="AY473" i="3"/>
  <c r="AY26" i="3"/>
  <c r="AY372" i="3"/>
  <c r="AY420" i="3"/>
  <c r="AY533" i="3"/>
  <c r="AY77" i="3"/>
  <c r="AY60" i="3"/>
  <c r="AY206" i="3"/>
  <c r="AY170" i="3"/>
  <c r="AY149" i="3"/>
  <c r="AY299" i="3"/>
  <c r="AY263" i="3"/>
  <c r="AY34" i="3"/>
  <c r="AY95" i="3"/>
  <c r="AY111" i="3"/>
  <c r="AY382" i="3"/>
  <c r="AY460" i="3"/>
  <c r="AY300" i="3"/>
  <c r="AY327" i="3"/>
  <c r="AY401" i="3"/>
  <c r="BE6"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357" i="3"/>
  <c r="AY177" i="3"/>
  <c r="AY210" i="3"/>
  <c r="AY332" i="3"/>
  <c r="AY446" i="3"/>
  <c r="BM6" i="3"/>
  <c r="AY510" i="3"/>
  <c r="AY519" i="3"/>
  <c r="AY189"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73" i="3"/>
  <c r="AY224" i="3"/>
  <c r="AY375" i="3"/>
  <c r="AY323" i="3"/>
  <c r="AY477" i="3"/>
  <c r="AY443" i="3"/>
  <c r="AY400" i="3"/>
  <c r="AY521" i="3"/>
  <c r="AY566" i="3"/>
  <c r="BT6" i="3"/>
  <c r="BJ6" i="3"/>
  <c r="AY114" i="3"/>
  <c r="AY377" i="3"/>
  <c r="AY491" i="3"/>
  <c r="AY414" i="3"/>
  <c r="AY561" i="3"/>
  <c r="AY16" i="3"/>
  <c r="AY96"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41" i="3"/>
  <c r="AY208" i="3"/>
  <c r="AY367" i="3"/>
  <c r="AY338" i="3"/>
  <c r="AY490" i="3"/>
  <c r="AY448" i="3"/>
  <c r="AY429" i="3"/>
  <c r="BD6" i="3"/>
  <c r="AY511" i="3"/>
  <c r="AY586" i="3"/>
  <c r="AY246" i="3"/>
  <c r="AY41" i="3"/>
  <c r="AY290" i="3"/>
  <c r="AY349" i="3"/>
  <c r="AY488" i="3"/>
  <c r="AY427" i="3"/>
  <c r="BF6" i="3"/>
  <c r="AY584" i="3"/>
  <c r="AY80"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72" i="3"/>
  <c r="AY213" i="3"/>
  <c r="AY354" i="3"/>
  <c r="AY322" i="3"/>
  <c r="AY474" i="3"/>
  <c r="AY432" i="3"/>
  <c r="AY413" i="3"/>
  <c r="AY15" i="3"/>
  <c r="AY583" i="3"/>
  <c r="AY567" i="3"/>
  <c r="AY392" i="3"/>
  <c r="AY197" i="3"/>
  <c r="AY274" i="3"/>
  <c r="AY317" i="3"/>
  <c r="AY457" i="3"/>
  <c r="AY581" i="3"/>
  <c r="AY546" i="3"/>
  <c r="AY514" i="3"/>
  <c r="AY37" i="3"/>
  <c r="AY129" i="3"/>
  <c r="AY266" i="3"/>
  <c r="AY369" i="3"/>
  <c r="AY313" i="3"/>
  <c r="AY487" i="3"/>
  <c r="AY453" i="3"/>
  <c r="AY410" i="3"/>
  <c r="AY579" i="3"/>
  <c r="D3" i="6"/>
  <c r="AY509" i="3"/>
  <c r="AY531" i="3"/>
  <c r="AY94" i="3"/>
  <c r="AY35" i="3"/>
  <c r="AY167" i="3"/>
  <c r="AY280" i="3"/>
  <c r="AY221" i="3"/>
  <c r="AY331" i="3"/>
  <c r="AY466" i="3"/>
  <c r="AY405" i="3"/>
  <c r="AY512" i="3"/>
  <c r="AY86" i="3"/>
  <c r="AY27" i="3"/>
  <c r="AY159" i="3"/>
  <c r="AY288" i="3"/>
  <c r="AY256" i="3"/>
  <c r="AY391" i="3"/>
  <c r="AY339" i="3"/>
  <c r="AY306" i="3"/>
  <c r="AY459" i="3"/>
  <c r="AY416" i="3"/>
  <c r="AY550" i="3"/>
  <c r="BC6" i="3"/>
  <c r="AY504" i="3"/>
  <c r="AY498" i="3"/>
  <c r="F27" i="69"/>
  <c r="F27" i="11"/>
  <c r="D3" i="33"/>
  <c r="D37" i="11"/>
  <c r="M18" i="9"/>
  <c r="B118" i="9"/>
  <c r="B14" i="74"/>
  <c r="B1" i="74"/>
  <c r="D3" i="34"/>
  <c r="L18" i="9"/>
  <c r="C17" i="4"/>
  <c r="B4" i="52"/>
  <c r="B43" i="72"/>
  <c r="D3" i="37"/>
  <c r="D3" i="21"/>
  <c r="D19" i="11"/>
  <c r="C19" i="11"/>
  <c r="K24" i="6"/>
  <c r="K26" i="6"/>
  <c r="K19" i="6"/>
  <c r="S6" i="1"/>
  <c r="K21" i="6"/>
  <c r="K25" i="6"/>
  <c r="E30" i="6"/>
  <c r="E31" i="6"/>
  <c r="K20" i="6"/>
  <c r="K22" i="6"/>
  <c r="C49" i="15"/>
  <c r="F24" i="85"/>
  <c r="C15" i="67"/>
  <c r="C18" i="67"/>
  <c r="Q61" i="67"/>
  <c r="Q74" i="67"/>
  <c r="Q74" i="15"/>
  <c r="Q61" i="15"/>
  <c r="M28" i="43"/>
  <c r="P28" i="43"/>
  <c r="N28" i="43"/>
  <c r="O28" i="43"/>
  <c r="F1" i="67"/>
  <c r="Q52" i="67"/>
  <c r="M11" i="67"/>
  <c r="J10" i="67"/>
  <c r="F11" i="67"/>
  <c r="Q52" i="15"/>
  <c r="Q60" i="15"/>
  <c r="Q73" i="15"/>
  <c r="J18" i="15"/>
  <c r="Q60" i="67"/>
  <c r="Q73" i="67"/>
  <c r="J6" i="67"/>
  <c r="C49" i="67"/>
  <c r="C32" i="67"/>
  <c r="I38" i="35"/>
  <c r="G38" i="35"/>
  <c r="C24" i="85"/>
  <c r="C23" i="85"/>
  <c r="J26" i="85"/>
  <c r="J29" i="85"/>
  <c r="J24" i="85"/>
  <c r="C53" i="85"/>
  <c r="C48" i="85"/>
  <c r="C10" i="85"/>
  <c r="C5" i="85"/>
  <c r="E23" i="3"/>
  <c r="E552" i="3"/>
  <c r="E170" i="3"/>
  <c r="E250" i="3"/>
  <c r="E184" i="3"/>
  <c r="E118" i="3"/>
  <c r="E266" i="3"/>
  <c r="E154" i="3"/>
  <c r="E194" i="3"/>
  <c r="E283" i="3"/>
  <c r="E52" i="3"/>
  <c r="E484" i="3"/>
  <c r="E159" i="3"/>
  <c r="E391" i="3"/>
  <c r="E264" i="3"/>
  <c r="E123" i="3"/>
  <c r="E209" i="3"/>
  <c r="E441" i="3"/>
  <c r="E211" i="3"/>
  <c r="AI6" i="3"/>
  <c r="E412" i="3"/>
  <c r="E259" i="3"/>
  <c r="E149" i="3"/>
  <c r="E21" i="3"/>
  <c r="E63" i="3"/>
  <c r="E112" i="3"/>
  <c r="E299" i="3"/>
  <c r="E38" i="3"/>
  <c r="E544" i="3"/>
  <c r="E187" i="3"/>
  <c r="E286" i="3"/>
  <c r="E309" i="3"/>
  <c r="E20" i="3"/>
  <c r="E127" i="3"/>
  <c r="E492" i="3"/>
  <c r="E234" i="3"/>
  <c r="E98" i="3"/>
  <c r="E110" i="3"/>
  <c r="E349" i="3"/>
  <c r="E295" i="3"/>
  <c r="E39" i="3"/>
  <c r="E485" i="3"/>
  <c r="E94" i="3"/>
  <c r="E333" i="3"/>
  <c r="E242" i="3"/>
  <c r="E28" i="3"/>
  <c r="E456" i="3"/>
  <c r="E418" i="3"/>
  <c r="E326" i="3"/>
  <c r="E113" i="3"/>
  <c r="E370" i="3"/>
  <c r="E49" i="3"/>
  <c r="E522" i="3"/>
  <c r="E235" i="3"/>
  <c r="E190" i="3"/>
  <c r="E18" i="3"/>
  <c r="E29" i="3"/>
  <c r="E389" i="3"/>
  <c r="E332" i="3"/>
  <c r="E272" i="3"/>
  <c r="E131" i="3"/>
  <c r="E463" i="3"/>
  <c r="AP6" i="3"/>
  <c r="E427" i="3"/>
  <c r="E238" i="3"/>
  <c r="E336" i="3"/>
  <c r="E186" i="3"/>
  <c r="E70" i="3"/>
  <c r="E489" i="3"/>
  <c r="E451" i="3"/>
  <c r="Z6" i="3"/>
  <c r="E181" i="3"/>
  <c r="E417" i="3"/>
  <c r="E517" i="3"/>
  <c r="E374" i="3"/>
  <c r="E507" i="3"/>
  <c r="T6" i="3"/>
  <c r="E105" i="3"/>
  <c r="E228" i="3"/>
  <c r="E586" i="3"/>
  <c r="E126" i="3"/>
  <c r="E37" i="3"/>
  <c r="E420" i="3"/>
  <c r="E413" i="3"/>
  <c r="E213" i="3"/>
  <c r="E583" i="3"/>
  <c r="E125" i="3"/>
  <c r="E68" i="3"/>
  <c r="E371" i="3"/>
  <c r="E300" i="3"/>
  <c r="E364" i="3"/>
  <c r="E521" i="3"/>
  <c r="E340" i="3"/>
  <c r="E109" i="3"/>
  <c r="E19" i="3"/>
  <c r="E310" i="3"/>
  <c r="E572" i="3"/>
  <c r="E200" i="3"/>
  <c r="E121" i="3"/>
  <c r="E62" i="3"/>
  <c r="E24" i="3"/>
  <c r="E137" i="3"/>
  <c r="E60" i="3"/>
  <c r="E90" i="3"/>
  <c r="E248" i="3"/>
  <c r="E480" i="3"/>
  <c r="E132" i="3"/>
  <c r="E430" i="3"/>
  <c r="E373" i="3"/>
  <c r="E381" i="3"/>
  <c r="E84" i="3"/>
  <c r="E267" i="3"/>
  <c r="E446" i="3"/>
  <c r="E334" i="3"/>
  <c r="E56" i="3"/>
  <c r="E188" i="3"/>
  <c r="E265" i="3"/>
  <c r="Y6" i="3"/>
  <c r="E33" i="3"/>
  <c r="E325" i="3"/>
  <c r="E163" i="3"/>
  <c r="E467" i="3"/>
  <c r="E44" i="3"/>
  <c r="E377" i="3"/>
  <c r="E202" i="3"/>
  <c r="E520" i="3"/>
  <c r="U6" i="3"/>
  <c r="E58" i="3"/>
  <c r="E346" i="3"/>
  <c r="E155" i="3"/>
  <c r="E483" i="3"/>
  <c r="E493" i="3"/>
  <c r="E293" i="3"/>
  <c r="E308" i="3"/>
  <c r="E80" i="3"/>
  <c r="E251" i="3"/>
  <c r="E34" i="3"/>
  <c r="E342" i="3"/>
  <c r="E275" i="3"/>
  <c r="E129" i="3"/>
  <c r="E425" i="3"/>
  <c r="E76" i="3"/>
  <c r="E356" i="3"/>
  <c r="E291" i="3"/>
  <c r="E192" i="3"/>
  <c r="E57" i="3"/>
  <c r="E401" i="3"/>
  <c r="E345" i="3"/>
  <c r="AG6" i="3"/>
  <c r="E191" i="3"/>
  <c r="E210" i="3"/>
  <c r="E119" i="3"/>
  <c r="E88" i="3"/>
  <c r="E403" i="3"/>
  <c r="E398" i="3"/>
  <c r="E312" i="3"/>
  <c r="E301" i="3"/>
  <c r="E470" i="3"/>
  <c r="E581" i="3"/>
  <c r="E459" i="3"/>
  <c r="E466" i="3"/>
  <c r="E542" i="3"/>
  <c r="E116" i="3"/>
  <c r="E169" i="3"/>
  <c r="E495" i="3"/>
  <c r="E152" i="3"/>
  <c r="E104" i="3"/>
  <c r="E546" i="3"/>
  <c r="I4" i="6"/>
  <c r="G3" i="43"/>
  <c r="E404" i="3"/>
  <c r="E51" i="3"/>
  <c r="E323" i="3"/>
  <c r="E218" i="3"/>
  <c r="E513" i="3"/>
  <c r="AQ6" i="3"/>
  <c r="E365" i="3"/>
  <c r="E354" i="3"/>
  <c r="E101" i="3"/>
  <c r="E144" i="3"/>
  <c r="E103" i="3"/>
  <c r="E444" i="3"/>
  <c r="E59" i="3"/>
  <c r="E524" i="3"/>
  <c r="E233" i="3"/>
  <c r="E339" i="3"/>
  <c r="E47" i="3"/>
  <c r="E276" i="3"/>
  <c r="E223" i="3"/>
  <c r="E46" i="3"/>
  <c r="E378" i="3"/>
  <c r="E367" i="3"/>
  <c r="E353" i="3"/>
  <c r="E176" i="3"/>
  <c r="E147" i="3"/>
  <c r="E386" i="3"/>
  <c r="E138" i="3"/>
  <c r="E43" i="3"/>
  <c r="E297" i="3"/>
  <c r="P6" i="3"/>
  <c r="E82" i="3"/>
  <c r="E81" i="3"/>
  <c r="E289" i="3"/>
  <c r="E66" i="3"/>
  <c r="E249" i="3"/>
  <c r="E100" i="3"/>
  <c r="E540" i="3"/>
  <c r="E372" i="3"/>
  <c r="E243" i="3"/>
  <c r="E41" i="3"/>
  <c r="E490" i="3"/>
  <c r="E303" i="3"/>
  <c r="E384" i="3"/>
  <c r="E273" i="3"/>
  <c r="E25" i="3"/>
  <c r="E440" i="3"/>
  <c r="E117" i="3"/>
  <c r="E22" i="3"/>
  <c r="E158" i="3"/>
  <c r="AF6" i="3"/>
  <c r="E206" i="3"/>
  <c r="E35" i="3"/>
  <c r="E324" i="3"/>
  <c r="E174" i="3"/>
  <c r="E96" i="3"/>
  <c r="E488" i="3"/>
  <c r="AM6" i="3"/>
  <c r="E363" i="3"/>
  <c r="E281" i="3"/>
  <c r="E198" i="3"/>
  <c r="E40" i="3"/>
  <c r="E498" i="3"/>
  <c r="E548" i="3"/>
  <c r="E141" i="3"/>
  <c r="S6" i="3"/>
  <c r="E225" i="3"/>
  <c r="E95" i="3"/>
  <c r="E436" i="3"/>
  <c r="E558" i="3"/>
  <c r="E67" i="3"/>
  <c r="E87" i="3"/>
  <c r="E341" i="3"/>
  <c r="E421" i="3"/>
  <c r="E375" i="3"/>
  <c r="E447" i="3"/>
  <c r="E584" i="3"/>
  <c r="E531" i="3"/>
  <c r="E36" i="3"/>
  <c r="L6" i="3"/>
  <c r="E164" i="3"/>
  <c r="E500" i="3"/>
  <c r="E102" i="3"/>
  <c r="E220" i="3"/>
  <c r="E317" i="3"/>
  <c r="E460" i="3"/>
  <c r="E258" i="3"/>
  <c r="E486" i="3"/>
  <c r="E506" i="3"/>
  <c r="E557" i="3"/>
  <c r="E448" i="3"/>
  <c r="E253" i="3"/>
  <c r="E285" i="3"/>
  <c r="E71" i="3"/>
  <c r="E582" i="3"/>
  <c r="E255" i="3"/>
  <c r="E487" i="3"/>
  <c r="E564" i="3"/>
  <c r="E173" i="3"/>
  <c r="E157" i="3"/>
  <c r="E402" i="3"/>
  <c r="E17" i="3"/>
  <c r="E390" i="3"/>
  <c r="E439" i="3"/>
  <c r="E185" i="3"/>
  <c r="E77" i="3"/>
  <c r="E107" i="3"/>
  <c r="E534" i="3"/>
  <c r="E442" i="3"/>
  <c r="E414" i="3"/>
  <c r="E360" i="3"/>
  <c r="E554" i="3"/>
  <c r="E468" i="3"/>
  <c r="E454" i="3"/>
  <c r="E106" i="3"/>
  <c r="E146" i="3"/>
  <c r="E171" i="3"/>
  <c r="E214" i="3"/>
  <c r="E315" i="3"/>
  <c r="E362" i="3"/>
  <c r="E74" i="3"/>
  <c r="E409" i="3"/>
  <c r="E302" i="3"/>
  <c r="E245" i="3"/>
  <c r="E523" i="3"/>
  <c r="N6" i="3"/>
  <c r="E114" i="3"/>
  <c r="E395" i="3"/>
  <c r="E550" i="3"/>
  <c r="E516" i="3"/>
  <c r="E396" i="3"/>
  <c r="E151" i="3"/>
  <c r="E511" i="3"/>
  <c r="AK6" i="3"/>
  <c r="E306" i="3"/>
  <c r="E262" i="3"/>
  <c r="E236" i="3"/>
  <c r="E89" i="3"/>
  <c r="E79" i="3"/>
  <c r="E226" i="3"/>
  <c r="E219" i="3"/>
  <c r="E50" i="3"/>
  <c r="E566" i="3"/>
  <c r="E393" i="3"/>
  <c r="E142" i="3"/>
  <c r="E307" i="3"/>
  <c r="E316" i="3"/>
  <c r="E504" i="3"/>
  <c r="E204" i="3"/>
  <c r="E232" i="3"/>
  <c r="E78" i="3"/>
  <c r="E241" i="3"/>
  <c r="E416" i="3"/>
  <c r="E178" i="3"/>
  <c r="E502" i="3"/>
  <c r="E282" i="3"/>
  <c r="E556" i="3"/>
  <c r="AO6" i="3"/>
  <c r="E252" i="3"/>
  <c r="E139" i="3"/>
  <c r="E479" i="3"/>
  <c r="E547" i="3"/>
  <c r="E443" i="3"/>
  <c r="E464" i="3"/>
  <c r="E499" i="3"/>
  <c r="E167" i="3"/>
  <c r="E61" i="3"/>
  <c r="AN6" i="3"/>
  <c r="O6" i="3"/>
  <c r="E518" i="3"/>
  <c r="E380" i="3"/>
  <c r="E135" i="3"/>
  <c r="E271" i="3"/>
  <c r="E369" i="3"/>
  <c r="R6" i="3"/>
  <c r="E478" i="3"/>
  <c r="E408" i="3"/>
  <c r="I3" i="6"/>
  <c r="AS6" i="3"/>
  <c r="E471" i="3"/>
  <c r="E475" i="3"/>
  <c r="E54" i="3"/>
  <c r="E168" i="3"/>
  <c r="E208" i="3"/>
  <c r="E257" i="3"/>
  <c r="E357" i="3"/>
  <c r="E14" i="3"/>
  <c r="AL6" i="3"/>
  <c r="E48" i="3"/>
  <c r="E240" i="3"/>
  <c r="E392" i="3"/>
  <c r="E195" i="3"/>
  <c r="E222" i="3"/>
  <c r="E428" i="3"/>
  <c r="E179" i="3"/>
  <c r="E160" i="3"/>
  <c r="E182" i="3"/>
  <c r="E292" i="3"/>
  <c r="E83" i="3"/>
  <c r="E86" i="3"/>
  <c r="E462" i="3"/>
  <c r="E166" i="3"/>
  <c r="E525" i="3"/>
  <c r="E26" i="3"/>
  <c r="E145" i="3"/>
  <c r="E476" i="3"/>
  <c r="E432" i="3"/>
  <c r="AD6" i="3"/>
  <c r="E263" i="3"/>
  <c r="E115" i="3"/>
  <c r="E491" i="3"/>
  <c r="AH6" i="3"/>
  <c r="E400" i="3"/>
  <c r="E411" i="3"/>
  <c r="E576" i="3"/>
  <c r="E212" i="3"/>
  <c r="E298" i="3"/>
  <c r="X6" i="3"/>
  <c r="E359" i="3"/>
  <c r="E561" i="3"/>
  <c r="E231" i="3"/>
  <c r="E161" i="3"/>
  <c r="E197" i="3"/>
  <c r="E575" i="3"/>
  <c r="E515" i="3"/>
  <c r="E469" i="3"/>
  <c r="E449" i="3"/>
  <c r="E505" i="3"/>
  <c r="E494" i="3"/>
  <c r="E496" i="3"/>
  <c r="E55" i="3"/>
  <c r="E73" i="3"/>
  <c r="E203" i="3"/>
  <c r="E256" i="3"/>
  <c r="E274" i="3"/>
  <c r="E394" i="3"/>
  <c r="E580" i="3"/>
  <c r="E32" i="3"/>
  <c r="E15" i="3"/>
  <c r="E290" i="3"/>
  <c r="E350" i="3"/>
  <c r="E246" i="3"/>
  <c r="E304" i="3"/>
  <c r="E415" i="3"/>
  <c r="E260" i="3"/>
  <c r="E239" i="3"/>
  <c r="E569" i="3"/>
  <c r="E229" i="3"/>
  <c r="E314" i="3"/>
  <c r="E16" i="3"/>
  <c r="E434" i="3"/>
  <c r="E296" i="3"/>
  <c r="E136" i="3"/>
  <c r="E269" i="3"/>
  <c r="E331" i="3"/>
  <c r="E108" i="3"/>
  <c r="E64" i="3"/>
  <c r="E65" i="3"/>
  <c r="E30" i="3"/>
  <c r="E284" i="3"/>
  <c r="E348" i="3"/>
  <c r="E355" i="3"/>
  <c r="E482" i="3"/>
  <c r="E13" i="3"/>
  <c r="E162" i="3"/>
  <c r="E287" i="3"/>
  <c r="E383" i="3"/>
  <c r="E42" i="3"/>
  <c r="E27" i="3"/>
  <c r="E338" i="3"/>
  <c r="J6" i="3"/>
  <c r="E85" i="3"/>
  <c r="E419" i="3"/>
  <c r="E422" i="3"/>
  <c r="E379" i="3"/>
  <c r="E423" i="3"/>
  <c r="E92" i="3"/>
  <c r="E452" i="3"/>
  <c r="E376" i="3"/>
  <c r="E512" i="3"/>
  <c r="E543" i="3"/>
  <c r="E327" i="3"/>
  <c r="E207" i="3"/>
  <c r="E382" i="3"/>
  <c r="E565" i="3"/>
  <c r="E97" i="3"/>
  <c r="E538" i="3"/>
  <c r="E216" i="3"/>
  <c r="E140" i="3"/>
  <c r="E199" i="3"/>
  <c r="E585" i="3"/>
  <c r="E405" i="3"/>
  <c r="E541" i="3"/>
  <c r="E477" i="3"/>
  <c r="E497" i="3"/>
  <c r="E435" i="3"/>
  <c r="E433" i="3"/>
  <c r="E72" i="3"/>
  <c r="E111" i="3"/>
  <c r="E150" i="3"/>
  <c r="E279" i="3"/>
  <c r="E351" i="3"/>
  <c r="E318" i="3"/>
  <c r="E31" i="3"/>
  <c r="E75" i="3"/>
  <c r="E455" i="3"/>
  <c r="E99" i="3"/>
  <c r="E578" i="3"/>
  <c r="E574" i="3"/>
  <c r="E69" i="3"/>
  <c r="E563" i="3"/>
  <c r="E445" i="3"/>
  <c r="E509" i="3"/>
  <c r="E431" i="3"/>
  <c r="E201" i="3"/>
  <c r="E568" i="3"/>
  <c r="E536" i="3"/>
  <c r="E453" i="3"/>
  <c r="E244" i="3"/>
  <c r="E156" i="3"/>
  <c r="E122" i="3"/>
  <c r="E277" i="3"/>
  <c r="E133" i="3"/>
  <c r="K6" i="3"/>
  <c r="E560" i="3"/>
  <c r="E472" i="3"/>
  <c r="E406" i="3"/>
  <c r="E465" i="3"/>
  <c r="E587" i="3"/>
  <c r="E577" i="3"/>
  <c r="E53" i="3"/>
  <c r="E501" i="3"/>
  <c r="E426" i="3"/>
  <c r="E539" i="3"/>
  <c r="E461" i="3"/>
  <c r="E165" i="3"/>
  <c r="E514" i="3"/>
  <c r="M6" i="3"/>
  <c r="E387" i="3"/>
  <c r="E321" i="3"/>
  <c r="E172" i="3"/>
  <c r="E397" i="3"/>
  <c r="E196" i="3"/>
  <c r="E224" i="3"/>
  <c r="E330" i="3"/>
  <c r="E573" i="3"/>
  <c r="E474" i="3"/>
  <c r="E424" i="3"/>
  <c r="E562" i="3"/>
  <c r="E537" i="3"/>
  <c r="E319" i="3"/>
  <c r="E305" i="3"/>
  <c r="E545" i="3"/>
  <c r="E227" i="3"/>
  <c r="E358" i="3"/>
  <c r="V6" i="3"/>
  <c r="E335" i="3"/>
  <c r="E189" i="3"/>
  <c r="E91" i="3"/>
  <c r="AR6" i="3"/>
  <c r="E280" i="3"/>
  <c r="AJ6" i="3"/>
  <c r="E217" i="3"/>
  <c r="E555" i="3"/>
  <c r="E183" i="3"/>
  <c r="E93" i="3"/>
  <c r="E385" i="3"/>
  <c r="E535" i="3"/>
  <c r="I6" i="3"/>
  <c r="E148" i="3"/>
  <c r="E177" i="3"/>
  <c r="E519" i="3"/>
  <c r="E529" i="3"/>
  <c r="E481" i="3"/>
  <c r="E457" i="3"/>
  <c r="W6" i="3"/>
  <c r="E429" i="3"/>
  <c r="E530" i="3"/>
  <c r="E508" i="3"/>
  <c r="E567" i="3"/>
  <c r="E205" i="3"/>
  <c r="E559" i="3"/>
  <c r="AB6" i="3"/>
  <c r="E294" i="3"/>
  <c r="E130" i="3"/>
  <c r="E221" i="3"/>
  <c r="E533" i="3"/>
  <c r="E399" i="3"/>
  <c r="E322" i="3"/>
  <c r="E143" i="3"/>
  <c r="E388" i="3"/>
  <c r="E528" i="3"/>
  <c r="E473" i="3"/>
  <c r="E366" i="3"/>
  <c r="E579" i="3"/>
  <c r="E549" i="3"/>
  <c r="E120" i="3"/>
  <c r="E193" i="3"/>
  <c r="E532" i="3"/>
  <c r="E437" i="3"/>
  <c r="E527" i="3"/>
  <c r="E288" i="3"/>
  <c r="AE6" i="3"/>
  <c r="E450" i="3"/>
  <c r="E343" i="3"/>
  <c r="E328" i="3"/>
  <c r="E510" i="3"/>
  <c r="E128" i="3"/>
  <c r="E570" i="3"/>
  <c r="E407" i="3"/>
  <c r="E215" i="3"/>
  <c r="E134" i="3"/>
  <c r="E180" i="3"/>
  <c r="E270" i="3"/>
  <c r="AA6" i="3"/>
  <c r="E268" i="3"/>
  <c r="E337" i="3"/>
  <c r="E503" i="3"/>
  <c r="E261" i="3"/>
  <c r="E553" i="3"/>
  <c r="E278" i="3"/>
  <c r="E247" i="3"/>
  <c r="E368" i="3"/>
  <c r="E45" i="3"/>
  <c r="E313" i="3"/>
  <c r="Q6" i="3"/>
  <c r="E458" i="3"/>
  <c r="E438" i="3"/>
  <c r="E344" i="3"/>
  <c r="E571" i="3"/>
  <c r="E175" i="3"/>
  <c r="E153" i="3"/>
  <c r="E329" i="3"/>
  <c r="E352" i="3"/>
  <c r="E311" i="3"/>
  <c r="E551" i="3"/>
  <c r="E320" i="3"/>
  <c r="E230" i="3"/>
  <c r="E254" i="3"/>
  <c r="E237" i="3"/>
  <c r="E124" i="3"/>
  <c r="E347" i="3"/>
  <c r="E526" i="3"/>
  <c r="E410" i="3"/>
  <c r="E361" i="3"/>
  <c r="F69" i="15"/>
  <c r="J24" i="84"/>
  <c r="C53" i="84"/>
  <c r="C48" i="84"/>
  <c r="J24" i="83"/>
  <c r="C53" i="83"/>
  <c r="C48" i="83"/>
  <c r="L27" i="6"/>
  <c r="AB10" i="40"/>
  <c r="M25" i="6"/>
  <c r="I25" i="6"/>
  <c r="S25" i="6"/>
  <c r="S12" i="1"/>
  <c r="M23" i="6"/>
  <c r="I23" i="6"/>
  <c r="S23" i="6"/>
  <c r="M21" i="6"/>
  <c r="I21" i="6"/>
  <c r="S21" i="6"/>
  <c r="S8" i="1"/>
  <c r="M24" i="6"/>
  <c r="I24" i="6"/>
  <c r="S24" i="6"/>
  <c r="S11" i="1"/>
  <c r="M22" i="6"/>
  <c r="I22" i="6"/>
  <c r="S22" i="6"/>
  <c r="S9" i="1"/>
  <c r="M20" i="6"/>
  <c r="I20" i="6"/>
  <c r="S20" i="6"/>
  <c r="S7" i="1"/>
  <c r="AQ6" i="1"/>
  <c r="T6" i="1"/>
  <c r="AR6" i="1"/>
  <c r="M26" i="6"/>
  <c r="I26" i="6"/>
  <c r="S26" i="6"/>
  <c r="S13" i="1"/>
  <c r="K4" i="4"/>
  <c r="B46" i="48"/>
  <c r="B4" i="72"/>
  <c r="E35" i="43"/>
  <c r="T8" i="43"/>
  <c r="V8" i="43"/>
  <c r="E34" i="43"/>
  <c r="T12" i="43"/>
  <c r="V12" i="43"/>
  <c r="T15" i="43"/>
  <c r="V15" i="43"/>
  <c r="T13" i="43"/>
  <c r="V13" i="43"/>
  <c r="T10" i="43"/>
  <c r="V10" i="43"/>
  <c r="T14" i="43"/>
  <c r="V14" i="43"/>
  <c r="T16" i="43"/>
  <c r="V16" i="43"/>
  <c r="T9" i="43"/>
  <c r="V9" i="43"/>
  <c r="T11" i="43"/>
  <c r="V11" i="43"/>
  <c r="U10" i="39"/>
  <c r="AA10" i="40"/>
  <c r="H7" i="37"/>
  <c r="I40" i="36"/>
  <c r="J40" i="36"/>
  <c r="G40" i="36"/>
  <c r="H40" i="36"/>
  <c r="G41" i="36"/>
  <c r="H41" i="36"/>
  <c r="G59" i="34"/>
  <c r="H59" i="34"/>
  <c r="I59" i="34"/>
  <c r="J59" i="34"/>
  <c r="K59" i="34"/>
  <c r="L59" i="34"/>
  <c r="M59" i="34"/>
  <c r="N59" i="34"/>
  <c r="O59" i="34"/>
  <c r="H7" i="34"/>
  <c r="F65" i="40"/>
  <c r="G63" i="40"/>
  <c r="G43" i="35"/>
  <c r="H43" i="35"/>
  <c r="G42" i="35"/>
  <c r="H42" i="35"/>
  <c r="E48" i="33"/>
  <c r="R49" i="33"/>
  <c r="W7" i="33"/>
  <c r="AC7" i="33"/>
  <c r="V48" i="33"/>
  <c r="I48" i="33"/>
  <c r="I42" i="35"/>
  <c r="J42" i="35"/>
  <c r="E38" i="35"/>
  <c r="I43" i="35"/>
  <c r="J43" i="35"/>
  <c r="F7" i="34"/>
  <c r="F58" i="21"/>
  <c r="J68" i="39"/>
  <c r="I70" i="39"/>
  <c r="E36" i="36"/>
  <c r="R37" i="36"/>
  <c r="G52" i="37"/>
  <c r="H52" i="37"/>
  <c r="I52" i="37"/>
  <c r="J52" i="37"/>
  <c r="K52" i="37"/>
  <c r="L52" i="37"/>
  <c r="M52" i="37"/>
  <c r="N52" i="37"/>
  <c r="O52" i="37"/>
  <c r="J7" i="37"/>
  <c r="F7" i="37"/>
  <c r="J7" i="34"/>
  <c r="G53" i="33"/>
  <c r="H53" i="33"/>
  <c r="G52" i="33"/>
  <c r="H52" i="33"/>
  <c r="C34" i="69"/>
  <c r="D25" i="6"/>
  <c r="D22" i="6"/>
  <c r="D24" i="6"/>
  <c r="D9" i="6"/>
  <c r="L19" i="9"/>
  <c r="M19" i="9"/>
  <c r="C118" i="9"/>
  <c r="C14" i="74"/>
  <c r="B2" i="74"/>
  <c r="D26" i="6"/>
  <c r="D8" i="6"/>
  <c r="D14" i="6"/>
  <c r="D5" i="6"/>
  <c r="D11" i="6"/>
  <c r="D28" i="6"/>
  <c r="D15" i="6"/>
  <c r="D21" i="6"/>
  <c r="D20" i="6"/>
  <c r="D6" i="6"/>
  <c r="D10" i="6"/>
  <c r="D29" i="6"/>
  <c r="H24" i="6"/>
  <c r="D19" i="6"/>
  <c r="C18" i="4"/>
  <c r="D23" i="6"/>
  <c r="D12" i="6"/>
  <c r="D13" i="6"/>
  <c r="E61" i="40"/>
  <c r="H23" i="6"/>
  <c r="D10" i="11"/>
  <c r="C10" i="11"/>
  <c r="D10" i="69"/>
  <c r="C47" i="69"/>
  <c r="D45" i="69"/>
  <c r="C29" i="69"/>
  <c r="D27" i="69"/>
  <c r="M19" i="6"/>
  <c r="K27" i="6"/>
  <c r="C29" i="11"/>
  <c r="D27" i="11"/>
  <c r="C47" i="11"/>
  <c r="D45" i="11"/>
  <c r="C20" i="11"/>
  <c r="C28" i="11"/>
  <c r="C27" i="11"/>
  <c r="C8" i="74"/>
  <c r="C19" i="67"/>
  <c r="C20" i="67"/>
  <c r="C26" i="67"/>
  <c r="J24" i="15"/>
  <c r="J18" i="67"/>
  <c r="J5" i="67"/>
  <c r="C53" i="67"/>
  <c r="C48" i="67"/>
  <c r="C10" i="67"/>
  <c r="C5" i="67"/>
  <c r="C53" i="15"/>
  <c r="C48" i="15"/>
  <c r="F22" i="69"/>
  <c r="F24" i="67"/>
  <c r="C24" i="67"/>
  <c r="F22" i="11"/>
  <c r="C38" i="85"/>
  <c r="C66" i="85"/>
  <c r="C60" i="85"/>
  <c r="C29" i="85"/>
  <c r="H22" i="6"/>
  <c r="H6" i="3"/>
  <c r="E11" i="70"/>
  <c r="AC6" i="3"/>
  <c r="E9" i="70"/>
  <c r="E8" i="70"/>
  <c r="N101" i="43"/>
  <c r="S3" i="43"/>
  <c r="T3" i="43"/>
  <c r="V3" i="43"/>
  <c r="B113" i="43"/>
  <c r="AI11" i="43"/>
  <c r="AI13" i="43"/>
  <c r="AF11" i="43"/>
  <c r="AF13" i="43"/>
  <c r="G22" i="43"/>
  <c r="S6" i="43"/>
  <c r="T6" i="43"/>
  <c r="V6" i="43"/>
  <c r="L101" i="43"/>
  <c r="AC11" i="43"/>
  <c r="AC13" i="43"/>
  <c r="D101" i="43"/>
  <c r="AA11" i="43"/>
  <c r="AA13" i="43"/>
  <c r="H101" i="43"/>
  <c r="S4" i="43"/>
  <c r="T4" i="43"/>
  <c r="V4" i="43"/>
  <c r="J22" i="43"/>
  <c r="C23" i="43"/>
  <c r="C21" i="43"/>
  <c r="C29" i="43"/>
  <c r="E29" i="43"/>
  <c r="C26" i="43"/>
  <c r="B2" i="43"/>
  <c r="AJ11" i="43"/>
  <c r="AJ13" i="43"/>
  <c r="N104" i="46"/>
  <c r="M101" i="43"/>
  <c r="Y11" i="43"/>
  <c r="Y13" i="43"/>
  <c r="I101" i="43"/>
  <c r="Z7" i="43"/>
  <c r="AG11" i="43"/>
  <c r="AG13" i="43"/>
  <c r="Z11" i="43"/>
  <c r="Z13" i="43"/>
  <c r="AH11" i="43"/>
  <c r="AH13" i="43"/>
  <c r="K101" i="43"/>
  <c r="S7" i="43"/>
  <c r="T7" i="43"/>
  <c r="V7" i="43"/>
  <c r="C101" i="43"/>
  <c r="E101" i="43"/>
  <c r="F22" i="43"/>
  <c r="S2" i="43"/>
  <c r="T2" i="43"/>
  <c r="V2" i="43"/>
  <c r="H22" i="43"/>
  <c r="J101" i="43"/>
  <c r="E22" i="43"/>
  <c r="G101" i="43"/>
  <c r="S5" i="43"/>
  <c r="T5" i="43"/>
  <c r="V5" i="43"/>
  <c r="AB11" i="43"/>
  <c r="AB13" i="43"/>
  <c r="AE11" i="43"/>
  <c r="AE13" i="43"/>
  <c r="F101" i="43"/>
  <c r="AD11" i="43"/>
  <c r="AD13" i="43"/>
  <c r="C66" i="84"/>
  <c r="C60" i="84"/>
  <c r="C66" i="83"/>
  <c r="C60" i="83"/>
  <c r="H20" i="6"/>
  <c r="H21" i="6"/>
  <c r="R21" i="6"/>
  <c r="H25" i="6"/>
  <c r="R25" i="6"/>
  <c r="R12" i="1"/>
  <c r="S16" i="1"/>
  <c r="AQ10" i="1"/>
  <c r="AR10" i="1"/>
  <c r="AR9" i="1"/>
  <c r="AQ9" i="1"/>
  <c r="T9" i="1"/>
  <c r="AQ11" i="1"/>
  <c r="T11" i="1"/>
  <c r="AR11" i="1"/>
  <c r="AQ8" i="1"/>
  <c r="T8" i="1"/>
  <c r="AR8" i="1"/>
  <c r="T12" i="1"/>
  <c r="AQ12" i="1"/>
  <c r="AR12" i="1"/>
  <c r="AR7" i="1"/>
  <c r="T7" i="1"/>
  <c r="AQ7" i="1"/>
  <c r="H26" i="6"/>
  <c r="R26" i="6"/>
  <c r="R13" i="1"/>
  <c r="T13" i="1"/>
  <c r="AQ13" i="1"/>
  <c r="AR13" i="1"/>
  <c r="D30" i="6"/>
  <c r="D16" i="6"/>
  <c r="R20" i="6"/>
  <c r="R7" i="1"/>
  <c r="C36" i="36"/>
  <c r="C37" i="36"/>
  <c r="B2" i="36"/>
  <c r="B3" i="36"/>
  <c r="AA7" i="37"/>
  <c r="R42" i="37"/>
  <c r="S7" i="37"/>
  <c r="E40" i="36"/>
  <c r="F40" i="36"/>
  <c r="E41" i="36"/>
  <c r="F41" i="36"/>
  <c r="G58" i="21"/>
  <c r="C49" i="33"/>
  <c r="B2" i="33"/>
  <c r="B3" i="33"/>
  <c r="C48" i="33"/>
  <c r="I41" i="36"/>
  <c r="J41" i="36"/>
  <c r="W7" i="37"/>
  <c r="AC7" i="37"/>
  <c r="V42" i="37"/>
  <c r="I42" i="37"/>
  <c r="AA7" i="34"/>
  <c r="R49" i="34"/>
  <c r="S7" i="34"/>
  <c r="E53" i="33"/>
  <c r="F53" i="33"/>
  <c r="E52" i="33"/>
  <c r="F52" i="33"/>
  <c r="H63" i="40"/>
  <c r="G65" i="40"/>
  <c r="W7" i="34"/>
  <c r="AC7" i="34"/>
  <c r="V49" i="34"/>
  <c r="I49" i="34"/>
  <c r="K68" i="39"/>
  <c r="J70" i="39"/>
  <c r="E42" i="35"/>
  <c r="F42" i="35"/>
  <c r="E43" i="35"/>
  <c r="F43" i="35"/>
  <c r="I53" i="33"/>
  <c r="J53" i="33"/>
  <c r="I52" i="33"/>
  <c r="J52" i="33"/>
  <c r="AB7" i="34"/>
  <c r="T49" i="34"/>
  <c r="G49" i="34"/>
  <c r="U7" i="34"/>
  <c r="AB7" i="37"/>
  <c r="T42" i="37"/>
  <c r="G42" i="37"/>
  <c r="U7" i="37"/>
  <c r="R23" i="6"/>
  <c r="R10" i="1"/>
  <c r="D27" i="6"/>
  <c r="C10" i="69"/>
  <c r="C8" i="69"/>
  <c r="C5" i="69"/>
  <c r="C23" i="69"/>
  <c r="D19" i="69"/>
  <c r="I19" i="6"/>
  <c r="M27" i="6"/>
  <c r="D8" i="74"/>
  <c r="C38" i="69"/>
  <c r="C35" i="69"/>
  <c r="C10" i="68"/>
  <c r="C4" i="52"/>
  <c r="B45" i="72"/>
  <c r="A7" i="51"/>
  <c r="B7" i="72"/>
  <c r="A10" i="51"/>
  <c r="B9" i="72"/>
  <c r="R24" i="6"/>
  <c r="R22" i="6"/>
  <c r="C60" i="67"/>
  <c r="C66" i="67"/>
  <c r="C38" i="67"/>
  <c r="C23" i="67"/>
  <c r="C29" i="67"/>
  <c r="C26" i="69"/>
  <c r="D22" i="69"/>
  <c r="C44" i="69"/>
  <c r="D41" i="69"/>
  <c r="C44" i="11"/>
  <c r="D41" i="11"/>
  <c r="C23" i="11"/>
  <c r="C24" i="11"/>
  <c r="C25" i="11"/>
  <c r="C26" i="11"/>
  <c r="D22" i="11"/>
  <c r="C60" i="15"/>
  <c r="C66" i="15"/>
  <c r="J26" i="67"/>
  <c r="J29" i="67"/>
  <c r="J24" i="67"/>
  <c r="F35" i="85"/>
  <c r="M21" i="85"/>
  <c r="M21" i="84"/>
  <c r="M21" i="83"/>
  <c r="B6" i="76"/>
  <c r="J20" i="85"/>
  <c r="F63" i="85"/>
  <c r="C62" i="85"/>
  <c r="C34" i="85"/>
  <c r="C31" i="85"/>
  <c r="C57" i="85"/>
  <c r="C36" i="85"/>
  <c r="J19" i="85"/>
  <c r="J14" i="85"/>
  <c r="C13" i="85"/>
  <c r="Q49" i="85"/>
  <c r="E6" i="3"/>
  <c r="C30" i="43"/>
  <c r="E30" i="43"/>
  <c r="C27" i="43"/>
  <c r="E2" i="70"/>
  <c r="C103" i="43"/>
  <c r="C106" i="43"/>
  <c r="C107" i="43"/>
  <c r="C104" i="43"/>
  <c r="C102" i="43"/>
  <c r="C109" i="43"/>
  <c r="C105" i="43"/>
  <c r="I115" i="43"/>
  <c r="J115" i="43"/>
  <c r="K115" i="43"/>
  <c r="L115" i="43"/>
  <c r="M115" i="43"/>
  <c r="B115" i="43"/>
  <c r="B117" i="43"/>
  <c r="C117" i="43"/>
  <c r="D116" i="43"/>
  <c r="E116" i="43"/>
  <c r="F116" i="43"/>
  <c r="G116" i="43"/>
  <c r="H116" i="43"/>
  <c r="D115" i="43"/>
  <c r="E115" i="43"/>
  <c r="F115" i="43"/>
  <c r="G115" i="43"/>
  <c r="H115" i="43"/>
  <c r="D117" i="43"/>
  <c r="E117" i="43"/>
  <c r="F117" i="43"/>
  <c r="G117" i="43"/>
  <c r="H117" i="43"/>
  <c r="D118" i="43"/>
  <c r="E118" i="43"/>
  <c r="F118" i="43"/>
  <c r="B116" i="43"/>
  <c r="C116" i="43"/>
  <c r="B118" i="43"/>
  <c r="C118" i="43"/>
  <c r="I117" i="43"/>
  <c r="J117" i="43"/>
  <c r="K117" i="43"/>
  <c r="L117" i="43"/>
  <c r="M117" i="43"/>
  <c r="G118" i="43"/>
  <c r="H118" i="43"/>
  <c r="I118" i="43"/>
  <c r="J118" i="43"/>
  <c r="K118" i="43"/>
  <c r="L118" i="43"/>
  <c r="M118" i="43"/>
  <c r="I116" i="43"/>
  <c r="J116" i="43"/>
  <c r="K116" i="43"/>
  <c r="L116" i="43"/>
  <c r="M116" i="43"/>
  <c r="F104" i="43"/>
  <c r="F107" i="43"/>
  <c r="F103" i="43"/>
  <c r="F106" i="43"/>
  <c r="F102" i="43"/>
  <c r="F109" i="43"/>
  <c r="F105" i="43"/>
  <c r="G105" i="43"/>
  <c r="G106" i="43"/>
  <c r="G102" i="43"/>
  <c r="G104" i="43"/>
  <c r="G109" i="43"/>
  <c r="G103" i="43"/>
  <c r="G107" i="43"/>
  <c r="M106" i="43"/>
  <c r="M107" i="43"/>
  <c r="M103" i="43"/>
  <c r="M104" i="43"/>
  <c r="M105" i="43"/>
  <c r="M109" i="43"/>
  <c r="M102" i="43"/>
  <c r="D107" i="43"/>
  <c r="D105" i="43"/>
  <c r="D103" i="43"/>
  <c r="D102" i="43"/>
  <c r="D106" i="43"/>
  <c r="D104" i="43"/>
  <c r="D109" i="43"/>
  <c r="T16" i="1"/>
  <c r="D22" i="43"/>
  <c r="K106" i="43"/>
  <c r="K107" i="43"/>
  <c r="K103" i="43"/>
  <c r="K105" i="43"/>
  <c r="K104" i="43"/>
  <c r="K109" i="43"/>
  <c r="K102" i="43"/>
  <c r="N104" i="43"/>
  <c r="N105" i="43"/>
  <c r="N109" i="43"/>
  <c r="N106" i="43"/>
  <c r="N103" i="43"/>
  <c r="N102" i="43"/>
  <c r="N107" i="43"/>
  <c r="J103" i="43"/>
  <c r="J109" i="43"/>
  <c r="J102" i="43"/>
  <c r="J104" i="43"/>
  <c r="J107" i="43"/>
  <c r="J106" i="43"/>
  <c r="J105" i="43"/>
  <c r="E102" i="43"/>
  <c r="E104" i="43"/>
  <c r="E107" i="43"/>
  <c r="E106" i="43"/>
  <c r="E105" i="43"/>
  <c r="E109" i="43"/>
  <c r="E103" i="43"/>
  <c r="I109" i="43"/>
  <c r="I102" i="43"/>
  <c r="I106" i="43"/>
  <c r="I103" i="43"/>
  <c r="I105" i="43"/>
  <c r="I104" i="43"/>
  <c r="I107" i="43"/>
  <c r="H106" i="43"/>
  <c r="H104" i="43"/>
  <c r="H105" i="43"/>
  <c r="H102" i="43"/>
  <c r="H103" i="43"/>
  <c r="H109" i="43"/>
  <c r="H107" i="43"/>
  <c r="L107" i="43"/>
  <c r="L109" i="43"/>
  <c r="L103" i="43"/>
  <c r="L102" i="43"/>
  <c r="L104" i="43"/>
  <c r="L105" i="43"/>
  <c r="L106" i="43"/>
  <c r="J20" i="84"/>
  <c r="F63" i="84"/>
  <c r="C62" i="84"/>
  <c r="F63" i="83"/>
  <c r="C62" i="83"/>
  <c r="J20" i="83"/>
  <c r="D31" i="6"/>
  <c r="I6" i="6"/>
  <c r="G47" i="37"/>
  <c r="H47" i="37"/>
  <c r="G46" i="37"/>
  <c r="H46" i="37"/>
  <c r="L68" i="39"/>
  <c r="K70" i="39"/>
  <c r="H65" i="40"/>
  <c r="I63" i="40"/>
  <c r="E49" i="34"/>
  <c r="R50" i="34"/>
  <c r="H58" i="21"/>
  <c r="E42" i="37"/>
  <c r="R43" i="37"/>
  <c r="G53" i="34"/>
  <c r="H53" i="34"/>
  <c r="G54" i="34"/>
  <c r="H54" i="34"/>
  <c r="I54" i="34"/>
  <c r="J54" i="34"/>
  <c r="I53" i="34"/>
  <c r="J53" i="34"/>
  <c r="I47" i="37"/>
  <c r="J47" i="37"/>
  <c r="I46" i="37"/>
  <c r="J46" i="37"/>
  <c r="B2" i="76"/>
  <c r="B3" i="43"/>
  <c r="L16" i="1"/>
  <c r="C19" i="68"/>
  <c r="I27" i="6"/>
  <c r="S19" i="6"/>
  <c r="S27" i="6"/>
  <c r="H19" i="6"/>
  <c r="P14" i="1"/>
  <c r="P16" i="1"/>
  <c r="D37" i="69"/>
  <c r="C37" i="69"/>
  <c r="C33" i="69"/>
  <c r="C19" i="69"/>
  <c r="C24" i="69"/>
  <c r="J59" i="15"/>
  <c r="J60" i="15"/>
  <c r="H107" i="9"/>
  <c r="C36" i="67"/>
  <c r="Q49" i="67"/>
  <c r="J19" i="67"/>
  <c r="C33" i="67"/>
  <c r="J14" i="67"/>
  <c r="C13" i="67"/>
  <c r="C57" i="67"/>
  <c r="J59" i="67"/>
  <c r="J60" i="67"/>
  <c r="C22" i="11"/>
  <c r="C31" i="11"/>
  <c r="C37" i="85"/>
  <c r="C30" i="85"/>
  <c r="C39" i="85"/>
  <c r="C56" i="85"/>
  <c r="C65" i="85"/>
  <c r="C75" i="85"/>
  <c r="Q70" i="85"/>
  <c r="C64" i="85"/>
  <c r="C61" i="85"/>
  <c r="C59" i="85"/>
  <c r="J13" i="85"/>
  <c r="J23" i="85"/>
  <c r="J22" i="85"/>
  <c r="J17" i="85"/>
  <c r="C115" i="43"/>
  <c r="D113" i="43"/>
  <c r="F34" i="11"/>
  <c r="I5" i="6"/>
  <c r="I65" i="40"/>
  <c r="J63" i="40"/>
  <c r="I58" i="21"/>
  <c r="C42" i="37"/>
  <c r="C43" i="37"/>
  <c r="B2" i="37"/>
  <c r="B3" i="37"/>
  <c r="C49" i="34"/>
  <c r="C50" i="34"/>
  <c r="B2" i="34"/>
  <c r="B3" i="34"/>
  <c r="E46" i="37"/>
  <c r="F46" i="37"/>
  <c r="E47" i="37"/>
  <c r="F47" i="37"/>
  <c r="E54" i="34"/>
  <c r="F54" i="34"/>
  <c r="E53" i="34"/>
  <c r="F53" i="34"/>
  <c r="M68" i="39"/>
  <c r="L70" i="39"/>
  <c r="C39" i="69"/>
  <c r="C42" i="69"/>
  <c r="H27" i="6"/>
  <c r="R19" i="6"/>
  <c r="F50" i="11"/>
  <c r="F50" i="69"/>
  <c r="C20" i="69"/>
  <c r="C56" i="67"/>
  <c r="C65" i="67"/>
  <c r="C75" i="67"/>
  <c r="Q70" i="67"/>
  <c r="C37" i="67"/>
  <c r="J13" i="67"/>
  <c r="J23" i="67"/>
  <c r="J22" i="67"/>
  <c r="Q48" i="67"/>
  <c r="L46" i="67"/>
  <c r="D13" i="53"/>
  <c r="D122" i="9"/>
  <c r="H108" i="9"/>
  <c r="D15" i="53"/>
  <c r="B31" i="72"/>
  <c r="Q48" i="15"/>
  <c r="L46" i="15"/>
  <c r="C61" i="67"/>
  <c r="C64" i="67"/>
  <c r="E6" i="76"/>
  <c r="J16" i="85"/>
  <c r="J25" i="85"/>
  <c r="C58" i="85"/>
  <c r="C67" i="85"/>
  <c r="C68" i="85"/>
  <c r="C71" i="85"/>
  <c r="C80" i="85"/>
  <c r="C79" i="85"/>
  <c r="Q69" i="85"/>
  <c r="Q68" i="85"/>
  <c r="C40" i="85"/>
  <c r="E2" i="76"/>
  <c r="B3" i="76"/>
  <c r="C36" i="11"/>
  <c r="C37" i="11"/>
  <c r="C34" i="11"/>
  <c r="R27" i="6"/>
  <c r="R6" i="1"/>
  <c r="J58" i="21"/>
  <c r="K63" i="40"/>
  <c r="J65" i="40"/>
  <c r="N68" i="39"/>
  <c r="M70" i="39"/>
  <c r="C28" i="69"/>
  <c r="C27" i="69"/>
  <c r="C25" i="69"/>
  <c r="C22" i="69"/>
  <c r="C46" i="69"/>
  <c r="C45" i="69"/>
  <c r="C43" i="69"/>
  <c r="C41" i="69"/>
  <c r="G14" i="74"/>
  <c r="B6" i="74"/>
  <c r="D123" i="9"/>
  <c r="D9" i="52"/>
  <c r="D8" i="52"/>
  <c r="B30" i="72"/>
  <c r="D14" i="53"/>
  <c r="B32" i="72"/>
  <c r="L51" i="85"/>
  <c r="M21" i="67"/>
  <c r="F35" i="67"/>
  <c r="M21" i="15"/>
  <c r="C46" i="85"/>
  <c r="Q67" i="85"/>
  <c r="Q47" i="85"/>
  <c r="Q53" i="85"/>
  <c r="B2" i="85"/>
  <c r="Q65" i="85"/>
  <c r="Q75" i="85"/>
  <c r="Q56" i="85"/>
  <c r="Q62" i="85"/>
  <c r="C43" i="85"/>
  <c r="C83" i="85"/>
  <c r="C82" i="85"/>
  <c r="Q49" i="84"/>
  <c r="C75" i="84"/>
  <c r="J19" i="84"/>
  <c r="J17" i="84"/>
  <c r="C57" i="84"/>
  <c r="C64" i="84"/>
  <c r="J14" i="84"/>
  <c r="C56" i="84"/>
  <c r="C65" i="84"/>
  <c r="C61" i="84"/>
  <c r="C59" i="84"/>
  <c r="Q70" i="84"/>
  <c r="Q49" i="83"/>
  <c r="J19" i="83"/>
  <c r="J17" i="83"/>
  <c r="J14" i="83"/>
  <c r="C57" i="83"/>
  <c r="Q49" i="15"/>
  <c r="C57" i="15"/>
  <c r="J19" i="15"/>
  <c r="J14" i="15"/>
  <c r="L57" i="83"/>
  <c r="C38" i="11"/>
  <c r="C35" i="11"/>
  <c r="F63" i="15"/>
  <c r="C62" i="15"/>
  <c r="J20" i="67"/>
  <c r="J17" i="67"/>
  <c r="J16" i="67"/>
  <c r="J25" i="67"/>
  <c r="F63" i="67"/>
  <c r="C62" i="67"/>
  <c r="C59" i="67"/>
  <c r="C58" i="67"/>
  <c r="C67" i="67"/>
  <c r="C68" i="67"/>
  <c r="C71" i="67"/>
  <c r="C34" i="67"/>
  <c r="C31" i="67"/>
  <c r="C30" i="67"/>
  <c r="C39" i="67"/>
  <c r="J20" i="15"/>
  <c r="R16" i="1"/>
  <c r="H7" i="39"/>
  <c r="N70" i="39"/>
  <c r="J7" i="39"/>
  <c r="O68" i="39"/>
  <c r="O70" i="39"/>
  <c r="F7" i="39"/>
  <c r="L63" i="40"/>
  <c r="K65" i="40"/>
  <c r="K58" i="21"/>
  <c r="C31" i="69"/>
  <c r="C49" i="69"/>
  <c r="C51" i="69"/>
  <c r="C6" i="74"/>
  <c r="D6" i="74"/>
  <c r="AO10" i="1"/>
  <c r="L51" i="67"/>
  <c r="B10" i="70"/>
  <c r="B3" i="85"/>
  <c r="C58" i="84"/>
  <c r="C67" i="84"/>
  <c r="C68" i="84"/>
  <c r="C71" i="84"/>
  <c r="J13" i="84"/>
  <c r="J23" i="84"/>
  <c r="J22" i="84"/>
  <c r="J17" i="15"/>
  <c r="C61" i="15"/>
  <c r="C59" i="15"/>
  <c r="C64" i="15"/>
  <c r="J13" i="83"/>
  <c r="J23" i="83"/>
  <c r="J22" i="83"/>
  <c r="J13" i="15"/>
  <c r="J23" i="15"/>
  <c r="J22" i="15"/>
  <c r="C56" i="83"/>
  <c r="C65" i="83"/>
  <c r="C75" i="83"/>
  <c r="Q70" i="83"/>
  <c r="Q70" i="15"/>
  <c r="C56" i="15"/>
  <c r="C65" i="15"/>
  <c r="Q69" i="15"/>
  <c r="C75" i="15"/>
  <c r="C61" i="83"/>
  <c r="C59" i="83"/>
  <c r="C64" i="83"/>
  <c r="L57" i="84"/>
  <c r="C33" i="11"/>
  <c r="C42" i="11"/>
  <c r="L57" i="67"/>
  <c r="L60" i="67"/>
  <c r="Q57" i="67"/>
  <c r="Q67" i="67"/>
  <c r="C40" i="67"/>
  <c r="C80" i="67"/>
  <c r="C79" i="67"/>
  <c r="Q69" i="67"/>
  <c r="Q68" i="67"/>
  <c r="M63" i="40"/>
  <c r="L65" i="40"/>
  <c r="AA7" i="39"/>
  <c r="S7" i="39"/>
  <c r="W7" i="39"/>
  <c r="AC7" i="39"/>
  <c r="I47" i="39"/>
  <c r="L58" i="21"/>
  <c r="U7" i="39"/>
  <c r="AB7" i="39"/>
  <c r="G47" i="39"/>
  <c r="C52" i="69"/>
  <c r="B2" i="69"/>
  <c r="B3" i="69"/>
  <c r="L51" i="84"/>
  <c r="L51" i="83"/>
  <c r="L51" i="15"/>
  <c r="Q67" i="84"/>
  <c r="Q69" i="84"/>
  <c r="Q68" i="84"/>
  <c r="C43" i="84"/>
  <c r="C80" i="84"/>
  <c r="C79" i="84"/>
  <c r="J16" i="84"/>
  <c r="J25" i="84"/>
  <c r="J16" i="83"/>
  <c r="J25" i="83"/>
  <c r="Q68" i="15"/>
  <c r="C58" i="83"/>
  <c r="C67" i="83"/>
  <c r="C68" i="83"/>
  <c r="C71" i="83"/>
  <c r="C80" i="15"/>
  <c r="C79" i="15"/>
  <c r="C58" i="15"/>
  <c r="C67" i="15"/>
  <c r="C68" i="15"/>
  <c r="C71" i="15"/>
  <c r="Q65" i="15"/>
  <c r="J16" i="15"/>
  <c r="J25" i="15"/>
  <c r="L57" i="15"/>
  <c r="L60" i="15"/>
  <c r="Q57" i="15"/>
  <c r="Q67" i="15"/>
  <c r="Q67" i="83"/>
  <c r="C80" i="83"/>
  <c r="C79" i="83"/>
  <c r="Q69" i="83"/>
  <c r="Q68" i="83"/>
  <c r="C39" i="11"/>
  <c r="C43" i="11"/>
  <c r="C41" i="11"/>
  <c r="Q66" i="67"/>
  <c r="C43" i="67"/>
  <c r="Q47" i="67"/>
  <c r="Q53" i="67"/>
  <c r="D2" i="67"/>
  <c r="C83" i="67"/>
  <c r="C82" i="67"/>
  <c r="Q56" i="67"/>
  <c r="Q62" i="67"/>
  <c r="Q65" i="67"/>
  <c r="C45" i="67"/>
  <c r="C46" i="67"/>
  <c r="G52" i="39"/>
  <c r="H52" i="39"/>
  <c r="G51" i="39"/>
  <c r="H51" i="39"/>
  <c r="I51" i="39"/>
  <c r="J51" i="39"/>
  <c r="N63" i="40"/>
  <c r="M65" i="40"/>
  <c r="M58" i="21"/>
  <c r="N58" i="21"/>
  <c r="O58" i="21"/>
  <c r="F7" i="21"/>
  <c r="J7" i="21"/>
  <c r="H7" i="21"/>
  <c r="E47" i="39"/>
  <c r="C57" i="69"/>
  <c r="C56" i="69"/>
  <c r="C46" i="84"/>
  <c r="Q65" i="84"/>
  <c r="Q75" i="84"/>
  <c r="C83" i="84"/>
  <c r="C82" i="84"/>
  <c r="Q56" i="84"/>
  <c r="Q62" i="84"/>
  <c r="Q47" i="84"/>
  <c r="Q53" i="84"/>
  <c r="C43" i="15"/>
  <c r="Q56" i="15"/>
  <c r="Q62" i="15"/>
  <c r="Q47" i="15"/>
  <c r="Q53" i="15"/>
  <c r="C83" i="15"/>
  <c r="C82" i="15"/>
  <c r="C46" i="15"/>
  <c r="Q47" i="83"/>
  <c r="Q53" i="83"/>
  <c r="C43" i="83"/>
  <c r="C83" i="83"/>
  <c r="C82" i="83"/>
  <c r="Q65" i="83"/>
  <c r="Q75" i="83"/>
  <c r="Q56" i="83"/>
  <c r="Q62" i="83"/>
  <c r="Q66" i="15"/>
  <c r="Q75" i="15"/>
  <c r="C46" i="83"/>
  <c r="C46" i="11"/>
  <c r="C45" i="11"/>
  <c r="C49" i="11"/>
  <c r="C51" i="11"/>
  <c r="C52" i="11"/>
  <c r="B2" i="11"/>
  <c r="B3" i="11"/>
  <c r="Q75" i="67"/>
  <c r="B2" i="67"/>
  <c r="B3" i="67"/>
  <c r="AC7" i="21"/>
  <c r="V48" i="21"/>
  <c r="I48" i="21"/>
  <c r="W7" i="21"/>
  <c r="E51" i="39"/>
  <c r="F51" i="39"/>
  <c r="E52" i="39"/>
  <c r="F52" i="39"/>
  <c r="AA7" i="21"/>
  <c r="R48" i="21"/>
  <c r="S7" i="21"/>
  <c r="C47" i="39"/>
  <c r="U7" i="21"/>
  <c r="AB7" i="21"/>
  <c r="T48" i="21"/>
  <c r="G48" i="21"/>
  <c r="O63" i="40"/>
  <c r="O65" i="40"/>
  <c r="N65" i="40"/>
  <c r="I52" i="39"/>
  <c r="J52" i="39"/>
  <c r="AO8" i="1"/>
  <c r="AO11" i="1"/>
  <c r="AO9" i="1"/>
  <c r="B8" i="70"/>
  <c r="B3" i="15"/>
  <c r="E6" i="12"/>
  <c r="B11" i="70"/>
  <c r="B3" i="84"/>
  <c r="H6" i="12"/>
  <c r="B9" i="70"/>
  <c r="B3" i="83"/>
  <c r="F6" i="12"/>
  <c r="C56" i="11"/>
  <c r="C57" i="11"/>
  <c r="E48" i="21"/>
  <c r="I53" i="21"/>
  <c r="J53" i="21"/>
  <c r="R49" i="21"/>
  <c r="I52" i="21"/>
  <c r="J52" i="21"/>
  <c r="F7" i="40"/>
  <c r="J7" i="40"/>
  <c r="H7" i="40"/>
  <c r="G53" i="21"/>
  <c r="H53" i="21"/>
  <c r="G52" i="21"/>
  <c r="H52" i="21"/>
  <c r="B2" i="70"/>
  <c r="B3" i="70"/>
  <c r="W7" i="40"/>
  <c r="AC7" i="40"/>
  <c r="V42" i="40"/>
  <c r="I42" i="40"/>
  <c r="S7" i="40"/>
  <c r="AA7" i="40"/>
  <c r="R42" i="40"/>
  <c r="U7" i="40"/>
  <c r="AB7" i="40"/>
  <c r="T42" i="40"/>
  <c r="G42" i="40"/>
  <c r="C49" i="21"/>
  <c r="B2" i="21"/>
  <c r="B3" i="21"/>
  <c r="C48" i="21"/>
  <c r="E53" i="21"/>
  <c r="F53" i="21"/>
  <c r="E52" i="21"/>
  <c r="F52" i="21"/>
  <c r="B2" i="39"/>
  <c r="B3" i="39"/>
  <c r="R43" i="40"/>
  <c r="E42" i="40"/>
  <c r="I47" i="40"/>
  <c r="J47" i="40"/>
  <c r="G46" i="40"/>
  <c r="H46" i="40"/>
  <c r="G47" i="40"/>
  <c r="H47" i="40"/>
  <c r="I46" i="40"/>
  <c r="J46" i="40"/>
  <c r="B3" i="12"/>
  <c r="C43" i="40"/>
  <c r="C42" i="40"/>
  <c r="E46" i="40"/>
  <c r="F46" i="40"/>
  <c r="E47" i="40"/>
  <c r="F47" i="40"/>
  <c r="D20" i="9"/>
  <c r="D21" i="9"/>
  <c r="D102" i="9"/>
  <c r="D103" i="9"/>
  <c r="B59" i="40"/>
  <c r="F59" i="40"/>
  <c r="B54" i="40"/>
  <c r="F54" i="40"/>
  <c r="B51" i="40"/>
  <c r="F51" i="40"/>
  <c r="B58" i="40"/>
  <c r="F58" i="40"/>
  <c r="B53" i="40"/>
  <c r="F53" i="40"/>
  <c r="B52" i="40"/>
  <c r="F52" i="40"/>
  <c r="B57" i="40"/>
  <c r="F57" i="40"/>
  <c r="B56" i="40"/>
  <c r="F56" i="40"/>
  <c r="B55" i="40"/>
  <c r="F55" i="40"/>
  <c r="B60" i="40"/>
  <c r="F60" i="40"/>
  <c r="F61" i="40"/>
  <c r="B2" i="40"/>
  <c r="B3" i="40"/>
  <c r="C102" i="9"/>
  <c r="C21" i="9"/>
  <c r="D22" i="9"/>
  <c r="C20" i="9"/>
  <c r="C103" i="9"/>
  <c r="G20" i="9"/>
  <c r="G21" i="9"/>
  <c r="C34" i="9"/>
  <c r="D118" i="9"/>
  <c r="D119" i="9"/>
  <c r="D5" i="52"/>
  <c r="B49" i="72"/>
  <c r="F119" i="9"/>
  <c r="F5" i="52"/>
  <c r="B53" i="72"/>
  <c r="F4" i="52"/>
  <c r="B51" i="72"/>
  <c r="G4" i="52"/>
  <c r="B52" i="72"/>
  <c r="D14" i="74"/>
  <c r="H119" i="9"/>
  <c r="H5" i="52"/>
  <c r="C104" i="9"/>
  <c r="H4" i="52"/>
  <c r="H101" i="9"/>
  <c r="D4" i="52"/>
  <c r="B47" i="72"/>
  <c r="E14" i="74"/>
  <c r="F14" i="74"/>
  <c r="D5" i="53"/>
  <c r="D45" i="9"/>
  <c r="M48" i="9"/>
  <c r="H109" i="9"/>
  <c r="C105" i="9"/>
  <c r="H102" i="9"/>
  <c r="D7" i="53"/>
  <c r="B21" i="72"/>
  <c r="E118" i="9"/>
  <c r="E4" i="52"/>
  <c r="B48" i="72"/>
  <c r="I4" i="52"/>
  <c r="C72" i="9"/>
  <c r="D55" i="9"/>
  <c r="M53" i="9"/>
  <c r="D53" i="9"/>
  <c r="D52" i="9"/>
  <c r="C64" i="9"/>
  <c r="C63" i="9"/>
  <c r="C67" i="9"/>
  <c r="C68" i="9"/>
  <c r="D54" i="9"/>
  <c r="C93" i="9"/>
  <c r="C86" i="9"/>
  <c r="C78" i="9"/>
  <c r="C73" i="9"/>
  <c r="C85" i="9"/>
  <c r="D6" i="53"/>
  <c r="B22" i="72"/>
  <c r="B20" i="72"/>
  <c r="D124" i="9"/>
  <c r="H110" i="9"/>
  <c r="D18" i="53"/>
  <c r="B35" i="72"/>
  <c r="D16" i="53"/>
  <c r="M49" i="9"/>
  <c r="C79" i="9"/>
  <c r="C80" i="9"/>
  <c r="E80" i="9"/>
  <c r="E81" i="9"/>
  <c r="C95" i="9"/>
  <c r="D125" i="9"/>
  <c r="D11" i="52"/>
  <c r="H14" i="74"/>
  <c r="B7" i="74"/>
  <c r="D10" i="52"/>
  <c r="B34" i="72"/>
  <c r="D17" i="53"/>
  <c r="B36" i="72"/>
  <c r="L68" i="9"/>
  <c r="M68" i="9"/>
  <c r="L63" i="9"/>
  <c r="M63" i="9"/>
  <c r="L64" i="9"/>
  <c r="M64" i="9"/>
  <c r="L67" i="9"/>
  <c r="M67" i="9"/>
  <c r="L65" i="9"/>
  <c r="M65" i="9"/>
  <c r="L66" i="9"/>
  <c r="M66" i="9"/>
  <c r="C96" i="9"/>
  <c r="E96" i="9"/>
  <c r="E97" i="9"/>
  <c r="C81" i="9"/>
  <c r="C7" i="74"/>
  <c r="D7" i="74"/>
  <c r="M69" i="9"/>
  <c r="N69" i="9"/>
  <c r="C97" i="9"/>
  <c r="D58" i="9"/>
  <c r="D56" i="9"/>
  <c r="M54" i="9"/>
  <c r="N57" i="9"/>
  <c r="N58" i="9"/>
  <c r="P57" i="9"/>
  <c r="N59" i="9"/>
  <c r="N61" i="9"/>
  <c r="N60" i="9"/>
  <c r="B5" i="74"/>
  <c r="C5" i="74"/>
  <c r="D5" i="74"/>
  <c r="F15" i="74"/>
  <c r="E1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sony</author>
  </authors>
  <commentList>
    <comment ref="E88" authorId="0">
      <text>
        <r>
          <rPr>
            <b/>
            <sz val="9"/>
            <color indexed="81"/>
            <rFont val="宋体"/>
            <family val="3"/>
            <charset val="134"/>
          </rPr>
          <t>sony:</t>
        </r>
        <r>
          <rPr>
            <sz val="9"/>
            <color indexed="81"/>
            <rFont val="宋体"/>
            <family val="3"/>
            <charset val="134"/>
          </rPr>
          <t xml:space="preserve">
车库</t>
        </r>
      </text>
    </comment>
  </commentList>
</comments>
</file>

<file path=xl/comments5.xml><?xml version="1.0" encoding="utf-8"?>
<comments xmlns="http://schemas.openxmlformats.org/spreadsheetml/2006/main">
  <authors>
    <author>作者</author>
    <author>kz</author>
  </authors>
  <commentList>
    <comment ref="A151" authorId="0">
      <text>
        <r>
          <rPr>
            <b/>
            <sz val="9"/>
            <rFont val="宋体"/>
            <family val="3"/>
            <charset val="134"/>
          </rPr>
          <t>作者:</t>
        </r>
        <r>
          <rPr>
            <sz val="9"/>
            <rFont val="宋体"/>
            <family val="3"/>
            <charset val="134"/>
          </rPr>
          <t xml:space="preserve">
成交价不能低于15741541</t>
        </r>
      </text>
    </comment>
    <comment ref="A201" authorId="0">
      <text>
        <r>
          <rPr>
            <b/>
            <sz val="9"/>
            <rFont val="宋体"/>
            <family val="3"/>
            <charset val="134"/>
          </rPr>
          <t>作者:</t>
        </r>
        <r>
          <rPr>
            <sz val="9"/>
            <rFont val="宋体"/>
            <family val="3"/>
            <charset val="134"/>
          </rPr>
          <t xml:space="preserve">
成交价格不能低于：21471393元</t>
        </r>
      </text>
    </comment>
    <comment ref="A271" authorId="0">
      <text>
        <r>
          <rPr>
            <b/>
            <sz val="9"/>
            <rFont val="宋体"/>
            <family val="3"/>
            <charset val="134"/>
          </rPr>
          <t>作者:</t>
        </r>
        <r>
          <rPr>
            <sz val="9"/>
            <rFont val="宋体"/>
            <family val="3"/>
            <charset val="134"/>
          </rPr>
          <t xml:space="preserve">
注意成交价</t>
        </r>
      </text>
    </comment>
    <comment ref="F1203" authorId="1">
      <text>
        <r>
          <rPr>
            <b/>
            <sz val="9"/>
            <color indexed="81"/>
            <rFont val="宋体"/>
            <family val="3"/>
            <charset val="134"/>
          </rPr>
          <t>kz:</t>
        </r>
        <r>
          <rPr>
            <sz val="9"/>
            <color indexed="81"/>
            <rFont val="宋体"/>
            <family val="3"/>
            <charset val="134"/>
          </rPr>
          <t xml:space="preserve">
42万一个</t>
        </r>
      </text>
    </comment>
  </commentList>
</comments>
</file>

<file path=xl/comments6.xml><?xml version="1.0" encoding="utf-8"?>
<comments xmlns="http://schemas.openxmlformats.org/spreadsheetml/2006/main">
  <authors>
    <author>kz</author>
  </authors>
  <commentList>
    <comment ref="I96" authorId="0">
      <text>
        <r>
          <rPr>
            <b/>
            <sz val="9"/>
            <color indexed="81"/>
            <rFont val="宋体"/>
            <family val="3"/>
            <charset val="134"/>
          </rPr>
          <t>kz:</t>
        </r>
        <r>
          <rPr>
            <sz val="9"/>
            <color indexed="81"/>
            <rFont val="宋体"/>
            <family val="3"/>
            <charset val="134"/>
          </rPr>
          <t xml:space="preserve">
地下382.04</t>
        </r>
      </text>
    </comment>
    <comment ref="J100" authorId="0">
      <text>
        <r>
          <rPr>
            <b/>
            <sz val="9"/>
            <color indexed="81"/>
            <rFont val="宋体"/>
            <family val="3"/>
            <charset val="134"/>
          </rPr>
          <t>kz:</t>
        </r>
        <r>
          <rPr>
            <sz val="9"/>
            <color indexed="81"/>
            <rFont val="宋体"/>
            <family val="3"/>
            <charset val="134"/>
          </rPr>
          <t xml:space="preserve">
地上物管112.45</t>
        </r>
      </text>
    </comment>
    <comment ref="K100" authorId="0">
      <text>
        <r>
          <rPr>
            <b/>
            <sz val="9"/>
            <color indexed="81"/>
            <rFont val="宋体"/>
            <family val="3"/>
            <charset val="134"/>
          </rPr>
          <t>kz:</t>
        </r>
        <r>
          <rPr>
            <sz val="9"/>
            <color indexed="81"/>
            <rFont val="宋体"/>
            <family val="3"/>
            <charset val="134"/>
          </rPr>
          <t xml:space="preserve">
地下物管66.7
</t>
        </r>
      </text>
    </comment>
  </commentList>
</comments>
</file>

<file path=xl/comments7.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sharedStrings.xml><?xml version="1.0" encoding="utf-8"?>
<sst xmlns="http://schemas.openxmlformats.org/spreadsheetml/2006/main" count="12424" uniqueCount="4797">
  <si>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</si>
  <si>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</si>
  <si>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</si>
  <si>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</si>
  <si>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</si>
  <si>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</si>
  <si>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</si>
  <si>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</si>
  <si>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</si>
  <si>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</si>
  <si>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</si>
  <si>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</si>
  <si>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</si>
  <si>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</si>
  <si>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</si>
  <si>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</si>
  <si>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</si>
  <si>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</si>
  <si>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</si>
  <si>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</si>
  <si>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</si>
  <si>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</si>
  <si>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</si>
  <si>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</si>
  <si>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</si>
  <si>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</si>
  <si>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</si>
  <si>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</si>
  <si>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</si>
  <si>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</si>
  <si>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</si>
  <si>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</si>
  <si>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</si>
  <si>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</si>
  <si>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</si>
  <si>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</si>
  <si>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</si>
  <si>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</si>
  <si>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</si>
  <si>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</si>
  <si>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</si>
  <si>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</si>
  <si>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</si>
  <si>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</si>
  <si>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</si>
  <si>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</si>
  <si>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</si>
  <si>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</si>
  <si>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</si>
  <si>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</si>
  <si>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</si>
  <si>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</si>
  <si>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</si>
  <si>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</si>
  <si>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</si>
  <si>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</si>
  <si>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</si>
  <si>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</si>
  <si>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</si>
  <si>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</si>
  <si>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</si>
  <si>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</si>
  <si>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</si>
  <si>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</si>
  <si>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</si>
  <si>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</si>
  <si>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</si>
  <si>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</si>
  <si>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</si>
  <si>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</si>
  <si>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</si>
  <si>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</si>
  <si>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</si>
  <si>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</si>
  <si>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</si>
  <si>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</si>
  <si>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</si>
  <si>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</si>
  <si>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</si>
  <si>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</si>
  <si>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</si>
  <si>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</si>
  <si>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</si>
  <si>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</si>
  <si>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</si>
  <si>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</si>
  <si>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</si>
  <si>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</si>
  <si>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</si>
  <si>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</si>
  <si>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</si>
  <si>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</si>
  <si>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</si>
  <si>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</si>
  <si>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</si>
  <si>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</si>
  <si>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</si>
  <si>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</si>
  <si>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</si>
  <si>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</si>
  <si>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</si>
  <si>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</si>
  <si>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</si>
  <si>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</si>
  <si>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</si>
  <si>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</si>
  <si>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</si>
  <si>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</si>
  <si>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</si>
  <si>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</si>
  <si>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</si>
  <si>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</si>
  <si>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</si>
  <si>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</si>
  <si>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</si>
  <si>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</si>
  <si>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</si>
  <si>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</si>
  <si>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</si>
  <si>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</si>
  <si>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</si>
  <si>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</si>
  <si>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</si>
  <si>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</si>
  <si>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</si>
  <si>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</si>
  <si>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</si>
  <si>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</si>
  <si>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</si>
  <si>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</si>
  <si>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</si>
  <si>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</si>
  <si>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</si>
  <si>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</si>
  <si>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</si>
  <si>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</si>
  <si>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</si>
  <si>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</si>
  <si>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</si>
  <si>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</si>
  <si>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</si>
  <si>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</si>
  <si>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</si>
  <si>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</si>
  <si>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</si>
  <si>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</si>
  <si>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</si>
  <si>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</si>
  <si>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</si>
  <si>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</si>
  <si>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</si>
  <si>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</si>
  <si>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</si>
  <si>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</si>
  <si>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</si>
  <si>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</si>
  <si>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</si>
  <si>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</si>
  <si>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</si>
  <si>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</si>
  <si>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</si>
  <si>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</si>
  <si>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</si>
  <si>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</si>
  <si>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</si>
  <si>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</si>
  <si>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</si>
  <si>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</si>
  <si>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</si>
  <si>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</si>
  <si>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</si>
  <si>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</si>
  <si>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</si>
  <si>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</si>
  <si>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</si>
  <si>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</si>
  <si>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</si>
  <si>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</si>
  <si>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</si>
  <si>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</si>
  <si>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</si>
  <si>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</si>
  <si>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</si>
  <si>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</si>
  <si>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</si>
  <si>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</si>
  <si>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</si>
  <si>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</si>
  <si>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</si>
  <si>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</si>
  <si>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</si>
  <si>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</si>
  <si>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</si>
  <si>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</si>
  <si>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</si>
  <si>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</si>
  <si>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</si>
  <si>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</si>
  <si>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</si>
  <si>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</si>
  <si>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</si>
  <si>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</si>
  <si>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</si>
  <si>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</si>
  <si>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</si>
  <si>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</si>
  <si>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</si>
  <si>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</si>
  <si>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</si>
  <si>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</si>
  <si>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</si>
  <si>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</si>
  <si>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</si>
  <si>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</si>
  <si>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</si>
  <si>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</si>
  <si>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</si>
  <si>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</si>
  <si>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</si>
  <si>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</si>
  <si>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</si>
  <si>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</si>
  <si>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</si>
  <si>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</si>
  <si>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</si>
  <si>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</si>
  <si>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</si>
  <si>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</si>
  <si>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</si>
  <si>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</si>
  <si>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</si>
  <si>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</si>
  <si>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</si>
  <si>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</si>
  <si>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</si>
  <si>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</si>
  <si>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</si>
  <si>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</si>
  <si>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</si>
  <si>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</si>
  <si>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</si>
  <si>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</si>
  <si>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</si>
  <si>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</si>
  <si>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</si>
  <si>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</si>
  <si>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</si>
  <si>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</si>
  <si>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</si>
  <si>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</si>
  <si>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</si>
  <si>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</si>
  <si>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</si>
  <si>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</si>
  <si>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</si>
  <si>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</si>
  <si>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</si>
  <si>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</si>
  <si>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</si>
  <si>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</si>
  <si>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</si>
  <si>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</si>
  <si>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</si>
  <si>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</si>
  <si>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</si>
  <si>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</si>
  <si>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</si>
  <si>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</si>
  <si>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</si>
  <si>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</si>
  <si>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</si>
  <si>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</si>
  <si>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</si>
  <si>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</si>
  <si>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</si>
  <si>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</si>
  <si>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</si>
  <si>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</si>
  <si>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</si>
  <si>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</si>
  <si>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</si>
  <si>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</si>
  <si>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</si>
  <si>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</si>
  <si>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</si>
  <si>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</si>
  <si>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</si>
  <si>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</si>
  <si>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</si>
  <si>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</si>
  <si>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</si>
  <si>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</si>
  <si>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</si>
  <si>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</si>
  <si>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</si>
  <si>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</si>
  <si>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</si>
  <si>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</si>
  <si>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</si>
  <si>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</si>
  <si>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</si>
  <si>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</si>
  <si>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</si>
  <si>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</si>
  <si>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</si>
  <si>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</si>
  <si>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</si>
  <si>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</si>
  <si>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</si>
  <si>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</si>
  <si>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</si>
  <si>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</si>
  <si>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</si>
  <si>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</si>
  <si>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</si>
  <si>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</si>
  <si>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</si>
  <si>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</si>
  <si>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</si>
  <si>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</si>
  <si>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</si>
  <si>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</si>
  <si>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</si>
  <si>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</si>
  <si>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</si>
  <si>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</si>
  <si>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</si>
  <si>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</si>
  <si>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</si>
  <si>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</si>
  <si>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</si>
  <si>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</si>
  <si>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</si>
  <si>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</si>
  <si>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</si>
  <si>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</si>
  <si>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</si>
  <si>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</si>
  <si>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</si>
  <si>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</si>
  <si>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</si>
  <si>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</si>
  <si>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</si>
  <si>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</si>
  <si>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</si>
  <si>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</si>
  <si>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</si>
  <si>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</si>
  <si>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</si>
  <si>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</si>
  <si>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</si>
  <si>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</si>
  <si>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</si>
  <si>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</si>
  <si>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</si>
  <si>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</si>
  <si>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</si>
  <si>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</si>
  <si>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</si>
  <si>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</si>
  <si>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</si>
  <si>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</si>
  <si>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</si>
  <si>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</si>
  <si>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</si>
  <si>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</si>
  <si>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</si>
  <si>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</si>
  <si>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</si>
  <si>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</si>
  <si>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</si>
  <si>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</si>
  <si>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</si>
  <si>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</si>
  <si>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</si>
  <si>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</si>
  <si>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</si>
  <si>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</si>
  <si>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</si>
  <si>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</si>
  <si>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</si>
  <si>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</si>
  <si>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</si>
  <si>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</si>
  <si>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</si>
  <si>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</si>
  <si>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</si>
  <si>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</si>
  <si>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</si>
  <si>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</si>
  <si>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</si>
  <si>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</si>
  <si>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</si>
  <si>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</si>
  <si>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</si>
  <si>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</si>
  <si>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</si>
  <si>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</si>
  <si>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</si>
  <si>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</si>
  <si>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</si>
  <si>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</si>
  <si>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</si>
  <si>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</si>
  <si>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</si>
  <si>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</si>
  <si>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</si>
  <si>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</si>
  <si>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</si>
  <si>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</si>
  <si>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</si>
  <si>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</si>
  <si>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</si>
  <si>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</si>
  <si>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</si>
  <si>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</si>
  <si>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</si>
  <si>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</si>
  <si>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</si>
  <si>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</si>
  <si>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</si>
  <si>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</si>
  <si>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</si>
  <si>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</si>
  <si>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</si>
  <si>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</si>
  <si>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</si>
  <si>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</si>
  <si>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</si>
  <si>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</si>
  <si>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</si>
  <si>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</si>
  <si>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</si>
  <si>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</si>
  <si>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</si>
  <si>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</si>
  <si>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</si>
  <si>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</si>
  <si>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</si>
  <si>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</si>
  <si>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</si>
  <si>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</si>
  <si>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</si>
  <si>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</si>
  <si>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</si>
  <si>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</si>
  <si>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</si>
  <si>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</si>
  <si>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</si>
  <si>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</si>
  <si>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</si>
  <si>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</si>
  <si>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</si>
  <si>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</si>
  <si>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</si>
  <si>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</si>
  <si>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</si>
  <si>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</si>
  <si>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</si>
  <si>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</si>
  <si>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</si>
  <si>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</si>
  <si>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</si>
  <si>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</si>
  <si>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</si>
  <si>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</si>
  <si>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</si>
  <si>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</si>
  <si>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</si>
  <si>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</si>
  <si>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</si>
  <si>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</si>
  <si>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</si>
  <si>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</si>
  <si>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</si>
  <si>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</si>
  <si>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</si>
  <si>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</si>
  <si>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</si>
  <si>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</si>
  <si>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</si>
  <si>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</si>
  <si>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</si>
  <si>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</si>
  <si>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</si>
  <si>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</si>
  <si>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</si>
  <si>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</si>
  <si>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</si>
  <si>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</si>
  <si>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</si>
  <si>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</si>
  <si>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</si>
  <si>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</si>
  <si>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</si>
  <si>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</si>
  <si>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</si>
  <si>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</si>
  <si>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</si>
  <si>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</si>
  <si>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</si>
  <si>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</si>
  <si>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</si>
  <si>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</si>
  <si>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</si>
  <si>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</si>
  <si>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</si>
  <si>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</si>
  <si>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</si>
  <si>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</si>
  <si>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</si>
  <si>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</si>
  <si>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</si>
  <si>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</si>
  <si>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</si>
  <si>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</si>
  <si>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</si>
  <si>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</si>
  <si>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</si>
  <si>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</si>
  <si>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</si>
  <si>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</si>
  <si>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</si>
  <si>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</si>
  <si>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</si>
  <si>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</si>
  <si>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</si>
  <si>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</si>
  <si>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</si>
  <si>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</si>
  <si>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</si>
  <si>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</si>
  <si>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</si>
  <si>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</si>
  <si>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</si>
  <si>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</si>
  <si>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</si>
  <si>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</si>
  <si>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</si>
  <si>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</si>
  <si>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</si>
  <si>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</si>
  <si>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</si>
  <si>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</si>
  <si>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</si>
  <si>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</si>
  <si>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</si>
  <si>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</si>
  <si>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</si>
  <si>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</si>
  <si>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</si>
  <si>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</si>
  <si>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</si>
  <si>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</si>
  <si>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</si>
  <si>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</si>
  <si>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</si>
  <si>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</si>
  <si>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</si>
  <si>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</si>
  <si>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</si>
  <si>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</si>
  <si>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</si>
  <si>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</si>
  <si>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</si>
  <si>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</si>
  <si>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</si>
  <si>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</si>
  <si>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</si>
  <si>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</si>
  <si>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</si>
  <si>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</si>
  <si>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</si>
  <si>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</si>
  <si>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</si>
  <si>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</si>
  <si>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</si>
  <si>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</si>
  <si>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</si>
  <si>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</si>
  <si>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</si>
  <si>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</si>
  <si>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</si>
  <si>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</si>
  <si>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</si>
  <si>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</si>
  <si>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</si>
  <si>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</si>
  <si>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</si>
  <si>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</si>
  <si>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</si>
  <si>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</si>
  <si>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</si>
  <si>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</si>
  <si>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</si>
  <si>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</si>
  <si>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</si>
  <si>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</si>
  <si>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</si>
  <si>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</si>
  <si>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</si>
  <si>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</si>
  <si>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</si>
  <si>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</si>
  <si>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</si>
  <si>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</si>
  <si>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</si>
  <si>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</si>
  <si>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</si>
  <si>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</si>
  <si>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</si>
  <si>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</si>
  <si>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</si>
  <si>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</si>
  <si>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</si>
  <si>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</si>
  <si>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</si>
  <si>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</si>
  <si>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</si>
  <si>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</si>
  <si>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</si>
  <si>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</si>
  <si>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</si>
  <si>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</si>
  <si>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</si>
  <si>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</si>
  <si>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</si>
  <si>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</si>
  <si>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</si>
  <si>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</si>
  <si>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</si>
  <si>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</si>
  <si>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</si>
  <si>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</si>
  <si>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</si>
  <si>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</si>
  <si>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</si>
  <si>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</si>
  <si>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</si>
  <si>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</si>
  <si>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</si>
  <si>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</si>
  <si>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</si>
  <si>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</si>
  <si>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</si>
  <si>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</si>
  <si>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</si>
  <si>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</si>
  <si>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</si>
  <si>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</si>
  <si>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</si>
  <si>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</si>
  <si>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</si>
  <si>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</si>
  <si>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</si>
  <si>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</si>
  <si>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</si>
  <si>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</si>
  <si>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</si>
  <si>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</si>
  <si>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</si>
  <si>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</si>
  <si>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</si>
  <si>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</si>
  <si>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</si>
  <si>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</si>
  <si>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</si>
  <si>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</si>
  <si>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</si>
  <si>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</si>
  <si>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</si>
  <si>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</si>
  <si>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</si>
  <si>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</si>
  <si>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</si>
  <si>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</si>
  <si>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</si>
  <si>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</si>
  <si>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</si>
  <si>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</si>
  <si>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</si>
  <si>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</si>
  <si>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</si>
  <si>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</si>
  <si>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</si>
  <si>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</si>
  <si>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</si>
  <si>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</si>
  <si>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</si>
  <si>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</si>
  <si>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</si>
  <si>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</si>
  <si>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</si>
  <si>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</si>
  <si>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</si>
  <si>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</si>
  <si>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</si>
  <si>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</si>
  <si>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</si>
  <si>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</si>
  <si>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</si>
  <si>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</si>
  <si>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</si>
  <si>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</si>
  <si>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</si>
  <si>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</si>
  <si>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</si>
  <si>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</si>
  <si>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</si>
  <si>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</si>
  <si>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</si>
  <si>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</si>
  <si>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</si>
  <si>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</si>
  <si>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</si>
  <si>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</si>
  <si>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</si>
  <si>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</si>
  <si>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</si>
  <si>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</si>
  <si>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</si>
  <si>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</si>
  <si>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</si>
  <si>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</si>
  <si>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</si>
  <si>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</si>
  <si>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</si>
  <si>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</si>
  <si>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</si>
  <si>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</si>
  <si>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</si>
  <si>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</si>
  <si>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</si>
  <si>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</si>
  <si>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</si>
  <si>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</si>
  <si>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</si>
  <si>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</si>
  <si>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</si>
  <si>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</si>
  <si>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</si>
  <si>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</si>
  <si>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</si>
  <si>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</si>
  <si>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</si>
  <si>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</si>
  <si>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</si>
  <si>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</si>
  <si>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</si>
  <si>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</si>
  <si>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</si>
  <si>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</si>
  <si>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</si>
  <si>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</si>
  <si>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</si>
  <si>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</si>
  <si>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</si>
  <si>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</si>
  <si>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</si>
  <si>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</si>
  <si>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</si>
  <si>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</si>
  <si>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</si>
  <si>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</si>
  <si>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</si>
  <si>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</si>
  <si>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</si>
  <si>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</si>
  <si>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</si>
  <si>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</si>
  <si>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</si>
  <si>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</si>
  <si>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</si>
  <si>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</si>
  <si>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</si>
  <si>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</si>
  <si>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</si>
  <si>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</si>
  <si>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</si>
  <si>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</si>
  <si>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</si>
  <si>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</si>
  <si>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</si>
  <si>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</si>
  <si>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</si>
  <si>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</si>
  <si>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</si>
  <si>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</si>
  <si>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</si>
  <si>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</si>
  <si>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</si>
  <si>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</si>
  <si>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</si>
  <si>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</si>
  <si>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</si>
  <si>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</si>
  <si>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</si>
  <si>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</si>
  <si>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</si>
  <si>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</si>
  <si>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</si>
  <si>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</si>
  <si>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</si>
  <si>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</si>
  <si>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</si>
  <si>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</si>
  <si>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</si>
  <si>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</si>
  <si>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</si>
  <si>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</si>
  <si>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</si>
  <si>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</si>
  <si>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</si>
  <si>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</si>
  <si>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</si>
  <si>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</si>
  <si>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</si>
  <si>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</si>
  <si>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</si>
  <si>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</si>
  <si>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</si>
  <si>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</si>
  <si>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</si>
  <si>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</si>
  <si>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</si>
  <si>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</si>
  <si>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</si>
  <si>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</si>
  <si>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</si>
  <si>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</si>
  <si>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</si>
  <si>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</si>
  <si>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</si>
  <si>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</si>
  <si>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</si>
  <si>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</si>
  <si>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</si>
  <si>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</si>
  <si>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</si>
  <si>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</si>
  <si>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</si>
  <si>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</si>
  <si>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</si>
  <si>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</si>
  <si>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</si>
  <si>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</si>
  <si>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</si>
  <si>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</si>
  <si>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</si>
  <si>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</si>
  <si>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</si>
  <si>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</si>
  <si>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</si>
  <si>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</si>
  <si>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</si>
  <si>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</si>
  <si>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</si>
  <si>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</si>
  <si>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</si>
  <si>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</si>
  <si>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</si>
  <si>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</si>
  <si>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</si>
  <si>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</si>
  <si>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</si>
  <si>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</si>
  <si>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</si>
  <si>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</si>
  <si>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</si>
  <si>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</si>
  <si>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</si>
  <si>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</si>
  <si>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</si>
  <si>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</si>
  <si>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</si>
  <si>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</si>
  <si>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</si>
  <si>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</si>
  <si>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</si>
  <si>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</si>
  <si>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</si>
  <si>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</si>
  <si>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</si>
  <si>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</si>
  <si>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</si>
  <si>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</si>
  <si>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</si>
  <si>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</si>
  <si>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</si>
  <si>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</si>
  <si>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</si>
  <si>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</si>
  <si>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</si>
  <si>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</si>
  <si>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</si>
  <si>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</si>
  <si>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</si>
  <si>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</si>
  <si>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</si>
  <si>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</si>
  <si>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</si>
  <si>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</si>
  <si>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</si>
  <si>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</si>
  <si>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</si>
  <si>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</si>
  <si>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</si>
  <si>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</si>
  <si>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</si>
  <si>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</si>
  <si>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</si>
  <si>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</si>
  <si>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</si>
  <si>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</si>
  <si>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</si>
  <si>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</si>
  <si>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</si>
  <si>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</si>
  <si>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</si>
  <si>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</si>
  <si>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</si>
  <si>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</si>
  <si>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</si>
  <si>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</si>
  <si>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</si>
  <si>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</si>
  <si>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</si>
  <si>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</si>
  <si>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</si>
  <si>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</si>
  <si>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</si>
  <si>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</si>
  <si>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</si>
  <si>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</si>
  <si>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</si>
  <si>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</si>
  <si>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</si>
  <si>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</si>
  <si>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</si>
  <si>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</si>
  <si>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</si>
  <si>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</si>
  <si>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</si>
  <si>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</si>
  <si>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</si>
  <si>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</si>
  <si>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</si>
  <si>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</si>
  <si>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</si>
  <si>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</si>
  <si>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</si>
  <si>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</si>
  <si>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</si>
  <si>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</si>
  <si>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</si>
  <si>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</si>
  <si>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</si>
  <si>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</si>
  <si>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</si>
  <si>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</si>
  <si>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</si>
  <si>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</si>
  <si>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</si>
  <si>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</si>
  <si>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</si>
  <si>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</si>
  <si>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</si>
  <si>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</si>
  <si>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</si>
  <si>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</si>
  <si>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</si>
  <si>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</si>
  <si>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</si>
  <si>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</si>
  <si>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</si>
  <si>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</si>
  <si>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</si>
  <si>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</si>
  <si>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</si>
  <si>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</si>
  <si>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</si>
  <si>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</si>
  <si>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</si>
  <si>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</si>
  <si>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</si>
  <si>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</si>
  <si>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</si>
  <si>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</si>
  <si>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</si>
  <si>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</si>
  <si>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</si>
  <si>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</si>
  <si>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</si>
  <si>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</si>
  <si>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</si>
  <si>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</si>
  <si>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</si>
  <si>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</si>
  <si>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</si>
  <si>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</si>
  <si>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</si>
  <si>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</si>
  <si>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</si>
  <si>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</si>
  <si>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</si>
  <si>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</si>
  <si>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</si>
  <si>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</si>
  <si>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</si>
  <si>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</si>
  <si>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</si>
  <si>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</si>
  <si>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</si>
  <si>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</si>
  <si>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</si>
  <si>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</si>
  <si>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</si>
  <si>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</si>
  <si>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</si>
  <si>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</si>
  <si>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</si>
  <si>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</si>
  <si>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</si>
  <si>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</si>
  <si>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</si>
  <si>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</si>
  <si>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</si>
  <si>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</si>
  <si>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</si>
  <si>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</si>
  <si>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</si>
  <si>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</si>
  <si>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</si>
  <si>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</si>
  <si>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</si>
  <si>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</si>
  <si>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</si>
  <si>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</si>
  <si>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</si>
  <si>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</si>
  <si>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</si>
  <si>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</si>
  <si>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</si>
  <si>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</si>
  <si>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</si>
  <si>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</si>
  <si>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</si>
  <si>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</si>
  <si>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</si>
  <si>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</si>
  <si>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</si>
  <si>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</si>
  <si>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</si>
  <si>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</si>
  <si>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</si>
  <si>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</si>
  <si>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</si>
  <si>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</si>
  <si>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</si>
  <si>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</si>
  <si>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</si>
  <si>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</si>
  <si>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</si>
  <si>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</si>
  <si>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</si>
  <si>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</si>
  <si>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</si>
  <si>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</si>
  <si>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</si>
  <si>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</si>
  <si>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</si>
  <si>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</si>
  <si>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</si>
  <si>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</si>
  <si>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</si>
  <si>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</si>
  <si>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</si>
  <si>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</si>
  <si>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</si>
  <si>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</si>
  <si>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</si>
  <si>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</si>
  <si>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</si>
  <si>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</si>
  <si>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</si>
  <si>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</si>
  <si>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</si>
  <si>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</si>
  <si>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</si>
  <si>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</si>
  <si>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</si>
  <si>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</si>
  <si>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</si>
  <si>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</si>
  <si>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</si>
  <si>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</si>
  <si>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</si>
  <si>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</si>
  <si>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</si>
  <si>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</si>
  <si>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</si>
  <si>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</si>
  <si>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</si>
  <si>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</si>
  <si>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</si>
  <si>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</si>
  <si>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</si>
  <si>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</si>
  <si>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</si>
  <si>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</si>
  <si>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</si>
  <si>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</si>
  <si>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</si>
  <si>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</si>
  <si>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</si>
  <si>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</si>
  <si>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</si>
  <si>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</si>
  <si>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</si>
  <si>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</si>
  <si>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</si>
  <si>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</si>
  <si>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</si>
  <si>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</si>
  <si>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</si>
  <si>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</si>
  <si>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</si>
  <si>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</si>
  <si>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</si>
  <si>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</si>
  <si>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</si>
  <si>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</si>
  <si>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</si>
  <si>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</si>
  <si>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</si>
  <si>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</si>
  <si>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</si>
  <si>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</si>
  <si>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</si>
  <si>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</si>
  <si>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</si>
  <si>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</si>
  <si>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</si>
  <si>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</si>
  <si>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</si>
  <si>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</si>
  <si>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</si>
  <si>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</si>
  <si>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</si>
  <si>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</si>
  <si>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</si>
  <si>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</si>
  <si>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</si>
  <si>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</si>
  <si>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</si>
  <si>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</si>
  <si>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</si>
  <si>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</si>
  <si>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</si>
  <si>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</si>
  <si>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</si>
  <si>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</si>
  <si>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</si>
  <si>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</si>
  <si>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</si>
  <si>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</si>
  <si>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</si>
  <si>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</si>
  <si>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</si>
  <si>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</si>
  <si>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</si>
  <si>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</si>
  <si>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</si>
  <si>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</si>
  <si>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</si>
  <si>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</si>
  <si>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</si>
  <si>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</si>
  <si>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</si>
  <si>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</si>
  <si>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</si>
  <si>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</si>
  <si>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</si>
  <si>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</si>
  <si>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</si>
  <si>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</si>
  <si>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</si>
  <si>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</si>
  <si>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</si>
  <si>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</si>
  <si>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</si>
  <si>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</si>
  <si>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</si>
  <si>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</si>
  <si>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</si>
  <si>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</si>
  <si>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</si>
  <si>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</si>
  <si>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</si>
  <si>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</si>
  <si>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</si>
  <si>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</si>
  <si>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</si>
  <si>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</si>
  <si>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</si>
  <si>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</si>
  <si>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</si>
  <si>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</si>
  <si>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</si>
  <si>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</si>
  <si>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</si>
  <si>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</si>
  <si>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</si>
  <si>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</si>
  <si>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</si>
  <si>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</si>
  <si>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</si>
  <si>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</si>
  <si>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</si>
  <si>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</si>
  <si>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</si>
  <si>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</si>
  <si>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</si>
  <si>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</si>
  <si>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</si>
  <si>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</si>
  <si>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</si>
  <si>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</si>
  <si>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</si>
  <si>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</si>
  <si>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</si>
  <si>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</si>
  <si>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</si>
  <si>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</si>
  <si>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</si>
  <si>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</si>
  <si>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</si>
  <si>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</si>
  <si>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</si>
  <si>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</si>
  <si>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</si>
  <si>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</si>
  <si>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</si>
  <si>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</si>
  <si>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</si>
  <si>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</si>
  <si>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</si>
  <si>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</si>
  <si>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</si>
  <si>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</si>
  <si>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</si>
  <si>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</si>
  <si>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</si>
  <si>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</si>
  <si>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</si>
  <si>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</si>
  <si>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</si>
  <si>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</si>
  <si>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</si>
  <si>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</si>
  <si>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</si>
  <si>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</si>
  <si>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</si>
  <si>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</si>
  <si>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</si>
  <si>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</si>
  <si>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</si>
  <si>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</si>
  <si>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</si>
  <si>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</si>
  <si>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</si>
  <si>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</si>
  <si>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</si>
  <si>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</si>
  <si>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</si>
  <si>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</si>
  <si>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</si>
  <si>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</si>
  <si>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</si>
  <si>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</si>
  <si>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</si>
  <si>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</si>
  <si>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</si>
  <si>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</si>
  <si>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</si>
  <si>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</si>
  <si>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</si>
  <si>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</si>
  <si>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</si>
  <si>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</si>
  <si>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</si>
  <si>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</si>
  <si>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</si>
  <si>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</si>
  <si>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</si>
  <si>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</si>
  <si>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</si>
  <si>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</si>
  <si>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</si>
  <si>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</si>
  <si>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</si>
  <si>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</si>
  <si>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</si>
  <si>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</si>
  <si>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</si>
  <si>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</si>
  <si>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</si>
  <si>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</si>
  <si>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</si>
  <si>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</si>
  <si>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</si>
  <si>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</si>
  <si>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</si>
  <si>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</si>
  <si>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</si>
  <si>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</si>
  <si>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</si>
  <si>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</si>
  <si>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</si>
  <si>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</si>
  <si>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</si>
  <si>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</si>
  <si>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</si>
  <si>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</si>
  <si>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</si>
  <si>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</si>
  <si>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</si>
  <si>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</si>
  <si>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</si>
  <si>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</si>
  <si>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</si>
  <si>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</si>
  <si>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</si>
  <si>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</si>
  <si>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</si>
  <si>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</si>
  <si>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</si>
  <si>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</si>
  <si>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</si>
  <si>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</si>
  <si>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</si>
  <si>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</si>
  <si>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</si>
  <si>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</si>
  <si>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</si>
  <si>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</si>
  <si>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</si>
  <si>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</si>
  <si>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</si>
  <si>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</si>
  <si>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</si>
  <si>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</si>
  <si>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</si>
  <si>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</si>
  <si>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</si>
  <si>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</si>
  <si>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</si>
  <si>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</si>
  <si>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</si>
  <si>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</si>
  <si>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</si>
  <si>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</si>
  <si>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</si>
  <si>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</si>
  <si>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</si>
  <si>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</si>
  <si>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</si>
  <si>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</si>
  <si>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</si>
  <si>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</si>
  <si>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</si>
  <si>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</si>
  <si>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</si>
  <si>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</si>
  <si>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</si>
  <si>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</si>
  <si>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</si>
  <si>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</si>
  <si>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</si>
  <si>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</si>
  <si>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</si>
  <si>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</si>
  <si>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</si>
  <si>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</si>
  <si>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</si>
  <si>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</si>
  <si>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</si>
  <si>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</si>
  <si>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</si>
  <si>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</si>
  <si>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</si>
  <si>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</si>
  <si>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</si>
  <si>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</si>
  <si>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</si>
  <si>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</si>
  <si>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</si>
  <si>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</si>
  <si>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</si>
  <si>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</si>
  <si>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</si>
  <si>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</si>
  <si>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</si>
  <si>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</si>
  <si>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</si>
  <si>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</si>
  <si>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</si>
  <si>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</si>
  <si>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</si>
  <si>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</si>
  <si>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</si>
  <si>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</si>
  <si>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</si>
  <si>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</si>
  <si>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</si>
  <si>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</si>
  <si>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</si>
  <si>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</si>
  <si>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</si>
  <si>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</si>
  <si>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</si>
  <si>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</si>
  <si>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</si>
  <si>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</si>
  <si>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</si>
  <si>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</si>
  <si>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</si>
  <si>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</si>
  <si>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</si>
  <si>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</si>
  <si>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</si>
  <si>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</si>
  <si>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</si>
  <si>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</si>
  <si>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</si>
  <si>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</si>
  <si>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</si>
  <si>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</si>
  <si>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</si>
  <si>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</si>
  <si>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</si>
  <si>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</si>
  <si>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</si>
  <si>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</si>
  <si>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</si>
  <si>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</si>
  <si>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</si>
  <si>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</si>
  <si>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</si>
  <si>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</si>
  <si>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</si>
  <si>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</si>
  <si>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</si>
  <si>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</si>
  <si>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</si>
  <si>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</si>
  <si>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</si>
  <si>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</si>
  <si>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</si>
  <si>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</si>
  <si>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</si>
  <si>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</si>
  <si>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</si>
  <si>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</si>
  <si>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</si>
  <si>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</si>
  <si>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</si>
  <si>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</si>
  <si>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</si>
  <si>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</si>
  <si>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</si>
  <si>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</si>
  <si>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</si>
  <si>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</si>
  <si>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</si>
  <si>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</si>
  <si>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</si>
  <si>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</si>
  <si>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</si>
  <si>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</si>
  <si>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</si>
  <si>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</si>
  <si>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</si>
  <si>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</si>
  <si>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</si>
  <si>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</si>
  <si>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</si>
  <si>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</si>
  <si>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</si>
  <si>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</si>
  <si>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</si>
  <si>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</si>
  <si>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</si>
  <si>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</si>
  <si>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</si>
  <si>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</si>
  <si>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</si>
  <si>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</si>
  <si>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</si>
  <si>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</si>
  <si>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</si>
  <si>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</si>
  <si>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</si>
  <si>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</si>
  <si>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</si>
  <si>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</si>
  <si>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</si>
  <si>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</si>
  <si>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</si>
  <si>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</si>
  <si>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</si>
  <si>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</si>
  <si>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</si>
  <si>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</si>
  <si>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</si>
  <si>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</si>
  <si>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</si>
  <si>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</si>
  <si>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</si>
  <si>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</si>
  <si>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</si>
  <si>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</si>
  <si>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</si>
  <si>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</si>
  <si>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</si>
  <si>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</si>
  <si>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</si>
  <si>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</si>
  <si>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</si>
  <si>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</si>
  <si>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</si>
  <si>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</si>
  <si>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</si>
  <si>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</si>
  <si>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</si>
  <si>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</si>
  <si>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</si>
  <si>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</si>
  <si>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</si>
  <si>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</si>
  <si>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</si>
  <si>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</si>
  <si>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</si>
  <si>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</si>
  <si>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</si>
  <si>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</si>
  <si>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</si>
  <si>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</si>
  <si>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</si>
  <si>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</si>
  <si>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</si>
  <si>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</si>
  <si>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</si>
  <si>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</si>
  <si>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</si>
  <si>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</si>
  <si>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</si>
  <si>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</si>
  <si>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</si>
  <si>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</si>
  <si>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</si>
  <si>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</si>
  <si>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</si>
  <si>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</si>
  <si>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</si>
  <si>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</si>
  <si>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</si>
  <si>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</si>
  <si>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</si>
  <si>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</si>
  <si>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</si>
  <si>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</si>
  <si>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</si>
  <si>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</si>
  <si>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</si>
  <si>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</si>
  <si>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</si>
  <si>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</si>
  <si>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</si>
  <si>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</si>
  <si>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</si>
  <si>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</si>
  <si>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</si>
  <si>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</si>
  <si>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</si>
  <si>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</si>
  <si>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</si>
  <si>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</si>
  <si>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</si>
  <si>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</si>
  <si>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</si>
  <si>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</si>
  <si>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</si>
  <si>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</si>
  <si>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</si>
  <si>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</si>
  <si>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</si>
  <si>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</si>
  <si>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</si>
  <si>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</si>
  <si>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</si>
  <si>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</si>
  <si>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</si>
  <si>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</si>
  <si>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</si>
  <si>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</si>
  <si>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</si>
  <si>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</si>
  <si>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</si>
  <si>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</si>
  <si>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</si>
  <si>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</si>
  <si>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</si>
  <si>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</si>
  <si>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</si>
  <si>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</si>
  <si>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</si>
  <si>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</si>
  <si>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</si>
  <si>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</si>
  <si>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</si>
  <si>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</si>
  <si>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</si>
  <si>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</si>
  <si>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</si>
  <si>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</si>
  <si>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</si>
  <si>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</si>
  <si>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</si>
  <si>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</si>
  <si>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</si>
  <si>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</si>
  <si>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</si>
  <si>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</si>
  <si>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</si>
  <si>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</si>
  <si>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</si>
  <si>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</si>
  <si>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</si>
  <si>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</si>
  <si>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</si>
  <si>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</si>
  <si>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</si>
  <si>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</si>
  <si>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</si>
  <si>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</si>
  <si>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</si>
  <si>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</si>
  <si>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</si>
  <si>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</si>
  <si>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</si>
  <si>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</si>
  <si>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</si>
  <si>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</si>
  <si>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</si>
  <si>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</si>
  <si>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</si>
  <si>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</si>
  <si>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</si>
  <si>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</si>
  <si>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</si>
  <si>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</si>
  <si>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</si>
  <si>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</si>
  <si>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</si>
  <si>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</si>
  <si>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</si>
  <si>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</si>
  <si>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</si>
  <si>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</si>
  <si>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</si>
  <si>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</si>
  <si>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</si>
  <si>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</si>
  <si>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</si>
  <si>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</si>
  <si>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</si>
  <si>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</si>
  <si>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</si>
  <si>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</si>
  <si>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</si>
  <si>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</si>
  <si>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</si>
  <si>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</si>
  <si>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</si>
  <si>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</si>
  <si>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</si>
  <si>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</si>
  <si>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</si>
  <si>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</si>
  <si>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</si>
  <si>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</si>
  <si>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</si>
  <si>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</si>
  <si>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</si>
  <si>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</si>
  <si>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</si>
  <si>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</si>
  <si>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</si>
  <si>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</si>
  <si>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</si>
  <si>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</si>
  <si>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</si>
  <si>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</si>
  <si>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</si>
  <si>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</si>
  <si>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</si>
  <si>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</si>
  <si>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</si>
  <si>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</si>
  <si>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</si>
  <si>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</si>
  <si>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</si>
  <si>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</si>
  <si>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</si>
  <si>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</si>
  <si>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</si>
  <si>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</si>
  <si>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</si>
  <si>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</si>
  <si>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</si>
  <si>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</si>
  <si>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</si>
  <si>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</si>
  <si>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</si>
  <si>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</si>
  <si>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</si>
  <si>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</si>
  <si>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</si>
  <si>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</si>
  <si>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</si>
  <si>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</si>
  <si>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</si>
  <si>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</si>
  <si>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</si>
  <si>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</si>
  <si>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</si>
  <si>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</si>
  <si>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</si>
  <si>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</si>
  <si>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</si>
  <si>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</si>
  <si>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</si>
  <si>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</si>
  <si>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</si>
  <si>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</si>
  <si>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</si>
  <si>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</si>
  <si>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</si>
  <si>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</si>
  <si>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</si>
  <si>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</si>
  <si>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</si>
  <si>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</si>
  <si>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</si>
  <si>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</si>
  <si>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</si>
  <si>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</si>
  <si>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</si>
  <si>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</si>
  <si>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</si>
  <si>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</si>
  <si>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</si>
  <si>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</si>
  <si>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</si>
  <si>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</si>
  <si>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</si>
  <si>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</si>
  <si>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</si>
  <si>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</si>
  <si>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</si>
  <si>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</si>
  <si>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</si>
  <si>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</si>
  <si>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</si>
  <si>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</si>
  <si>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</si>
  <si>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</si>
  <si>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</si>
  <si>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</si>
  <si>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</si>
  <si>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</si>
  <si>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</si>
  <si>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</si>
  <si>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</si>
  <si>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</si>
  <si>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</si>
  <si>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</si>
  <si>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</si>
  <si>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</si>
  <si>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</si>
  <si>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</si>
  <si>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</si>
  <si>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</si>
  <si>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</si>
  <si>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</si>
  <si>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面积指标</t>
    </r>
    <phoneticPr fontId="85" type="noConversion"/>
  </si>
  <si>
    <r>
      <rPr>
        <sz val="12"/>
        <color indexed="8"/>
        <rFont val="宋体"/>
        <family val="3"/>
        <charset val="134"/>
      </rPr>
      <t>建筑与土地面积依据相同</t>
    </r>
  </si>
  <si>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</si>
  <si>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</si>
  <si>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</si>
  <si>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</si>
  <si>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</si>
  <si>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</si>
  <si>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</si>
  <si>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</si>
  <si>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</si>
  <si>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</si>
  <si>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</si>
  <si>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</si>
  <si>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</si>
  <si>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</si>
  <si>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</si>
  <si>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</si>
  <si>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</si>
  <si>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</si>
  <si>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</si>
  <si>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</si>
  <si>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</si>
  <si>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</si>
  <si>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</si>
  <si>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</si>
  <si>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</si>
  <si>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</si>
  <si>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</si>
  <si>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</si>
  <si>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</si>
  <si>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</si>
  <si>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</si>
  <si>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</si>
  <si>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</si>
  <si>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</si>
  <si>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</si>
  <si>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</si>
  <si>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</si>
  <si>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</si>
  <si>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</si>
  <si>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</si>
  <si>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</si>
  <si>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</si>
  <si>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</si>
  <si>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</si>
  <si>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</si>
  <si>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</si>
  <si>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</si>
  <si>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</si>
  <si>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</si>
  <si>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</si>
  <si>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</si>
  <si>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</si>
  <si>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</si>
  <si>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</si>
  <si>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</si>
  <si>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</si>
  <si>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</si>
  <si>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</si>
  <si>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</si>
  <si>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</si>
  <si>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</si>
  <si>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</si>
  <si>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</si>
  <si>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</si>
  <si>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</si>
  <si>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</si>
  <si>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</si>
  <si>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</si>
  <si>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</si>
  <si>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</si>
  <si>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</si>
  <si>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</si>
  <si>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</si>
  <si>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</si>
  <si>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</si>
  <si>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</si>
  <si>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</si>
  <si>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</si>
  <si>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</si>
  <si>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</si>
  <si>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</si>
  <si>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</si>
  <si>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</si>
  <si>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</si>
  <si>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</si>
  <si>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</si>
  <si>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</si>
  <si>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</si>
  <si>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</si>
  <si>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</si>
  <si>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</si>
  <si>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</si>
  <si>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</si>
  <si>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</si>
  <si>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</si>
  <si>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</si>
  <si>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</si>
  <si>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</si>
  <si>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</si>
  <si>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</si>
  <si>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</si>
  <si>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</si>
  <si>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</si>
  <si>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</si>
  <si>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</si>
  <si>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</si>
  <si>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</si>
  <si>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</si>
  <si>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</si>
  <si>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</si>
  <si>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</si>
  <si>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</si>
  <si>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</si>
  <si>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</si>
  <si>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</si>
  <si>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</si>
  <si>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</si>
  <si>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</si>
  <si>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</si>
  <si>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</si>
  <si>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</si>
  <si>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</si>
  <si>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</si>
  <si>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</si>
  <si>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</si>
  <si>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</si>
  <si>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</si>
  <si>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</si>
  <si>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</si>
  <si>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</si>
  <si>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</si>
  <si>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</si>
  <si>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</si>
  <si>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</si>
  <si>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</si>
  <si>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</si>
  <si>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</si>
  <si>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</si>
  <si>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</si>
  <si>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</si>
  <si>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</si>
  <si>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</si>
  <si>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</si>
  <si>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</si>
  <si>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</si>
  <si>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</si>
  <si>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</si>
  <si>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</si>
  <si>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</si>
  <si>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</si>
  <si>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</si>
  <si>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</si>
  <si>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</si>
  <si>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</si>
  <si>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</si>
  <si>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</si>
  <si>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</si>
  <si>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</si>
  <si>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</si>
  <si>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</si>
  <si>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</si>
  <si>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</si>
  <si>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</si>
  <si>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</si>
  <si>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</si>
  <si>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</si>
  <si>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</si>
  <si>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</si>
  <si>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</si>
  <si>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</si>
  <si>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</si>
  <si>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</si>
  <si>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</si>
  <si>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</si>
  <si>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</si>
  <si>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</si>
  <si>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</si>
  <si>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</si>
  <si>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</si>
  <si>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</si>
  <si>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</si>
  <si>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</si>
  <si>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</si>
  <si>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</si>
  <si>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</si>
  <si>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</si>
  <si>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</si>
  <si>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</si>
  <si>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</si>
  <si>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</si>
  <si>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</si>
  <si>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</si>
  <si>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</si>
  <si>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</si>
  <si>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</si>
  <si>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</si>
  <si>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</si>
  <si>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</si>
  <si>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</si>
  <si>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</si>
  <si>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</si>
  <si>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</si>
  <si>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</si>
  <si>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</si>
  <si>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</si>
  <si>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</si>
  <si>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</si>
  <si>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</si>
  <si>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</si>
  <si>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</si>
  <si>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</si>
  <si>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</si>
  <si>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</si>
  <si>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</si>
  <si>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</si>
  <si>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</si>
  <si>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</si>
  <si>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</si>
  <si>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</si>
  <si>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</si>
  <si>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</si>
  <si>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</si>
  <si>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</si>
  <si>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</si>
  <si>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</si>
  <si>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</si>
  <si>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</si>
  <si>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</si>
  <si>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</si>
  <si>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</si>
  <si>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</si>
  <si>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</si>
  <si>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</si>
  <si>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</si>
  <si>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</si>
  <si>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</si>
  <si>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</si>
  <si>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</si>
  <si>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</si>
  <si>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</si>
  <si>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</si>
  <si>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</si>
  <si>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</si>
  <si>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</si>
  <si>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</si>
  <si>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</si>
  <si>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</si>
  <si>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</si>
  <si>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</si>
  <si>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</si>
  <si>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</si>
  <si>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</si>
  <si>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</si>
  <si>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</si>
  <si>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</si>
  <si>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</si>
  <si>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</si>
  <si>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</si>
  <si>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</si>
  <si>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</si>
  <si>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</si>
  <si>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</si>
  <si>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</si>
  <si>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</si>
  <si>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</si>
  <si>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</si>
  <si>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</si>
  <si>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</si>
  <si>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</si>
  <si>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</si>
  <si>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</si>
  <si>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</si>
  <si>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</si>
  <si>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</si>
  <si>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</si>
  <si>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</si>
  <si>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</si>
  <si>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</si>
  <si>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</si>
  <si>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</si>
  <si>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</si>
  <si>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</si>
  <si>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</si>
  <si>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</si>
  <si>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</si>
  <si>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</si>
  <si>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</si>
  <si>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</si>
  <si>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</si>
  <si>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</si>
  <si>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</si>
  <si>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</si>
  <si>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</si>
  <si>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</si>
  <si>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</si>
  <si>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</si>
  <si>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</si>
  <si>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</si>
  <si>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</si>
  <si>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</si>
  <si>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</si>
  <si>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</si>
  <si>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</si>
  <si>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</si>
  <si>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</si>
  <si>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</si>
  <si>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</si>
  <si>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</si>
  <si>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</si>
  <si>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</si>
  <si>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</si>
  <si>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</si>
  <si>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</si>
  <si>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</si>
  <si>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</si>
  <si>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</si>
  <si>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</si>
  <si>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</si>
  <si>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</si>
  <si>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</si>
  <si>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</si>
  <si>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</si>
  <si>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</si>
  <si>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</si>
  <si>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</si>
  <si>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</si>
  <si>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</si>
  <si>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</si>
  <si>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</si>
  <si>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</si>
  <si>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</si>
  <si>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</si>
  <si>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</si>
  <si>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</si>
  <si>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</si>
  <si>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</si>
  <si>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</si>
  <si>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</si>
  <si>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</si>
  <si>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</si>
  <si>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</si>
  <si>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</si>
  <si>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</si>
  <si>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</si>
  <si>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</si>
  <si>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</si>
  <si>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</si>
  <si>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</si>
  <si>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</si>
  <si>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</si>
  <si>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</si>
  <si>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</si>
  <si>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</si>
  <si>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</si>
  <si>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</si>
  <si>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</si>
  <si>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</si>
  <si>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</si>
  <si>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</si>
  <si>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</si>
  <si>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</si>
  <si>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</si>
  <si>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</si>
  <si>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</si>
  <si>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</si>
  <si>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</si>
  <si>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</si>
  <si>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</si>
  <si>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</si>
  <si>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</si>
  <si>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</si>
  <si>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</si>
  <si>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</si>
  <si>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</si>
  <si>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</si>
  <si>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</si>
  <si>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</si>
  <si>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</si>
  <si>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</si>
  <si>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</si>
  <si>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</si>
  <si>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</si>
  <si>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</si>
  <si>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</si>
  <si>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</si>
  <si>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</si>
  <si>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</si>
  <si>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</si>
  <si>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</si>
  <si>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</si>
  <si>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</si>
  <si>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</si>
  <si>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</si>
  <si>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</si>
  <si>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</si>
  <si>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</si>
  <si>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</si>
  <si>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</si>
  <si>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</si>
  <si>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</si>
  <si>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</si>
  <si>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</si>
  <si>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</si>
  <si>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</si>
  <si>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</si>
  <si>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</si>
  <si>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</si>
  <si>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</si>
  <si>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</si>
  <si>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</si>
  <si>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</si>
  <si>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</si>
  <si>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</si>
  <si>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</si>
  <si>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</si>
  <si>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</si>
  <si>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</si>
  <si>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</si>
  <si>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</si>
  <si>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</si>
  <si>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</si>
  <si>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</si>
  <si>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</si>
  <si>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</si>
  <si>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</si>
  <si>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</si>
  <si>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</si>
  <si>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</si>
  <si>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</si>
  <si>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</si>
  <si>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</si>
  <si>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</si>
  <si>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</si>
  <si>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</si>
  <si>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</si>
  <si>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</si>
  <si>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</si>
  <si>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</si>
  <si>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</si>
  <si>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</si>
  <si>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</si>
  <si>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</si>
  <si>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</si>
  <si>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</si>
  <si>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</si>
  <si>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</si>
  <si>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</si>
  <si>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</si>
  <si>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</si>
  <si>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</si>
  <si>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</si>
  <si>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</si>
  <si>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</si>
  <si>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</si>
  <si>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</si>
  <si>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</si>
  <si>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</si>
  <si>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</si>
  <si>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</si>
  <si>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</si>
  <si>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</si>
  <si>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</si>
  <si>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</si>
  <si>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</si>
  <si>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</si>
  <si>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</si>
  <si>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</si>
  <si>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</si>
  <si>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</si>
  <si>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</si>
  <si>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</si>
  <si>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</si>
  <si>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</si>
  <si>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</si>
  <si>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</si>
  <si>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</si>
  <si>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</si>
  <si>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</si>
  <si>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</si>
  <si>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</si>
  <si>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</si>
  <si>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</si>
  <si>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</si>
  <si>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</si>
  <si>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</si>
  <si>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</si>
  <si>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</si>
  <si>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</si>
  <si>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</si>
  <si>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</si>
  <si>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</si>
  <si>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</si>
  <si>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</si>
  <si>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</si>
  <si>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</si>
  <si>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</si>
  <si>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</si>
  <si>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</si>
  <si>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</si>
  <si>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</si>
  <si>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</si>
  <si>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</si>
  <si>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</si>
  <si>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</si>
  <si>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</si>
  <si>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</si>
  <si>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</si>
  <si>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</si>
  <si>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</si>
  <si>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</si>
  <si>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</si>
  <si>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</si>
  <si>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</si>
  <si>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</si>
  <si>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</si>
  <si>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</si>
  <si>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</si>
  <si>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</si>
  <si>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</si>
  <si>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</si>
  <si>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</si>
  <si>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</si>
  <si>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</si>
  <si>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</si>
  <si>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</si>
  <si>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</si>
  <si>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</si>
  <si>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</si>
  <si>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</si>
  <si>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</si>
  <si>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</si>
  <si>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</si>
  <si>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</si>
  <si>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</si>
  <si>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</si>
  <si>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</si>
  <si>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</si>
  <si>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</si>
  <si>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</si>
  <si>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</si>
  <si>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</si>
  <si>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</si>
  <si>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</si>
  <si>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</si>
  <si>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</si>
  <si>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</si>
  <si>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</si>
  <si>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</si>
  <si>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</si>
  <si>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</si>
  <si>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</si>
  <si>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</si>
  <si>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</si>
  <si>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</si>
  <si>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</si>
  <si>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</si>
  <si>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</si>
  <si>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</si>
  <si>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</si>
  <si>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</si>
  <si>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</si>
  <si>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</si>
  <si>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</si>
  <si>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</si>
  <si>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</si>
  <si>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</si>
  <si>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</si>
  <si>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</si>
  <si>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</si>
  <si>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</si>
  <si>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</si>
  <si>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</si>
  <si>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</si>
  <si>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</si>
  <si>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</si>
  <si>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</si>
  <si>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</si>
  <si>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</si>
  <si>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</si>
  <si>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</si>
  <si>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</si>
  <si>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</si>
  <si>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</si>
  <si>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</si>
  <si>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</si>
  <si>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</si>
  <si>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</si>
  <si>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</si>
  <si>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</si>
  <si>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</si>
  <si>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</si>
  <si>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</si>
  <si>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</si>
  <si>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</si>
  <si>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</si>
  <si>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</si>
  <si>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</si>
  <si>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</si>
  <si>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</si>
  <si>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</si>
  <si>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</si>
  <si>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</si>
  <si>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</si>
  <si>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</si>
  <si>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</si>
  <si>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</si>
  <si>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</si>
  <si>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</si>
  <si>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</si>
  <si>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</si>
  <si>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</si>
  <si>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</si>
  <si>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</si>
  <si>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</si>
  <si>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</si>
  <si>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</si>
  <si>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</si>
  <si>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</si>
  <si>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</si>
  <si>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</si>
  <si>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</si>
  <si>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</si>
  <si>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</si>
  <si>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</si>
  <si>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</si>
  <si>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</si>
  <si>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</si>
  <si>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</si>
  <si>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</si>
  <si>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</si>
  <si>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</si>
  <si>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</si>
  <si>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</si>
  <si>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</si>
  <si>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</si>
  <si>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</si>
  <si>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</si>
  <si>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</si>
  <si>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</si>
  <si>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</si>
  <si>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</si>
  <si>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</si>
  <si>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</si>
  <si>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</si>
  <si>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</si>
  <si>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</si>
  <si>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</si>
  <si>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</si>
  <si>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</si>
  <si>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</si>
  <si>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</si>
  <si>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</si>
  <si>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</si>
  <si>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</si>
  <si>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</si>
  <si>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</si>
  <si>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</si>
  <si>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</si>
  <si>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</si>
  <si>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</si>
  <si>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</si>
  <si>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</si>
  <si>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</si>
  <si>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</si>
  <si>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</si>
  <si>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</si>
  <si>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</si>
  <si>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</si>
  <si>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</si>
  <si>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</si>
  <si>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</si>
  <si>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</si>
  <si>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</si>
  <si>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</si>
  <si>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</si>
  <si>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</si>
  <si>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</si>
  <si>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</si>
  <si>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</si>
  <si>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</si>
  <si>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</si>
  <si>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</si>
  <si>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</si>
  <si>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</si>
  <si>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</si>
  <si>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</si>
  <si>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</si>
  <si>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</si>
  <si>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</si>
  <si>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</si>
  <si>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</si>
  <si>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</si>
  <si>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</si>
  <si>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</si>
  <si>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</si>
  <si>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</si>
  <si>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</si>
  <si>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</si>
  <si>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</si>
  <si>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</si>
  <si>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</si>
  <si>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</si>
  <si>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</si>
  <si>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</si>
  <si>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</si>
  <si>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</si>
  <si>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</si>
  <si>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</si>
  <si>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</si>
  <si>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</si>
  <si>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</si>
  <si>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</si>
  <si>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</si>
  <si>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</si>
  <si>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</si>
  <si>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</si>
  <si>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</si>
  <si>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</si>
  <si>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</si>
  <si>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</si>
  <si>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</si>
  <si>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</si>
  <si>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</si>
  <si>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</si>
  <si>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</si>
  <si>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</si>
  <si>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</si>
  <si>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</si>
  <si>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</si>
  <si>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</si>
  <si>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</si>
  <si>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</si>
  <si>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</si>
  <si>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</si>
  <si>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</si>
  <si>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</si>
  <si>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</si>
  <si>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</si>
  <si>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</si>
  <si>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</si>
  <si>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</si>
  <si>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</si>
  <si>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</si>
  <si>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</si>
  <si>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</si>
  <si>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</si>
  <si>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</si>
  <si>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</si>
  <si>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</si>
  <si>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</si>
  <si>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</si>
  <si>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</si>
  <si>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</si>
  <si>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</si>
  <si>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</si>
  <si>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</si>
  <si>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</si>
  <si>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</si>
  <si>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</si>
  <si>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</si>
  <si>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</si>
  <si>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</si>
  <si>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</si>
  <si>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</si>
  <si>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</si>
  <si>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</si>
  <si>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</si>
  <si>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</si>
  <si>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</si>
  <si>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</si>
  <si>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</si>
  <si>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</si>
  <si>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</si>
  <si>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</si>
  <si>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</si>
  <si>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</si>
  <si>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</si>
  <si>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</si>
  <si>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</si>
  <si>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</si>
  <si>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</si>
  <si>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</si>
  <si>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</si>
  <si>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</si>
  <si>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</si>
  <si>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</si>
  <si>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</si>
  <si>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</si>
  <si>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</si>
  <si>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</si>
  <si>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</si>
  <si>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</si>
  <si>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</si>
  <si>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</si>
  <si>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</si>
  <si>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</si>
  <si>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</si>
  <si>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</si>
  <si>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</si>
  <si>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</si>
  <si>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</si>
  <si>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</si>
  <si>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</si>
  <si>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</si>
  <si>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</si>
  <si>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</si>
  <si>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</si>
  <si>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</si>
  <si>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</si>
  <si>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</si>
  <si>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</si>
  <si>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</si>
  <si>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</si>
  <si>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</si>
  <si>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</si>
  <si>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</si>
  <si>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</si>
  <si>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</si>
  <si>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</si>
  <si>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</si>
  <si>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</si>
  <si>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</si>
  <si>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</si>
  <si>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</si>
  <si>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</si>
  <si>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</si>
  <si>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</si>
  <si>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</si>
  <si>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</si>
  <si>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</si>
  <si>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</si>
  <si>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</si>
  <si>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</si>
  <si>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</si>
  <si>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</si>
  <si>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</si>
  <si>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</si>
  <si>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</si>
  <si>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</si>
  <si>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</si>
  <si>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</si>
  <si>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</si>
  <si>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</si>
  <si>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</si>
  <si>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</si>
  <si>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</si>
  <si>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</si>
  <si>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</si>
  <si>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</si>
  <si>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</si>
  <si>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</si>
  <si>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</si>
  <si>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</si>
  <si>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</si>
  <si>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</si>
  <si>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</si>
  <si>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</si>
  <si>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</si>
  <si>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</si>
  <si>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</si>
  <si>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</si>
  <si>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</si>
  <si>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</si>
  <si>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</si>
  <si>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</si>
  <si>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</si>
  <si>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</si>
  <si>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</si>
  <si>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</si>
  <si>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</si>
  <si>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</si>
  <si>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</si>
  <si>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</si>
  <si>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</si>
  <si>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</si>
  <si>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</si>
  <si>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</si>
  <si>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</si>
  <si>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</si>
  <si>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</si>
  <si>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</si>
  <si>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</si>
  <si>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</si>
  <si>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</si>
  <si>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</si>
  <si>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</si>
  <si>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</si>
  <si>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</si>
  <si>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</si>
  <si>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</si>
  <si>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</si>
  <si>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</si>
  <si>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</si>
  <si>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</si>
  <si>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</si>
  <si>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</si>
  <si>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</si>
  <si>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</si>
  <si>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</si>
  <si>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</si>
  <si>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</si>
  <si>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</si>
  <si>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</si>
  <si>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</si>
  <si>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</si>
  <si>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</si>
  <si>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</si>
  <si>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</si>
  <si>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</si>
  <si>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</si>
  <si>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</si>
  <si>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</si>
  <si>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</si>
  <si>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</si>
  <si>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</si>
  <si>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</si>
  <si>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</si>
  <si>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</si>
  <si>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</si>
  <si>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</si>
  <si>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</si>
  <si>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</si>
  <si>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</si>
  <si>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</si>
  <si>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</si>
  <si>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</si>
  <si>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</si>
  <si>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</si>
  <si>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</si>
  <si>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</si>
  <si>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</si>
  <si>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</si>
  <si>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</si>
  <si>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</si>
  <si>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</si>
  <si>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</si>
  <si>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</si>
  <si>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</si>
  <si>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</si>
  <si>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</si>
  <si>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</si>
  <si>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</si>
  <si>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</si>
  <si>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</si>
  <si>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</si>
  <si>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</si>
  <si>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</si>
  <si>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</si>
  <si>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</si>
  <si>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</si>
  <si>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</si>
  <si>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</si>
  <si>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</si>
  <si>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</si>
  <si>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</si>
  <si>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</si>
  <si>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</si>
  <si>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</si>
  <si>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</si>
  <si>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</si>
  <si>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</si>
  <si>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</si>
  <si>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</si>
  <si>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</si>
  <si>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</si>
  <si>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</si>
  <si>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</si>
  <si>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</si>
  <si>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</si>
  <si>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</si>
  <si>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</si>
  <si>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</si>
  <si>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</si>
  <si>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</si>
  <si>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</si>
  <si>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</si>
  <si>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</si>
  <si>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</si>
  <si>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</si>
  <si>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</si>
  <si>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</si>
  <si>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</si>
  <si>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</si>
  <si>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</si>
  <si>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</si>
  <si>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</si>
  <si>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</si>
  <si>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</si>
  <si>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</si>
  <si>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</si>
  <si>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</si>
  <si>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</si>
  <si>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</si>
  <si>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</si>
  <si>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</si>
  <si>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</si>
  <si>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</si>
  <si>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</si>
  <si>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</si>
  <si>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</si>
  <si>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</si>
  <si>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</si>
  <si>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</si>
  <si>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</si>
  <si>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</si>
  <si>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</si>
  <si>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</si>
  <si>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</si>
  <si>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</si>
  <si>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</si>
  <si>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</si>
  <si>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</si>
  <si>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</si>
  <si>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</si>
  <si>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</si>
  <si>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</si>
  <si>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</si>
  <si>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</si>
  <si>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</si>
  <si>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</si>
  <si>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</si>
  <si>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</si>
  <si>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</si>
  <si>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</si>
  <si>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</si>
  <si>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</si>
  <si>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</si>
  <si>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</si>
  <si>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</si>
  <si>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</si>
  <si>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</si>
  <si>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</si>
  <si>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</si>
  <si>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</si>
  <si>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</si>
  <si>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</si>
  <si>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</si>
  <si>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</si>
  <si>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</si>
  <si>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</si>
  <si>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</si>
  <si>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</si>
  <si>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</si>
  <si>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</si>
  <si>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</si>
  <si>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</si>
  <si>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</si>
  <si>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</si>
  <si>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</si>
  <si>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</si>
  <si>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</si>
  <si>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</si>
  <si>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</si>
  <si>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</si>
  <si>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</si>
  <si>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</si>
  <si>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</si>
  <si>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</si>
  <si>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</si>
  <si>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</si>
  <si>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</si>
  <si>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</si>
  <si>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</si>
  <si>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</si>
  <si>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</si>
  <si>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</si>
  <si>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</si>
  <si>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</si>
  <si>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</si>
  <si>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</si>
  <si>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</si>
  <si>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</si>
  <si>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</si>
  <si>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</si>
  <si>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</si>
  <si>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</si>
  <si>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</si>
  <si>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</si>
  <si>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</si>
  <si>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</si>
  <si>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</si>
  <si>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</si>
  <si>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</si>
  <si>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</si>
  <si>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</si>
  <si>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</si>
  <si>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</si>
  <si>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</si>
  <si>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</si>
  <si>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</si>
  <si>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</si>
  <si>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</si>
  <si>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</si>
  <si>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</si>
  <si>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</si>
  <si>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</si>
  <si>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</si>
  <si>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</si>
  <si>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</si>
  <si>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</si>
  <si>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</si>
  <si>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</si>
  <si>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</si>
  <si>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</si>
  <si>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</si>
  <si>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</si>
  <si>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</si>
  <si>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</si>
  <si>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</si>
  <si>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</si>
  <si>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</si>
  <si>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</si>
  <si>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</si>
  <si>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</si>
  <si>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</si>
  <si>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</si>
  <si>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</si>
  <si>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</si>
  <si>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</si>
  <si>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</si>
  <si>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</si>
  <si>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</si>
  <si>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</si>
  <si>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</si>
  <si>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</si>
  <si>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</si>
  <si>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</si>
  <si>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</si>
  <si>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</si>
  <si>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</si>
  <si>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</si>
  <si>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</si>
  <si>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</si>
  <si>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</si>
  <si>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</si>
  <si>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</si>
  <si>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</si>
  <si>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</si>
  <si>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</si>
  <si>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</si>
  <si>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</si>
  <si>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</si>
  <si>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</si>
  <si>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</si>
  <si>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</si>
  <si>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</si>
  <si>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</si>
  <si>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</si>
  <si>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</si>
  <si>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</si>
  <si>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</si>
  <si>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</si>
  <si>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</si>
  <si>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</si>
  <si>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</si>
  <si>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</si>
  <si>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</si>
  <si>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</si>
  <si>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</si>
  <si>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</si>
  <si>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</si>
  <si>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</si>
  <si>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</si>
  <si>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</si>
  <si>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</si>
  <si>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</si>
  <si>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</si>
  <si>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</si>
  <si>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</si>
  <si>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</si>
  <si>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</si>
  <si>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</si>
  <si>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</si>
  <si>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</si>
  <si>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</si>
  <si>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</si>
  <si>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</si>
  <si>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</si>
  <si>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</si>
  <si>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</si>
  <si>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</si>
  <si>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</si>
  <si>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</si>
  <si>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</si>
  <si>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</si>
  <si>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</si>
  <si>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</si>
  <si>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</si>
  <si>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</si>
  <si>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</si>
  <si>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</si>
  <si>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</si>
  <si>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</si>
  <si>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</si>
  <si>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</si>
  <si>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</si>
  <si>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</si>
  <si>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</si>
  <si>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</si>
  <si>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</si>
  <si>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</si>
  <si>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</si>
  <si>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</si>
  <si>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</si>
  <si>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</si>
  <si>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</si>
  <si>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</si>
  <si>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</si>
  <si>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</si>
  <si>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</si>
  <si>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</si>
  <si>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</si>
  <si>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</si>
  <si>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</si>
  <si>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</si>
  <si>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</si>
  <si>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</si>
  <si>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</si>
  <si>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</si>
  <si>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</si>
  <si>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</si>
  <si>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</si>
  <si>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</si>
  <si>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</si>
  <si>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</si>
  <si>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</si>
  <si>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</si>
  <si>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</si>
  <si>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</si>
  <si>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</si>
  <si>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</si>
  <si>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</si>
  <si>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</si>
  <si>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</si>
  <si>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</si>
  <si>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</si>
  <si>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</si>
  <si>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</si>
  <si>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</si>
  <si>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</si>
  <si>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户数</t>
    <phoneticPr fontId="253" type="noConversion"/>
  </si>
  <si>
    <t>房号</t>
    <phoneticPr fontId="253" type="noConversion"/>
  </si>
  <si>
    <t>仓储</t>
    <phoneticPr fontId="253" type="noConversion"/>
  </si>
  <si>
    <t>合计</t>
    <phoneticPr fontId="253" type="noConversion"/>
  </si>
  <si>
    <t>楼号</t>
    <phoneticPr fontId="143" type="noConversion"/>
  </si>
  <si>
    <r>
      <t>1-</t>
    </r>
    <r>
      <rPr>
        <sz val="11"/>
        <color theme="1"/>
        <rFont val="宋体"/>
        <family val="3"/>
        <charset val="134"/>
        <scheme val="minor"/>
      </rPr>
      <t>84</t>
    </r>
    <phoneticPr fontId="143" type="noConversion"/>
  </si>
  <si>
    <t>1单元</t>
  </si>
  <si>
    <t>1单元</t>
    <phoneticPr fontId="143" type="noConversion"/>
  </si>
  <si>
    <t>单元</t>
    <phoneticPr fontId="143" type="noConversion"/>
  </si>
  <si>
    <t>自持住宅</t>
    <phoneticPr fontId="143" type="noConversion"/>
  </si>
  <si>
    <t>普通住宅</t>
    <phoneticPr fontId="253" type="noConversion"/>
  </si>
  <si>
    <t>2单元</t>
  </si>
  <si>
    <t>2单元</t>
    <phoneticPr fontId="143" type="noConversion"/>
  </si>
  <si>
    <t>3单元</t>
  </si>
  <si>
    <t>3单元</t>
    <phoneticPr fontId="143" type="noConversion"/>
  </si>
  <si>
    <t>独立仓储</t>
    <phoneticPr fontId="143" type="noConversion"/>
  </si>
  <si>
    <t>地下仓储</t>
    <phoneticPr fontId="143" type="noConversion"/>
  </si>
  <si>
    <r>
      <t>1</t>
    </r>
    <r>
      <rPr>
        <sz val="11"/>
        <color theme="1"/>
        <rFont val="宋体"/>
        <family val="3"/>
        <charset val="134"/>
        <scheme val="minor"/>
      </rPr>
      <t>01</t>
    </r>
    <phoneticPr fontId="143" type="noConversion"/>
  </si>
  <si>
    <r>
      <t>1</t>
    </r>
    <r>
      <rPr>
        <sz val="11"/>
        <color theme="1"/>
        <rFont val="宋体"/>
        <family val="3"/>
        <charset val="134"/>
        <scheme val="minor"/>
      </rPr>
      <t>02</t>
    </r>
    <phoneticPr fontId="143" type="noConversion"/>
  </si>
  <si>
    <t>其他</t>
    <phoneticPr fontId="143" type="noConversion"/>
  </si>
  <si>
    <t>84号楼小计</t>
    <phoneticPr fontId="143" type="noConversion"/>
  </si>
  <si>
    <t>86号楼小计</t>
    <phoneticPr fontId="143" type="noConversion"/>
  </si>
  <si>
    <t>商业</t>
    <phoneticPr fontId="253" type="noConversion"/>
  </si>
  <si>
    <t>地上设备</t>
    <phoneticPr fontId="143" type="noConversion"/>
  </si>
  <si>
    <t>地下设备</t>
    <phoneticPr fontId="143" type="noConversion"/>
  </si>
  <si>
    <t>87号楼小计</t>
    <phoneticPr fontId="143" type="noConversion"/>
  </si>
  <si>
    <t>地上公配</t>
    <phoneticPr fontId="143" type="noConversion"/>
  </si>
  <si>
    <t>地下公配</t>
    <phoneticPr fontId="143" type="noConversion"/>
  </si>
  <si>
    <t>88号楼小计</t>
    <phoneticPr fontId="143" type="noConversion"/>
  </si>
  <si>
    <t>89号楼小计</t>
    <phoneticPr fontId="143" type="noConversion"/>
  </si>
  <si>
    <t>90号楼小计</t>
    <phoneticPr fontId="143" type="noConversion"/>
  </si>
  <si>
    <t>91号楼小计</t>
    <phoneticPr fontId="143" type="noConversion"/>
  </si>
  <si>
    <r>
      <t>本楼1单元</t>
    </r>
    <r>
      <rPr>
        <sz val="11"/>
        <color theme="1"/>
        <rFont val="宋体"/>
        <family val="3"/>
        <charset val="134"/>
        <scheme val="minor"/>
      </rPr>
      <t>601-701、602-702、2单元601-701、502-702为自持住宅</t>
    </r>
    <phoneticPr fontId="143" type="noConversion"/>
  </si>
  <si>
    <t>1单元</t>
    <phoneticPr fontId="143" type="noConversion"/>
  </si>
  <si>
    <t>本楼1单元201-801、202-802、2单元201-801、202-802、3单元201-801、202-802为自持住宅</t>
    <phoneticPr fontId="143" type="noConversion"/>
  </si>
  <si>
    <t>本楼1单元201-801、202-802、2单元201-801、202-802、3单元201-801、202-802为自持住宅</t>
    <phoneticPr fontId="143" type="noConversion"/>
  </si>
  <si>
    <t>本楼1单元201-801、202-802、2单元101-801、102-802为自持住宅</t>
    <phoneticPr fontId="143" type="noConversion"/>
  </si>
  <si>
    <t>本楼1单元201-701、202-702、2单元201-701、202-702为自持住宅</t>
    <phoneticPr fontId="143" type="noConversion"/>
  </si>
  <si>
    <t>2单元</t>
    <phoneticPr fontId="143" type="noConversion"/>
  </si>
  <si>
    <t>规证一</t>
  </si>
  <si>
    <t>地上</t>
  </si>
  <si>
    <t>地下</t>
  </si>
  <si>
    <t>住宅</t>
  </si>
  <si>
    <t>其他</t>
  </si>
  <si>
    <t>库房</t>
  </si>
  <si>
    <t>设备</t>
  </si>
  <si>
    <t>地上楼层</t>
  </si>
  <si>
    <t>地下楼层</t>
  </si>
  <si>
    <t>栋数</t>
  </si>
  <si>
    <t>户数</t>
  </si>
  <si>
    <t>工程进度</t>
    <phoneticPr fontId="143" type="noConversion"/>
  </si>
  <si>
    <t>封顶</t>
    <phoneticPr fontId="143" type="noConversion"/>
  </si>
  <si>
    <t>封顶</t>
    <phoneticPr fontId="143" type="noConversion"/>
  </si>
  <si>
    <t>测绘报告</t>
    <phoneticPr fontId="143" type="noConversion"/>
  </si>
  <si>
    <t>1-1#</t>
  </si>
  <si>
    <t>住宅楼</t>
  </si>
  <si>
    <t>地下3层</t>
    <phoneticPr fontId="143" type="noConversion"/>
  </si>
  <si>
    <t>1层</t>
    <phoneticPr fontId="143" type="noConversion"/>
  </si>
  <si>
    <t>1-2#</t>
  </si>
  <si>
    <t>地下1层</t>
    <phoneticPr fontId="143" type="noConversion"/>
  </si>
  <si>
    <t>1-3#</t>
  </si>
  <si>
    <t>地下2层</t>
    <phoneticPr fontId="143" type="noConversion"/>
  </si>
  <si>
    <t>1-4#</t>
  </si>
  <si>
    <t>1-5#</t>
  </si>
  <si>
    <t>坑基</t>
    <phoneticPr fontId="143" type="noConversion"/>
  </si>
  <si>
    <t>1-6#</t>
  </si>
  <si>
    <t>未动工</t>
    <phoneticPr fontId="143" type="noConversion"/>
  </si>
  <si>
    <t>1-7#</t>
  </si>
  <si>
    <t>外装、设备二次机构等</t>
    <phoneticPr fontId="143" type="noConversion"/>
  </si>
  <si>
    <t>1-8#</t>
  </si>
  <si>
    <t>内装</t>
    <phoneticPr fontId="143" type="noConversion"/>
  </si>
  <si>
    <t>1-9#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</si>
  <si>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</si>
  <si>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</si>
  <si>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</si>
  <si>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</si>
  <si>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</si>
  <si>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</si>
  <si>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</si>
  <si>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</si>
  <si>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</si>
  <si>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</si>
  <si>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</si>
  <si>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</si>
  <si>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</si>
  <si>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</si>
  <si>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</si>
  <si>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</si>
  <si>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</si>
  <si>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</si>
  <si>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</si>
  <si>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</si>
  <si>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</si>
  <si>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</si>
  <si>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</si>
  <si>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</si>
  <si>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</si>
  <si>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</si>
  <si>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</si>
  <si>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</si>
  <si>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</si>
  <si>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</si>
  <si>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</si>
  <si>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</si>
  <si>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</si>
  <si>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</si>
  <si>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</si>
  <si>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</si>
  <si>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</si>
  <si>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</si>
  <si>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</si>
  <si>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</si>
  <si>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</si>
  <si>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</si>
  <si>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</si>
  <si>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</si>
  <si>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</si>
  <si>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</si>
  <si>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</si>
  <si>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</si>
  <si>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</si>
  <si>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</si>
  <si>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</si>
  <si>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</si>
  <si>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</si>
  <si>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</si>
  <si>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</si>
  <si>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</si>
  <si>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</si>
  <si>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</si>
  <si>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</si>
  <si>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</si>
  <si>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</si>
  <si>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</si>
  <si>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</si>
  <si>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</si>
  <si>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</si>
  <si>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</si>
  <si>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</si>
  <si>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</si>
  <si>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</si>
  <si>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</si>
  <si>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</si>
  <si>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</si>
  <si>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</si>
  <si>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</si>
  <si>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84-91#</t>
    <phoneticPr fontId="143" type="noConversion"/>
  </si>
  <si>
    <t>开闭站</t>
  </si>
  <si>
    <t>车库</t>
    <phoneticPr fontId="143" type="noConversion"/>
  </si>
  <si>
    <t>地下总</t>
    <phoneticPr fontId="143" type="noConversion"/>
  </si>
  <si>
    <t>地下设备</t>
    <phoneticPr fontId="143" type="noConversion"/>
  </si>
  <si>
    <t>配套用房</t>
  </si>
  <si>
    <t>车库</t>
  </si>
  <si>
    <t>人防</t>
  </si>
  <si>
    <t>汽车</t>
    <phoneticPr fontId="143" type="noConversion"/>
  </si>
  <si>
    <t>住宅</t>
    <phoneticPr fontId="143" type="noConversion"/>
  </si>
  <si>
    <t>住宅</t>
    <phoneticPr fontId="143" type="noConversion"/>
  </si>
  <si>
    <t>库房</t>
    <phoneticPr fontId="143" type="noConversion"/>
  </si>
  <si>
    <t>946个</t>
  </si>
  <si>
    <t>规证二</t>
  </si>
  <si>
    <t>自持</t>
  </si>
  <si>
    <t>1-84#</t>
  </si>
  <si>
    <t>1-85#</t>
  </si>
  <si>
    <t>1-86#</t>
  </si>
  <si>
    <t>1-87#</t>
  </si>
  <si>
    <t>1-88#</t>
  </si>
  <si>
    <t>1-89#</t>
  </si>
  <si>
    <t>1-90#</t>
  </si>
  <si>
    <t>1-91#</t>
  </si>
  <si>
    <t>p-1#</t>
  </si>
  <si>
    <t>托老所</t>
  </si>
  <si>
    <t>21地块</t>
  </si>
  <si>
    <t>31地块</t>
  </si>
  <si>
    <t>自持住宅</t>
  </si>
  <si>
    <t>配套</t>
  </si>
  <si>
    <t>684个</t>
  </si>
  <si>
    <t>序号</t>
    <phoneticPr fontId="143" type="noConversion"/>
  </si>
  <si>
    <t>合并房号</t>
  </si>
  <si>
    <t>建筑面积</t>
  </si>
  <si>
    <t>用途</t>
    <phoneticPr fontId="143" type="noConversion"/>
  </si>
  <si>
    <t>3-101</t>
  </si>
  <si>
    <t>住宅</t>
    <phoneticPr fontId="143" type="noConversion"/>
  </si>
  <si>
    <t>3-(101-戊类储藏)</t>
  </si>
  <si>
    <t>3--201</t>
  </si>
  <si>
    <t>仓储</t>
    <phoneticPr fontId="143" type="noConversion"/>
  </si>
  <si>
    <t>3-0018</t>
  </si>
  <si>
    <t>车库</t>
    <phoneticPr fontId="143" type="noConversion"/>
  </si>
  <si>
    <t>3-0017</t>
  </si>
  <si>
    <t>3-102</t>
  </si>
  <si>
    <t>3-(102-戊类储藏)</t>
  </si>
  <si>
    <t>3--202</t>
  </si>
  <si>
    <t>3-0015</t>
  </si>
  <si>
    <t>3-0016</t>
  </si>
  <si>
    <t>3-103</t>
  </si>
  <si>
    <t>3-(103-戊类储藏)</t>
  </si>
  <si>
    <t>3--203</t>
  </si>
  <si>
    <t>3-0019</t>
  </si>
  <si>
    <t>车库</t>
    <phoneticPr fontId="143" type="noConversion"/>
  </si>
  <si>
    <t>3-0020</t>
  </si>
  <si>
    <t>3-104</t>
  </si>
  <si>
    <t>住宅</t>
    <phoneticPr fontId="143" type="noConversion"/>
  </si>
  <si>
    <t>3-(104-戊类储藏)</t>
  </si>
  <si>
    <t>3--204</t>
  </si>
  <si>
    <t>仓储</t>
    <phoneticPr fontId="143" type="noConversion"/>
  </si>
  <si>
    <t>3-0021</t>
  </si>
  <si>
    <t>3-0022</t>
  </si>
  <si>
    <t>4-102</t>
  </si>
  <si>
    <t>4-(102-戊类储藏)</t>
  </si>
  <si>
    <t>4--202</t>
  </si>
  <si>
    <t>4-0011</t>
  </si>
  <si>
    <t>4-0012</t>
  </si>
  <si>
    <t>4-103</t>
  </si>
  <si>
    <t>4-(103-戊类储藏)</t>
  </si>
  <si>
    <t>4--203</t>
  </si>
  <si>
    <t>仓储</t>
    <phoneticPr fontId="143" type="noConversion"/>
  </si>
  <si>
    <t>4-0009</t>
  </si>
  <si>
    <t>车库</t>
    <phoneticPr fontId="143" type="noConversion"/>
  </si>
  <si>
    <t>4-0010</t>
  </si>
  <si>
    <t>4-106</t>
  </si>
  <si>
    <t>住宅</t>
    <phoneticPr fontId="143" type="noConversion"/>
  </si>
  <si>
    <t>4-(106-戊类储藏)</t>
  </si>
  <si>
    <t>4--206</t>
  </si>
  <si>
    <t>4-0027</t>
  </si>
  <si>
    <t>4-0028</t>
  </si>
  <si>
    <t>5-103</t>
  </si>
  <si>
    <t>5-(103-戊类储藏)</t>
  </si>
  <si>
    <t>5--203</t>
  </si>
  <si>
    <t>5-0029</t>
  </si>
  <si>
    <t>5-0030</t>
  </si>
  <si>
    <t>5-106</t>
  </si>
  <si>
    <t>5-(106-戊类储藏)</t>
  </si>
  <si>
    <t>5--206</t>
  </si>
  <si>
    <t>5-0047</t>
  </si>
  <si>
    <t>5-0048</t>
  </si>
  <si>
    <t>6-0037</t>
  </si>
  <si>
    <t>6-0038</t>
  </si>
  <si>
    <t>6-102</t>
  </si>
  <si>
    <t>6-(102-戊类储藏)</t>
  </si>
  <si>
    <t>6--202</t>
  </si>
  <si>
    <t>6-0035</t>
  </si>
  <si>
    <t>6-0036</t>
  </si>
  <si>
    <t>7-106</t>
  </si>
  <si>
    <t>7-(106-戊类储藏)</t>
  </si>
  <si>
    <t>7--206</t>
  </si>
  <si>
    <t>7-0063</t>
  </si>
  <si>
    <t>7-0064</t>
  </si>
  <si>
    <t>8-102</t>
  </si>
  <si>
    <t>8-(102-戊类储藏)</t>
  </si>
  <si>
    <t>8--202</t>
  </si>
  <si>
    <t>8-0049</t>
  </si>
  <si>
    <t>8-0050</t>
  </si>
  <si>
    <t>8-103</t>
  </si>
  <si>
    <t>8-(103-戊类储藏)</t>
  </si>
  <si>
    <t>8--203</t>
  </si>
  <si>
    <t>8-0065</t>
  </si>
  <si>
    <t>8-0066</t>
  </si>
  <si>
    <t>9-104</t>
  </si>
  <si>
    <t>9-(104-戊类储藏)</t>
  </si>
  <si>
    <t>9--204</t>
  </si>
  <si>
    <t>9-0087</t>
  </si>
  <si>
    <t>9-0088</t>
  </si>
  <si>
    <t>10-104</t>
  </si>
  <si>
    <t>10-(104-戊类储藏)</t>
  </si>
  <si>
    <t>10--204</t>
  </si>
  <si>
    <t>10-0079</t>
  </si>
  <si>
    <t>10-0080</t>
  </si>
  <si>
    <t>10-106</t>
  </si>
  <si>
    <t>10-(106-戊类储藏)</t>
  </si>
  <si>
    <t>10--206</t>
  </si>
  <si>
    <t>10-0083</t>
  </si>
  <si>
    <t>10-0084</t>
  </si>
  <si>
    <t>11-102</t>
  </si>
  <si>
    <t>11-(102-戊类储藏)</t>
  </si>
  <si>
    <t>11--202</t>
  </si>
  <si>
    <t>11-0095</t>
  </si>
  <si>
    <t>11-0096</t>
  </si>
  <si>
    <t>11-103</t>
  </si>
  <si>
    <t>11-(103-戊类储藏)</t>
  </si>
  <si>
    <t>11--203</t>
  </si>
  <si>
    <t>11-0093</t>
  </si>
  <si>
    <t>11-0094</t>
  </si>
  <si>
    <t>11-106</t>
  </si>
  <si>
    <t>11-(106-戊类储藏)</t>
  </si>
  <si>
    <t>11--206</t>
  </si>
  <si>
    <t>11-0103</t>
  </si>
  <si>
    <t>11-0104</t>
  </si>
  <si>
    <t>12-101</t>
  </si>
  <si>
    <t>12-(101-戊类储藏)</t>
  </si>
  <si>
    <t>12--201</t>
  </si>
  <si>
    <t>12-0091</t>
  </si>
  <si>
    <t>12-0092</t>
  </si>
  <si>
    <t>12-104</t>
  </si>
  <si>
    <t>12-(104-戊类储藏)</t>
  </si>
  <si>
    <t>12--204</t>
  </si>
  <si>
    <t>12-0107</t>
  </si>
  <si>
    <t>12-0108</t>
  </si>
  <si>
    <t>14-0115</t>
  </si>
  <si>
    <t>14-0116</t>
  </si>
  <si>
    <t>14-104</t>
  </si>
  <si>
    <t>14-(104-戊类储藏)</t>
  </si>
  <si>
    <t>14--204</t>
  </si>
  <si>
    <t>14-0122</t>
  </si>
  <si>
    <t>14-0121</t>
  </si>
  <si>
    <t>15-102</t>
  </si>
  <si>
    <t>15-(102-戊类储藏)</t>
  </si>
  <si>
    <t>15--202</t>
  </si>
  <si>
    <t>15-0135</t>
  </si>
  <si>
    <t>15-0136</t>
  </si>
  <si>
    <t>17-105</t>
  </si>
  <si>
    <t>17-(105-戊类储藏)</t>
  </si>
  <si>
    <t>17--205</t>
  </si>
  <si>
    <t>17-0151</t>
  </si>
  <si>
    <t>17-0152</t>
  </si>
  <si>
    <t>18-102</t>
  </si>
  <si>
    <t>18-(102-戊类储藏)</t>
  </si>
  <si>
    <t>18--202</t>
  </si>
  <si>
    <t>18-0141</t>
  </si>
  <si>
    <t>18-0142</t>
  </si>
  <si>
    <t>18-104</t>
  </si>
  <si>
    <t>18-(104-戊类储藏)</t>
  </si>
  <si>
    <t>18--204</t>
  </si>
  <si>
    <t>18-0155</t>
  </si>
  <si>
    <t>18-0156</t>
  </si>
  <si>
    <t>19-106</t>
  </si>
  <si>
    <t>19-(106-戊类储藏)</t>
  </si>
  <si>
    <t>19--206</t>
  </si>
  <si>
    <t>19-0173</t>
  </si>
  <si>
    <t>19-0174</t>
  </si>
  <si>
    <t>20-101</t>
  </si>
  <si>
    <t>20-(101-戊类储藏)</t>
  </si>
  <si>
    <t>20--201</t>
  </si>
  <si>
    <t>20-0165</t>
  </si>
  <si>
    <t>20-0166</t>
  </si>
  <si>
    <t>20-102</t>
  </si>
  <si>
    <t>20-(102-戊类储藏)</t>
  </si>
  <si>
    <t>20--202</t>
  </si>
  <si>
    <t>20-0167</t>
  </si>
  <si>
    <t>20-0168</t>
  </si>
  <si>
    <t>20-104</t>
  </si>
  <si>
    <t>20-(104-戊类储藏)</t>
  </si>
  <si>
    <t>20--204</t>
  </si>
  <si>
    <t>仓储</t>
    <phoneticPr fontId="143" type="noConversion"/>
  </si>
  <si>
    <t>20-0169</t>
  </si>
  <si>
    <t>车库</t>
    <phoneticPr fontId="143" type="noConversion"/>
  </si>
  <si>
    <t>20-0170</t>
  </si>
  <si>
    <t>21-101</t>
  </si>
  <si>
    <t>住宅</t>
    <phoneticPr fontId="143" type="noConversion"/>
  </si>
  <si>
    <t>21-(101-戊类储藏)</t>
  </si>
  <si>
    <t>21--201</t>
  </si>
  <si>
    <t>21-0185</t>
  </si>
  <si>
    <t>21-0186</t>
  </si>
  <si>
    <t>22-102</t>
  </si>
  <si>
    <t>22-(102-戊类储藏)</t>
  </si>
  <si>
    <t>22--202</t>
  </si>
  <si>
    <t>22-0181</t>
  </si>
  <si>
    <t>22-0182</t>
  </si>
  <si>
    <t>22-105</t>
  </si>
  <si>
    <t>22-(105-戊类储藏)</t>
  </si>
  <si>
    <t>22--205</t>
  </si>
  <si>
    <t>22-0195</t>
  </si>
  <si>
    <t>22-0196</t>
  </si>
  <si>
    <t>22-106</t>
  </si>
  <si>
    <t>22-(106-戊类储藏)</t>
  </si>
  <si>
    <t>22--206</t>
  </si>
  <si>
    <t>22-0193</t>
  </si>
  <si>
    <t>22-0194</t>
  </si>
  <si>
    <t>23-102</t>
  </si>
  <si>
    <t>23-(102-戊类储藏)</t>
  </si>
  <si>
    <t>23--202</t>
  </si>
  <si>
    <t>23-0201</t>
  </si>
  <si>
    <t>23-0202</t>
  </si>
  <si>
    <t>23-103</t>
  </si>
  <si>
    <t>23-(103-戊类储藏)</t>
  </si>
  <si>
    <t>23--203</t>
  </si>
  <si>
    <t>23-0203</t>
  </si>
  <si>
    <t>23-0204</t>
  </si>
  <si>
    <t>23-106</t>
  </si>
  <si>
    <t>23-(106-戊类储藏)</t>
  </si>
  <si>
    <t>23--206</t>
  </si>
  <si>
    <t>23-0213</t>
  </si>
  <si>
    <t>23-0214</t>
  </si>
  <si>
    <t>24-102</t>
  </si>
  <si>
    <t>24-(102-戊类储藏)</t>
  </si>
  <si>
    <t>24--202</t>
  </si>
  <si>
    <t>24-0207</t>
  </si>
  <si>
    <t>24-0208</t>
  </si>
  <si>
    <t>24-104</t>
  </si>
  <si>
    <t>24-(104-戊类储藏)</t>
  </si>
  <si>
    <t>24--204</t>
  </si>
  <si>
    <t>24-0209</t>
  </si>
  <si>
    <t>24-0210</t>
  </si>
  <si>
    <t>26-102</t>
  </si>
  <si>
    <t>26-(102-戊类储藏)</t>
  </si>
  <si>
    <t>26--202</t>
  </si>
  <si>
    <t>26-0225</t>
  </si>
  <si>
    <t>26-0226</t>
  </si>
  <si>
    <t>27-103</t>
  </si>
  <si>
    <t>27-(103-戊类储藏)</t>
  </si>
  <si>
    <t>27--203</t>
  </si>
  <si>
    <t>27-0253</t>
  </si>
  <si>
    <t>27-0254</t>
  </si>
  <si>
    <t>27-104</t>
  </si>
  <si>
    <t>27-(104-戊类储藏)</t>
  </si>
  <si>
    <t>27--204</t>
  </si>
  <si>
    <t>27-0235</t>
  </si>
  <si>
    <t>27-0236</t>
  </si>
  <si>
    <t>27-105</t>
  </si>
  <si>
    <t>27-(105-戊类储藏)</t>
  </si>
  <si>
    <t>27--205</t>
  </si>
  <si>
    <t>27-0233</t>
  </si>
  <si>
    <t>27-0234</t>
  </si>
  <si>
    <t>27-106</t>
  </si>
  <si>
    <t>27-(106-戊类储藏)</t>
  </si>
  <si>
    <t>27--206</t>
  </si>
  <si>
    <t>27-0231</t>
  </si>
  <si>
    <t>27-0232</t>
  </si>
  <si>
    <t>28-102</t>
  </si>
  <si>
    <t>28-(102-戊类储藏)</t>
  </si>
  <si>
    <t>28--202</t>
  </si>
  <si>
    <t>28-0245</t>
  </si>
  <si>
    <t>28-0246</t>
  </si>
  <si>
    <t>28-103</t>
  </si>
  <si>
    <t>28-(103-戊类储藏)</t>
  </si>
  <si>
    <t>28--203</t>
  </si>
  <si>
    <t>28-0247</t>
  </si>
  <si>
    <t>28-0248</t>
  </si>
  <si>
    <t>28-105</t>
  </si>
  <si>
    <t>28-(105-戊类储藏)</t>
  </si>
  <si>
    <t>28--205</t>
  </si>
  <si>
    <t>28-0239</t>
  </si>
  <si>
    <t>28-0240</t>
  </si>
  <si>
    <t>28-106</t>
  </si>
  <si>
    <t>28-(106-戊类储藏)</t>
  </si>
  <si>
    <t>28--206</t>
  </si>
  <si>
    <t>28-0237</t>
  </si>
  <si>
    <t>28-0238</t>
  </si>
  <si>
    <t>29-103</t>
  </si>
  <si>
    <t>29-(103-戊类储藏)</t>
  </si>
  <si>
    <t>29--203</t>
  </si>
  <si>
    <t>29-0261</t>
  </si>
  <si>
    <t>29-0262</t>
  </si>
  <si>
    <t>30-102</t>
  </si>
  <si>
    <t>30-(102-戊类储藏)</t>
  </si>
  <si>
    <t>30--202</t>
  </si>
  <si>
    <t>30-0257</t>
  </si>
  <si>
    <t>30-0258</t>
  </si>
  <si>
    <t>30-103</t>
  </si>
  <si>
    <t>30-(103-戊类储藏)</t>
  </si>
  <si>
    <t>30--203</t>
  </si>
  <si>
    <t>30-0255</t>
  </si>
  <si>
    <t>30-0256</t>
  </si>
  <si>
    <t>31-101</t>
  </si>
  <si>
    <t>31-(101-戊类储藏)</t>
  </si>
  <si>
    <t>31--201</t>
  </si>
  <si>
    <t>31-0283</t>
  </si>
  <si>
    <t>31-0284</t>
  </si>
  <si>
    <t>31-103</t>
  </si>
  <si>
    <t>31-(103-戊类储藏)</t>
  </si>
  <si>
    <t>31--203</t>
  </si>
  <si>
    <t>31-0279</t>
  </si>
  <si>
    <t>31-0280</t>
  </si>
  <si>
    <t>31-104</t>
  </si>
  <si>
    <t>31-(104-戊类储藏)</t>
  </si>
  <si>
    <t>31--204</t>
  </si>
  <si>
    <t>31-0273</t>
  </si>
  <si>
    <t>31-0274</t>
  </si>
  <si>
    <t>31-105</t>
  </si>
  <si>
    <t>31-(105-戊类储藏)</t>
  </si>
  <si>
    <t>31--205</t>
  </si>
  <si>
    <t>31-0275</t>
  </si>
  <si>
    <t>31-0276</t>
  </si>
  <si>
    <t>32-106</t>
  </si>
  <si>
    <t>32-(106-戊类储藏)</t>
  </si>
  <si>
    <t>32--206</t>
  </si>
  <si>
    <t>32-0271</t>
  </si>
  <si>
    <t>32-0272</t>
  </si>
  <si>
    <t>34-103</t>
  </si>
  <si>
    <t>34-(103-戊类储藏)</t>
  </si>
  <si>
    <t>34--203</t>
  </si>
  <si>
    <t>34-0301</t>
  </si>
  <si>
    <t>34-0302</t>
  </si>
  <si>
    <t>34-105</t>
  </si>
  <si>
    <t>34-(105-戊类储藏)</t>
  </si>
  <si>
    <t>34--205</t>
  </si>
  <si>
    <t>34-0299</t>
  </si>
  <si>
    <t>34-0300</t>
  </si>
  <si>
    <t>36-101</t>
  </si>
  <si>
    <t>36-(101-戊类储藏)</t>
  </si>
  <si>
    <t>36--201</t>
  </si>
  <si>
    <t>36-0333</t>
  </si>
  <si>
    <t>36-0334</t>
  </si>
  <si>
    <t>36-104</t>
  </si>
  <si>
    <t>36-(104-戊类储藏)</t>
  </si>
  <si>
    <t>36--204</t>
  </si>
  <si>
    <t>36-0313</t>
  </si>
  <si>
    <t>36-0314</t>
  </si>
  <si>
    <t>36-106</t>
  </si>
  <si>
    <t>36-(106-戊类储藏)</t>
  </si>
  <si>
    <t>36--206</t>
  </si>
  <si>
    <t>36-0317</t>
  </si>
  <si>
    <t>36-0318</t>
  </si>
  <si>
    <t>37-101</t>
  </si>
  <si>
    <t>37-(101-戊类储藏)</t>
  </si>
  <si>
    <t>37--201</t>
  </si>
  <si>
    <t>37-0357</t>
  </si>
  <si>
    <t>37-0358</t>
  </si>
  <si>
    <t>37-104</t>
  </si>
  <si>
    <t>37-(104-戊类储藏)</t>
  </si>
  <si>
    <t>37--204</t>
  </si>
  <si>
    <t>37-0335</t>
  </si>
  <si>
    <t>37-0336</t>
  </si>
  <si>
    <t>37-105</t>
  </si>
  <si>
    <t>37-(105-戊类储藏)</t>
  </si>
  <si>
    <t>37--205</t>
  </si>
  <si>
    <t>37-0337</t>
  </si>
  <si>
    <t>37-0338</t>
  </si>
  <si>
    <t>37-106</t>
  </si>
  <si>
    <t>37-(106-戊类储藏)</t>
  </si>
  <si>
    <t>37--206</t>
  </si>
  <si>
    <t>37-0339</t>
  </si>
  <si>
    <t>37-0340</t>
  </si>
  <si>
    <t>38-103</t>
  </si>
  <si>
    <t>38-(103-戊类储藏)</t>
  </si>
  <si>
    <t>38--203</t>
  </si>
  <si>
    <t>38-0347</t>
  </si>
  <si>
    <t>38-0348</t>
  </si>
  <si>
    <t>39-102</t>
  </si>
  <si>
    <t>39-(102-戊类储藏)</t>
  </si>
  <si>
    <t>39--202</t>
  </si>
  <si>
    <t>39-0371</t>
  </si>
  <si>
    <t>39-0372</t>
  </si>
  <si>
    <t>39-103</t>
  </si>
  <si>
    <t>39-(103-戊类储藏)</t>
  </si>
  <si>
    <t>39--203</t>
  </si>
  <si>
    <t>39-0365</t>
  </si>
  <si>
    <t>39-0366</t>
  </si>
  <si>
    <t>40-101</t>
  </si>
  <si>
    <t>40-(101-戊类储藏)</t>
  </si>
  <si>
    <t>40--201</t>
  </si>
  <si>
    <t>40-0379</t>
  </si>
  <si>
    <t>40-0380</t>
  </si>
  <si>
    <t>40-102</t>
  </si>
  <si>
    <t>40-(102-戊类储藏)</t>
  </si>
  <si>
    <t>40--202</t>
  </si>
  <si>
    <t>40-0377</t>
  </si>
  <si>
    <t>40-0378</t>
  </si>
  <si>
    <t>40-104</t>
  </si>
  <si>
    <t>40-(104-戊类储藏)</t>
  </si>
  <si>
    <t>40--204</t>
  </si>
  <si>
    <t>40-0359</t>
  </si>
  <si>
    <t>40-0360</t>
  </si>
  <si>
    <t>40-105</t>
  </si>
  <si>
    <t>40-(105-戊类储藏)</t>
  </si>
  <si>
    <t>40--205</t>
  </si>
  <si>
    <t>40-0361</t>
  </si>
  <si>
    <t>40-0362</t>
  </si>
  <si>
    <t>40-106</t>
  </si>
  <si>
    <t>40-(106-戊类储藏)</t>
  </si>
  <si>
    <t>40--206</t>
  </si>
  <si>
    <t>40-0363</t>
  </si>
  <si>
    <t>40-0364</t>
  </si>
  <si>
    <t>41-103</t>
  </si>
  <si>
    <t>41-(103-戊类储藏)</t>
  </si>
  <si>
    <t>41--203</t>
  </si>
  <si>
    <t>41-0399</t>
  </si>
  <si>
    <t>41-0400</t>
  </si>
  <si>
    <t>41-106</t>
  </si>
  <si>
    <t>41-(106-戊类储藏)</t>
  </si>
  <si>
    <t>41--206</t>
  </si>
  <si>
    <t>41-0385</t>
  </si>
  <si>
    <t>41-0386</t>
  </si>
  <si>
    <t>42-101</t>
  </si>
  <si>
    <t>42-(101-戊类储藏)</t>
  </si>
  <si>
    <t>42--201</t>
  </si>
  <si>
    <t>42-0397</t>
  </si>
  <si>
    <t>42-0398</t>
  </si>
  <si>
    <t>42-102</t>
  </si>
  <si>
    <t>42-(102-戊类储藏)</t>
  </si>
  <si>
    <t>42--202</t>
  </si>
  <si>
    <t>42-0395</t>
  </si>
  <si>
    <t>42-0396</t>
  </si>
  <si>
    <t>42-103</t>
  </si>
  <si>
    <t>42-(103-戊类储藏)</t>
  </si>
  <si>
    <t>42--203</t>
  </si>
  <si>
    <t>42-0393</t>
  </si>
  <si>
    <t>42-0394</t>
  </si>
  <si>
    <t>42-106</t>
  </si>
  <si>
    <t>42-(106-戊类储藏)</t>
  </si>
  <si>
    <t>42--206</t>
  </si>
  <si>
    <t>42-0391</t>
  </si>
  <si>
    <t>42-392</t>
  </si>
  <si>
    <t>43-103</t>
  </si>
  <si>
    <t>43-(103-戊类储藏)</t>
  </si>
  <si>
    <t>43--203</t>
  </si>
  <si>
    <t>43-0417</t>
  </si>
  <si>
    <t>43-0418</t>
  </si>
  <si>
    <t>43-105</t>
  </si>
  <si>
    <t>43-(105-戊类储藏)</t>
  </si>
  <si>
    <t>43--205</t>
  </si>
  <si>
    <t>43-0413</t>
  </si>
  <si>
    <t>43-0414</t>
  </si>
  <si>
    <t>44-102</t>
  </si>
  <si>
    <t>44-(102-戊类储藏)</t>
  </si>
  <si>
    <t>44--202</t>
  </si>
  <si>
    <t>44-0425</t>
  </si>
  <si>
    <t>44-0426</t>
  </si>
  <si>
    <t>44-103</t>
  </si>
  <si>
    <t>44-(103-戊类储藏)</t>
  </si>
  <si>
    <t>44--203</t>
  </si>
  <si>
    <t>44-0423</t>
  </si>
  <si>
    <t>44-0424</t>
  </si>
  <si>
    <t>44-106</t>
  </si>
  <si>
    <t>44-(106-戊类储藏)</t>
  </si>
  <si>
    <t>44--206</t>
  </si>
  <si>
    <t>44-0409</t>
  </si>
  <si>
    <t>44-0410</t>
  </si>
  <si>
    <t>45-102</t>
  </si>
  <si>
    <t>45-(102-戊类储藏)</t>
  </si>
  <si>
    <t>45--202</t>
  </si>
  <si>
    <t>45-0435</t>
  </si>
  <si>
    <t>45-0436</t>
  </si>
  <si>
    <t>46-102</t>
  </si>
  <si>
    <t>46-(102-戊类储藏)</t>
  </si>
  <si>
    <t>46--202</t>
  </si>
  <si>
    <t>46-0439</t>
  </si>
  <si>
    <t>46-0440</t>
  </si>
  <si>
    <t>46-103</t>
  </si>
  <si>
    <t>46-(103-戊类储藏)</t>
  </si>
  <si>
    <t>46--203</t>
  </si>
  <si>
    <t>46-0441</t>
  </si>
  <si>
    <t>46-0442</t>
  </si>
  <si>
    <t>46-104</t>
  </si>
  <si>
    <t>46-(104-戊类储藏)</t>
  </si>
  <si>
    <t>46--204</t>
  </si>
  <si>
    <t>46-0443</t>
  </si>
  <si>
    <t>46-0444</t>
  </si>
  <si>
    <t>47-101</t>
  </si>
  <si>
    <t>47-(101-戊类储藏)</t>
  </si>
  <si>
    <t>47--201</t>
  </si>
  <si>
    <t>47-0449</t>
  </si>
  <si>
    <t>47-0450</t>
  </si>
  <si>
    <t>47-103</t>
  </si>
  <si>
    <t>47-(103-戊类储藏)</t>
  </si>
  <si>
    <t>47--203</t>
  </si>
  <si>
    <t>47-0445</t>
  </si>
  <si>
    <t>47-0446</t>
  </si>
  <si>
    <t>47-104</t>
  </si>
  <si>
    <t>47-(104-戊类储藏)</t>
  </si>
  <si>
    <t>47--204</t>
  </si>
  <si>
    <t>47-0451</t>
  </si>
  <si>
    <t>47-0452</t>
  </si>
  <si>
    <t>47-105</t>
  </si>
  <si>
    <t>47-(105-戊类储藏)</t>
  </si>
  <si>
    <t>47--205</t>
  </si>
  <si>
    <t>47-0453</t>
  </si>
  <si>
    <t>47-0454</t>
  </si>
  <si>
    <t>47-106</t>
  </si>
  <si>
    <t>47-(106-戊类储藏)</t>
  </si>
  <si>
    <t>47--206</t>
  </si>
  <si>
    <t>47-0455</t>
  </si>
  <si>
    <t>47-0456</t>
  </si>
  <si>
    <t>48-101</t>
  </si>
  <si>
    <t>48-(101-戊类储藏)</t>
  </si>
  <si>
    <t>48--201</t>
  </si>
  <si>
    <t>48-0457</t>
  </si>
  <si>
    <t>48-0458</t>
  </si>
  <si>
    <t>48-102</t>
  </si>
  <si>
    <t>48-(102-戊类储藏)</t>
  </si>
  <si>
    <t>48--202</t>
  </si>
  <si>
    <t>48-0459</t>
  </si>
  <si>
    <t>48-0460</t>
  </si>
  <si>
    <t>48-103</t>
  </si>
  <si>
    <t>48-(103-戊类储藏)</t>
  </si>
  <si>
    <t>48--203</t>
  </si>
  <si>
    <t>48-0461</t>
  </si>
  <si>
    <t>48-0462</t>
  </si>
  <si>
    <t>49-101</t>
  </si>
  <si>
    <t>49-(101-戊类储藏)</t>
  </si>
  <si>
    <t>49--201</t>
  </si>
  <si>
    <t>49-0471</t>
  </si>
  <si>
    <t>49-0472</t>
  </si>
  <si>
    <t>49-102</t>
  </si>
  <si>
    <t>49-(102-戊类储藏)</t>
  </si>
  <si>
    <t>49--202</t>
  </si>
  <si>
    <t>49-0469</t>
  </si>
  <si>
    <t>49-0470</t>
  </si>
  <si>
    <t>49-103</t>
  </si>
  <si>
    <t>49-(103-戊类储藏)</t>
  </si>
  <si>
    <t>49--203</t>
  </si>
  <si>
    <t>49-0467</t>
  </si>
  <si>
    <t>49-0468</t>
  </si>
  <si>
    <t>49-104</t>
  </si>
  <si>
    <t>49-(104-戊类储藏)</t>
  </si>
  <si>
    <t>49--204</t>
  </si>
  <si>
    <t>49-0465</t>
  </si>
  <si>
    <t>49-0466</t>
  </si>
  <si>
    <t>49-106</t>
  </si>
  <si>
    <t>49-(106-戊类储藏)</t>
  </si>
  <si>
    <t>49--206</t>
  </si>
  <si>
    <t>49-0487</t>
  </si>
  <si>
    <t>49-0488</t>
  </si>
  <si>
    <t>49-107</t>
  </si>
  <si>
    <t>49-(107-戊类储藏)</t>
  </si>
  <si>
    <t>49--207</t>
  </si>
  <si>
    <t>49-0489</t>
  </si>
  <si>
    <t>49-0490</t>
  </si>
  <si>
    <t>49-108</t>
  </si>
  <si>
    <t>49-(108-戊类储藏)</t>
  </si>
  <si>
    <t>49--208</t>
  </si>
  <si>
    <t>49-0491</t>
  </si>
  <si>
    <t>49-0492</t>
  </si>
  <si>
    <t>50-103</t>
  </si>
  <si>
    <t>50-(103-戊类储藏)</t>
  </si>
  <si>
    <t>50--203</t>
  </si>
  <si>
    <t>50-0473</t>
  </si>
  <si>
    <t>50-0474</t>
  </si>
  <si>
    <t>50-105</t>
  </si>
  <si>
    <t>50-(105-戊类储藏)</t>
  </si>
  <si>
    <t>50--205</t>
  </si>
  <si>
    <t>50-0481</t>
  </si>
  <si>
    <t>50-0482</t>
  </si>
  <si>
    <t>50-106</t>
  </si>
  <si>
    <t>50-(106-戊类储藏)</t>
  </si>
  <si>
    <t>50--206</t>
  </si>
  <si>
    <t>50-0483</t>
  </si>
  <si>
    <t>50-0484</t>
  </si>
  <si>
    <t>51-101</t>
  </si>
  <si>
    <t>51-(101-戊类储藏)</t>
  </si>
  <si>
    <t>51--201</t>
  </si>
  <si>
    <t>51-0505</t>
  </si>
  <si>
    <t>51-0506</t>
  </si>
  <si>
    <t>51-105</t>
  </si>
  <si>
    <t>51-(105-戊类储藏)</t>
  </si>
  <si>
    <t>51--205</t>
  </si>
  <si>
    <t>51-0509</t>
  </si>
  <si>
    <t>51-0510</t>
  </si>
  <si>
    <t>51-106</t>
  </si>
  <si>
    <t>51-(106-戊类储藏)</t>
  </si>
  <si>
    <t>51--206</t>
  </si>
  <si>
    <t>51-0511</t>
  </si>
  <si>
    <t>51-0512</t>
  </si>
  <si>
    <t>52-101</t>
  </si>
  <si>
    <t>52-(101-戊类储藏)</t>
  </si>
  <si>
    <t>52--201</t>
  </si>
  <si>
    <t>52-0499</t>
  </si>
  <si>
    <t>52-0500</t>
  </si>
  <si>
    <t>52-102</t>
  </si>
  <si>
    <t>52-(102-戊类储藏)</t>
  </si>
  <si>
    <t>52--202</t>
  </si>
  <si>
    <t>52-0497</t>
  </si>
  <si>
    <t>52-0498</t>
  </si>
  <si>
    <t>52-103</t>
  </si>
  <si>
    <t>52-(103-戊类储藏)</t>
  </si>
  <si>
    <t>52--203</t>
  </si>
  <si>
    <t>52-0495</t>
  </si>
  <si>
    <t>52-0496</t>
  </si>
  <si>
    <t>52-104</t>
  </si>
  <si>
    <t>52-(104-戊类储藏)</t>
  </si>
  <si>
    <t>52--204</t>
  </si>
  <si>
    <t>52-0493</t>
  </si>
  <si>
    <t>52-0494</t>
  </si>
  <si>
    <t>52-106</t>
  </si>
  <si>
    <t>52-(106-戊类储藏)</t>
  </si>
  <si>
    <t>52--206</t>
  </si>
  <si>
    <t>52-0515</t>
  </si>
  <si>
    <t>52-0516</t>
  </si>
  <si>
    <t>52-107</t>
  </si>
  <si>
    <t>52-(107-戊类储藏)</t>
  </si>
  <si>
    <t>52--207</t>
  </si>
  <si>
    <t>52-0517</t>
  </si>
  <si>
    <t>52-0518</t>
  </si>
  <si>
    <t>52-108</t>
  </si>
  <si>
    <t>52-(108-戊类储藏)</t>
  </si>
  <si>
    <t>52--208</t>
  </si>
  <si>
    <t>52-0519</t>
  </si>
  <si>
    <t>52-0520</t>
  </si>
  <si>
    <t>53-101</t>
  </si>
  <si>
    <t>53-(101-戊类储藏)</t>
  </si>
  <si>
    <t>53--201</t>
  </si>
  <si>
    <t>53-0527</t>
  </si>
  <si>
    <t>53-0528</t>
  </si>
  <si>
    <t>53-102</t>
  </si>
  <si>
    <t>53-(102-戊类储藏)</t>
  </si>
  <si>
    <t>53--202</t>
  </si>
  <si>
    <t>53-0525</t>
  </si>
  <si>
    <t>53-0526</t>
  </si>
  <si>
    <t>53-103</t>
  </si>
  <si>
    <t>53-(103-戊类储藏)</t>
  </si>
  <si>
    <t>53--203</t>
  </si>
  <si>
    <t>53-0523</t>
  </si>
  <si>
    <t>53-0524</t>
  </si>
  <si>
    <t>53-105</t>
  </si>
  <si>
    <t>53-(105-戊类储藏)</t>
  </si>
  <si>
    <t>53--205</t>
  </si>
  <si>
    <t>53-0533</t>
  </si>
  <si>
    <t>53-0534</t>
  </si>
  <si>
    <t>53-107</t>
  </si>
  <si>
    <t>53-(107-戊类储藏)</t>
  </si>
  <si>
    <t>53--207</t>
  </si>
  <si>
    <t>53-0537</t>
  </si>
  <si>
    <t>53-0538</t>
  </si>
  <si>
    <t>54-101</t>
  </si>
  <si>
    <t>54-(101-戊类储藏)</t>
  </si>
  <si>
    <t>54--101</t>
  </si>
  <si>
    <t>54-0529</t>
  </si>
  <si>
    <t>54-0530</t>
  </si>
  <si>
    <t>54-102</t>
  </si>
  <si>
    <t>54-(102-戊类储藏)</t>
  </si>
  <si>
    <t>54--102</t>
  </si>
  <si>
    <t>54-0531</t>
  </si>
  <si>
    <t>54-0532</t>
  </si>
  <si>
    <t>55-101</t>
  </si>
  <si>
    <t>55-(101-戊类储藏)</t>
  </si>
  <si>
    <t>55--101</t>
  </si>
  <si>
    <t>55-0551</t>
  </si>
  <si>
    <t>55-0552</t>
  </si>
  <si>
    <t>55-102</t>
  </si>
  <si>
    <t>55-(102-戊类储藏)</t>
  </si>
  <si>
    <t>55--102</t>
  </si>
  <si>
    <t>55-0549</t>
  </si>
  <si>
    <t>55-0550</t>
  </si>
  <si>
    <t>56-104</t>
  </si>
  <si>
    <t>56-(104-戊类储藏)</t>
  </si>
  <si>
    <t>56--204</t>
  </si>
  <si>
    <t>56-0541</t>
  </si>
  <si>
    <t>56-0542</t>
  </si>
  <si>
    <t>56-106</t>
  </si>
  <si>
    <t>56-(106-戊类储藏)</t>
  </si>
  <si>
    <t>56--206</t>
  </si>
  <si>
    <t>56-0555</t>
  </si>
  <si>
    <t>56-0556</t>
  </si>
  <si>
    <t>56-107</t>
  </si>
  <si>
    <t>56-(107-戊类储藏)</t>
  </si>
  <si>
    <t>56--207</t>
  </si>
  <si>
    <t>56-0557</t>
  </si>
  <si>
    <t>56-0558</t>
  </si>
  <si>
    <t>56-108</t>
  </si>
  <si>
    <t>56-(108-戊类储藏)</t>
  </si>
  <si>
    <t>56--208</t>
  </si>
  <si>
    <t>56-0559</t>
  </si>
  <si>
    <t>56-0560</t>
  </si>
  <si>
    <t>57-106</t>
  </si>
  <si>
    <t>57-(106-戊类储藏)</t>
  </si>
  <si>
    <t>57--206</t>
  </si>
  <si>
    <t>57-0583</t>
  </si>
  <si>
    <t>57-0584</t>
  </si>
  <si>
    <t>57-107</t>
  </si>
  <si>
    <t>57-(107-戊类储藏)</t>
  </si>
  <si>
    <t>57--207</t>
  </si>
  <si>
    <t>57-0585</t>
  </si>
  <si>
    <t>57-0586</t>
  </si>
  <si>
    <t>57-108</t>
  </si>
  <si>
    <t>57-(108-戊类储藏)</t>
  </si>
  <si>
    <t>57--208</t>
  </si>
  <si>
    <t>57-0587</t>
  </si>
  <si>
    <t>57-0588</t>
  </si>
  <si>
    <t>58-101</t>
  </si>
  <si>
    <t>58-(101-戊类储藏)</t>
  </si>
  <si>
    <t>58--201</t>
  </si>
  <si>
    <t>58-0573</t>
  </si>
  <si>
    <t>58-0574</t>
  </si>
  <si>
    <t>58-105</t>
  </si>
  <si>
    <t>58-(105-戊类储藏)</t>
  </si>
  <si>
    <t>58--205</t>
  </si>
  <si>
    <t>58-0577</t>
  </si>
  <si>
    <t>58-0578</t>
  </si>
  <si>
    <t>58-106</t>
  </si>
  <si>
    <t>58-(106-戊类储藏)</t>
  </si>
  <si>
    <t>58--206</t>
  </si>
  <si>
    <t>58-0579</t>
  </si>
  <si>
    <t>58-0580</t>
  </si>
  <si>
    <t>59-102</t>
  </si>
  <si>
    <t>59-(102-戊类储藏)</t>
  </si>
  <si>
    <t>59--202</t>
  </si>
  <si>
    <t>59-0599</t>
  </si>
  <si>
    <t>59-0600</t>
  </si>
  <si>
    <t>59-103</t>
  </si>
  <si>
    <t>59-(103-戊类储藏)</t>
  </si>
  <si>
    <t>59--203</t>
  </si>
  <si>
    <t>59-0597</t>
  </si>
  <si>
    <t>59-0598</t>
  </si>
  <si>
    <t>60-101</t>
  </si>
  <si>
    <t>60-(101-戊类储藏)</t>
  </si>
  <si>
    <t>60--201</t>
  </si>
  <si>
    <t>60-0595</t>
  </si>
  <si>
    <t>60-0596</t>
  </si>
  <si>
    <t>60-102</t>
  </si>
  <si>
    <t>60--202</t>
  </si>
  <si>
    <t>60-0593</t>
  </si>
  <si>
    <t>60-0594</t>
  </si>
  <si>
    <t>60-103</t>
  </si>
  <si>
    <t>60-(103-戊类储藏)</t>
  </si>
  <si>
    <t>60--203</t>
  </si>
  <si>
    <t>60-0591</t>
  </si>
  <si>
    <t>60-0592</t>
  </si>
  <si>
    <t>60-104</t>
  </si>
  <si>
    <t>60-(104-戊类储藏)</t>
  </si>
  <si>
    <t>60--204</t>
  </si>
  <si>
    <t>60-0589</t>
  </si>
  <si>
    <t>60-0590</t>
  </si>
  <si>
    <t>60-106</t>
  </si>
  <si>
    <t>60-(106-戊类储藏)</t>
  </si>
  <si>
    <t>60--206</t>
  </si>
  <si>
    <t>60-0611</t>
  </si>
  <si>
    <t>60-0612</t>
  </si>
  <si>
    <t>60-107</t>
  </si>
  <si>
    <t>60-(107-戊类储藏)</t>
  </si>
  <si>
    <t>60--207</t>
  </si>
  <si>
    <t>60-0613</t>
  </si>
  <si>
    <t>60-0614</t>
  </si>
  <si>
    <t>61-102</t>
  </si>
  <si>
    <t>61-(102-戊类储藏)</t>
  </si>
  <si>
    <t>61--202</t>
  </si>
  <si>
    <t>61-621</t>
  </si>
  <si>
    <t>61-622</t>
  </si>
  <si>
    <t>61-103</t>
  </si>
  <si>
    <t>61-(103-戊类储藏)</t>
  </si>
  <si>
    <t>61--203</t>
  </si>
  <si>
    <t>61-619</t>
  </si>
  <si>
    <t>61-620</t>
  </si>
  <si>
    <t>63-101</t>
  </si>
  <si>
    <t>63-(101-戊类储藏)</t>
  </si>
  <si>
    <t>63--201</t>
  </si>
  <si>
    <t>63-0631</t>
  </si>
  <si>
    <t>63-0632</t>
  </si>
  <si>
    <t>63-102</t>
  </si>
  <si>
    <t>63-(102-戊类储藏)</t>
  </si>
  <si>
    <t>63--202</t>
  </si>
  <si>
    <t>63-0633</t>
  </si>
  <si>
    <t>63-0634</t>
  </si>
  <si>
    <t>63-103</t>
  </si>
  <si>
    <t>63-(103-戊类储藏)</t>
  </si>
  <si>
    <t>63--203</t>
  </si>
  <si>
    <t>63-0635</t>
  </si>
  <si>
    <t>63-0636</t>
  </si>
  <si>
    <t>63-104</t>
  </si>
  <si>
    <t>63-(104-戊类储藏)</t>
  </si>
  <si>
    <t>63--204</t>
  </si>
  <si>
    <t>63-0657</t>
  </si>
  <si>
    <t>63-0658</t>
  </si>
  <si>
    <t>63-105</t>
  </si>
  <si>
    <t>63-(105-戊类储藏)</t>
  </si>
  <si>
    <t>63--205</t>
  </si>
  <si>
    <t>63-0655</t>
  </si>
  <si>
    <t>63-0656</t>
  </si>
  <si>
    <t>63-106</t>
  </si>
  <si>
    <t>63-(106-戊类储藏)</t>
  </si>
  <si>
    <t>63--206</t>
  </si>
  <si>
    <t>63-0653</t>
  </si>
  <si>
    <t>63-0654</t>
  </si>
  <si>
    <t>64-101</t>
  </si>
  <si>
    <t>64-(101-戊类储藏)</t>
  </si>
  <si>
    <t>64--201</t>
  </si>
  <si>
    <t>64-0637</t>
  </si>
  <si>
    <t>64-0638</t>
  </si>
  <si>
    <t>64-102</t>
  </si>
  <si>
    <t>64--202</t>
  </si>
  <si>
    <t>64-0639</t>
  </si>
  <si>
    <t>64-0640</t>
  </si>
  <si>
    <t>64-103</t>
  </si>
  <si>
    <t>64-(103-戊类储藏)</t>
  </si>
  <si>
    <t>64--203</t>
  </si>
  <si>
    <t>64-0641</t>
  </si>
  <si>
    <t>64-0642</t>
  </si>
  <si>
    <t>64-104</t>
  </si>
  <si>
    <t>64-(104-戊类储藏)</t>
  </si>
  <si>
    <t>64--204</t>
  </si>
  <si>
    <t>64-0643</t>
  </si>
  <si>
    <t>64-0644</t>
  </si>
  <si>
    <t>64-105</t>
  </si>
  <si>
    <t>64-(105-戊类储藏)</t>
  </si>
  <si>
    <t>64--205</t>
  </si>
  <si>
    <t>64-0651</t>
  </si>
  <si>
    <t>64-0652</t>
  </si>
  <si>
    <t>64-106</t>
  </si>
  <si>
    <t>64-(106-戊类储藏)</t>
  </si>
  <si>
    <t>64--206</t>
  </si>
  <si>
    <t>64-0649</t>
  </si>
  <si>
    <t>64-0650</t>
  </si>
  <si>
    <t>64-107</t>
  </si>
  <si>
    <t>64-(107-戊类储藏)</t>
  </si>
  <si>
    <t>64--207</t>
  </si>
  <si>
    <t>64-0647</t>
  </si>
  <si>
    <t>64-0648</t>
  </si>
  <si>
    <t>64-108</t>
  </si>
  <si>
    <t>64-(108-戊类储藏)</t>
  </si>
  <si>
    <t>64--208</t>
  </si>
  <si>
    <t>64-0645</t>
  </si>
  <si>
    <t>64-0646</t>
  </si>
  <si>
    <t>65-103</t>
  </si>
  <si>
    <t>65-(103-戊类储藏)</t>
  </si>
  <si>
    <t>65--203</t>
  </si>
  <si>
    <t>65-0663</t>
  </si>
  <si>
    <t>65-0664</t>
  </si>
  <si>
    <t>66-103</t>
  </si>
  <si>
    <t>66-(103-戊类储藏)</t>
  </si>
  <si>
    <t>66--203</t>
  </si>
  <si>
    <t>66-0671</t>
  </si>
  <si>
    <t>66-0672</t>
  </si>
  <si>
    <t>68-101</t>
  </si>
  <si>
    <t>68-(101-戊类储藏)</t>
  </si>
  <si>
    <t>68--201</t>
  </si>
  <si>
    <t>68-0695</t>
  </si>
  <si>
    <t>68-0696</t>
  </si>
  <si>
    <t>68-102</t>
  </si>
  <si>
    <t>68-(102-戊类储藏)</t>
  </si>
  <si>
    <t>68--202</t>
  </si>
  <si>
    <t>68-0697</t>
  </si>
  <si>
    <t>68-0698</t>
  </si>
  <si>
    <t>68-103</t>
  </si>
  <si>
    <t>68-(103-戊类储藏)</t>
  </si>
  <si>
    <t>68--203</t>
  </si>
  <si>
    <t>68-0699</t>
  </si>
  <si>
    <t>68-0700</t>
  </si>
  <si>
    <t>68-104</t>
  </si>
  <si>
    <t>68-(104-戊类储藏)</t>
  </si>
  <si>
    <t>68--204</t>
  </si>
  <si>
    <t>68-0685</t>
  </si>
  <si>
    <t>68-0686</t>
  </si>
  <si>
    <t>68-105</t>
  </si>
  <si>
    <t>68-(105-戊类储藏)</t>
  </si>
  <si>
    <t>68--205</t>
  </si>
  <si>
    <t>68-0683</t>
  </si>
  <si>
    <t>68-0684</t>
  </si>
  <si>
    <t>68-106</t>
  </si>
  <si>
    <t>68-(106-戊类储藏)</t>
  </si>
  <si>
    <t>68--206</t>
  </si>
  <si>
    <t>68-0681</t>
  </si>
  <si>
    <t>68-0682</t>
  </si>
  <si>
    <t>69-101</t>
  </si>
  <si>
    <t>69-(101-戊类储藏)</t>
  </si>
  <si>
    <t>69--201</t>
  </si>
  <si>
    <t>69-0691</t>
  </si>
  <si>
    <t>69-0692</t>
  </si>
  <si>
    <t>69-102</t>
  </si>
  <si>
    <t>69-(102-戊类储藏)</t>
  </si>
  <si>
    <t>69--202</t>
  </si>
  <si>
    <t>69-0693</t>
  </si>
  <si>
    <t>69-0694</t>
  </si>
  <si>
    <t>69-103</t>
  </si>
  <si>
    <t>69-(103-戊类储藏)</t>
  </si>
  <si>
    <t>69--203</t>
  </si>
  <si>
    <t>69-0689</t>
  </si>
  <si>
    <t>69-0690</t>
  </si>
  <si>
    <t>69-104</t>
  </si>
  <si>
    <t>69-(104-戊类储藏)</t>
  </si>
  <si>
    <t>69--204</t>
  </si>
  <si>
    <t>69-0687</t>
  </si>
  <si>
    <t>69-0688</t>
  </si>
  <si>
    <t>70-101</t>
  </si>
  <si>
    <t>70-(101-戊类储藏)</t>
  </si>
  <si>
    <t>70--201</t>
  </si>
  <si>
    <t>70-0711</t>
  </si>
  <si>
    <t>70-0712</t>
  </si>
  <si>
    <t>70-102</t>
  </si>
  <si>
    <t>70-(102-戊类储藏)</t>
  </si>
  <si>
    <t>70--202</t>
  </si>
  <si>
    <t>70-0713</t>
  </si>
  <si>
    <t>70-0714</t>
  </si>
  <si>
    <t>70-103</t>
  </si>
  <si>
    <t>70-(103-戊类储藏)</t>
  </si>
  <si>
    <t>70--203</t>
  </si>
  <si>
    <t>70-0709</t>
  </si>
  <si>
    <t>70-0710</t>
  </si>
  <si>
    <t>70-104</t>
  </si>
  <si>
    <t>70-(104-戊类储藏)</t>
  </si>
  <si>
    <t>70--204</t>
  </si>
  <si>
    <t>70-0707</t>
  </si>
  <si>
    <t>70-0708</t>
  </si>
  <si>
    <t>71-101</t>
  </si>
  <si>
    <t>71-(101-戊类储藏)</t>
  </si>
  <si>
    <t>71--201</t>
  </si>
  <si>
    <t>71-0715</t>
  </si>
  <si>
    <t>71-0716</t>
  </si>
  <si>
    <t>71-102</t>
  </si>
  <si>
    <t>71-(102-戊类储藏)</t>
  </si>
  <si>
    <t>71--202</t>
  </si>
  <si>
    <t>71-0717</t>
  </si>
  <si>
    <t>71-0718</t>
  </si>
  <si>
    <t>71-103</t>
  </si>
  <si>
    <t>71-(103-戊类储藏)</t>
  </si>
  <si>
    <t>71--203</t>
  </si>
  <si>
    <t>71-0719</t>
  </si>
  <si>
    <t>71-0720</t>
  </si>
  <si>
    <t>71-104</t>
  </si>
  <si>
    <t>71-(104-戊类储藏)</t>
  </si>
  <si>
    <t>71--204</t>
  </si>
  <si>
    <t>71-0705</t>
  </si>
  <si>
    <t>71-0706</t>
  </si>
  <si>
    <t>71-105</t>
  </si>
  <si>
    <t>71-(105-戊类储藏)</t>
  </si>
  <si>
    <t>71--205</t>
  </si>
  <si>
    <t>71-0703</t>
  </si>
  <si>
    <t>71-0704</t>
  </si>
  <si>
    <t>71-106</t>
  </si>
  <si>
    <t>71-(106-戊类储藏)</t>
  </si>
  <si>
    <t>71--206</t>
  </si>
  <si>
    <t>71-0701</t>
  </si>
  <si>
    <t>71-0702</t>
  </si>
  <si>
    <t>72-101</t>
  </si>
  <si>
    <t>72-(101-戊类储藏)</t>
  </si>
  <si>
    <t>72--201</t>
  </si>
  <si>
    <t>72-0735</t>
  </si>
  <si>
    <t>72-0736</t>
  </si>
  <si>
    <t>72-102</t>
  </si>
  <si>
    <t>72-(102-戊类储藏)</t>
  </si>
  <si>
    <t>72--202</t>
  </si>
  <si>
    <t>72-0737</t>
  </si>
  <si>
    <t>72-0738</t>
  </si>
  <si>
    <t>72-103</t>
  </si>
  <si>
    <t>72-(103-戊类储藏)</t>
  </si>
  <si>
    <t>72--203</t>
  </si>
  <si>
    <t>72-0739</t>
  </si>
  <si>
    <t>72-0740</t>
  </si>
  <si>
    <t>72-104</t>
  </si>
  <si>
    <t>72-(104-戊类储藏)</t>
  </si>
  <si>
    <t>72--204</t>
  </si>
  <si>
    <t>72-0725</t>
  </si>
  <si>
    <t>72-0726</t>
  </si>
  <si>
    <t>72-105</t>
  </si>
  <si>
    <t>72-(105-戊类储藏)</t>
  </si>
  <si>
    <t>72--205</t>
  </si>
  <si>
    <t>72-0723</t>
  </si>
  <si>
    <t>72-0724</t>
  </si>
  <si>
    <t>72-106</t>
  </si>
  <si>
    <t>72-(106-戊类储藏)</t>
  </si>
  <si>
    <t>72--206</t>
  </si>
  <si>
    <t>72-0721</t>
  </si>
  <si>
    <t>72-0722</t>
  </si>
  <si>
    <t>73-101</t>
  </si>
  <si>
    <t>73-(101-戊类储藏)</t>
  </si>
  <si>
    <t>73--201</t>
  </si>
  <si>
    <t>73-0731</t>
  </si>
  <si>
    <t>73-0732</t>
  </si>
  <si>
    <t>73-102</t>
  </si>
  <si>
    <t>73-(102-戊类储藏)</t>
  </si>
  <si>
    <t>73--202</t>
  </si>
  <si>
    <t>73-0733</t>
  </si>
  <si>
    <t>73-0734</t>
  </si>
  <si>
    <t>73-103</t>
  </si>
  <si>
    <t>73-(103-戊类储藏)</t>
  </si>
  <si>
    <t>73--203</t>
  </si>
  <si>
    <t>73-0729</t>
  </si>
  <si>
    <t>73-0730</t>
  </si>
  <si>
    <t>73-104</t>
  </si>
  <si>
    <t>73-(104-戊类储藏)</t>
  </si>
  <si>
    <t>73--204</t>
  </si>
  <si>
    <t>73-0727</t>
  </si>
  <si>
    <t>73-0728</t>
  </si>
  <si>
    <t>74-101</t>
  </si>
  <si>
    <t>74-(101-戊类储藏)</t>
  </si>
  <si>
    <t>74--201</t>
  </si>
  <si>
    <t>74-0751</t>
  </si>
  <si>
    <t>74-0752</t>
  </si>
  <si>
    <t>74-102</t>
  </si>
  <si>
    <t>74-(102-戊类储藏)</t>
  </si>
  <si>
    <t>74--202</t>
  </si>
  <si>
    <t>74-0753</t>
  </si>
  <si>
    <t>74-0754</t>
  </si>
  <si>
    <t>74-103</t>
  </si>
  <si>
    <t>74-(103-戊类储藏)</t>
  </si>
  <si>
    <t>74--203</t>
  </si>
  <si>
    <t>74-0755</t>
  </si>
  <si>
    <t>74-0756</t>
  </si>
  <si>
    <t>74-104</t>
  </si>
  <si>
    <t>74-(104-戊类储藏)</t>
  </si>
  <si>
    <t>74--204</t>
  </si>
  <si>
    <t>74-0749</t>
  </si>
  <si>
    <t>74-0750</t>
  </si>
  <si>
    <t>74-105</t>
  </si>
  <si>
    <t>74-(105-戊类储藏)</t>
  </si>
  <si>
    <t>74--205</t>
  </si>
  <si>
    <t>74-0747</t>
  </si>
  <si>
    <t>74-0748</t>
  </si>
  <si>
    <t>74-106</t>
  </si>
  <si>
    <t>74-(106-戊类储藏)</t>
  </si>
  <si>
    <t>74--206</t>
  </si>
  <si>
    <t>74-0745</t>
  </si>
  <si>
    <t>74-0746</t>
  </si>
  <si>
    <t>75-101</t>
  </si>
  <si>
    <t>75-(101-戊类储藏)</t>
  </si>
  <si>
    <t>75--201</t>
  </si>
  <si>
    <t>75-0757</t>
  </si>
  <si>
    <t>75-0758</t>
  </si>
  <si>
    <t>75-102</t>
  </si>
  <si>
    <t>75-(102-戊类储藏)</t>
  </si>
  <si>
    <t>75--202</t>
  </si>
  <si>
    <t>75-0759</t>
  </si>
  <si>
    <t>75-0760</t>
  </si>
  <si>
    <t>75-103</t>
  </si>
  <si>
    <t>75-(103-戊类储藏)</t>
  </si>
  <si>
    <t>75--203</t>
  </si>
  <si>
    <t>75-0743</t>
  </si>
  <si>
    <t>75-0744</t>
  </si>
  <si>
    <t>75-104</t>
  </si>
  <si>
    <t>75-(104-戊类储藏)</t>
  </si>
  <si>
    <t>75--204</t>
  </si>
  <si>
    <t>75-0741</t>
  </si>
  <si>
    <t>75-0742</t>
  </si>
  <si>
    <t>76-101</t>
  </si>
  <si>
    <t>76-(101-戊类储藏)</t>
  </si>
  <si>
    <t>76--201</t>
  </si>
  <si>
    <t>76-0777</t>
  </si>
  <si>
    <t>76-0778</t>
  </si>
  <si>
    <t>76-102</t>
  </si>
  <si>
    <t>76-(102-戊类储藏)</t>
  </si>
  <si>
    <t>76--202</t>
  </si>
  <si>
    <t>76-0779</t>
  </si>
  <si>
    <t>76-0780</t>
  </si>
  <si>
    <t>76-103</t>
  </si>
  <si>
    <t>76-(103-戊类储藏)</t>
  </si>
  <si>
    <t>76--203</t>
  </si>
  <si>
    <t>0763</t>
  </si>
  <si>
    <t>0764</t>
  </si>
  <si>
    <t>76-104</t>
  </si>
  <si>
    <t>76-(104-戊类储藏)</t>
  </si>
  <si>
    <t>76--204</t>
  </si>
  <si>
    <t>76-0761</t>
  </si>
  <si>
    <t>76-0762</t>
  </si>
  <si>
    <t>77-102</t>
  </si>
  <si>
    <t>77-(102-戊类储藏)</t>
  </si>
  <si>
    <t>77--202</t>
  </si>
  <si>
    <t>77-0773</t>
  </si>
  <si>
    <t>77-0774</t>
  </si>
  <si>
    <t>77-106</t>
  </si>
  <si>
    <t>77-(106-戊类储藏)</t>
  </si>
  <si>
    <t>77--206</t>
  </si>
  <si>
    <t>77-0765</t>
  </si>
  <si>
    <t>77-0766</t>
  </si>
  <si>
    <t>78-101</t>
  </si>
  <si>
    <t>78-(101-戊类储藏)</t>
  </si>
  <si>
    <t>78--201</t>
  </si>
  <si>
    <t>78-0791</t>
  </si>
  <si>
    <t>78-0792</t>
  </si>
  <si>
    <t>78-102</t>
  </si>
  <si>
    <t>78-(102-戊类储藏)</t>
  </si>
  <si>
    <t>78--202</t>
  </si>
  <si>
    <t>78-0793</t>
  </si>
  <si>
    <t>78-0794</t>
  </si>
  <si>
    <t>78-103</t>
  </si>
  <si>
    <t>78-(103-戊类储藏)</t>
  </si>
  <si>
    <t>78--203</t>
  </si>
  <si>
    <t>78-0789</t>
  </si>
  <si>
    <t>78-0790</t>
  </si>
  <si>
    <t>78-104</t>
  </si>
  <si>
    <t>78-(104-戊类储藏)</t>
  </si>
  <si>
    <t>78--204</t>
  </si>
  <si>
    <t>78-0787</t>
  </si>
  <si>
    <t>78-0788</t>
  </si>
  <si>
    <t>79-101</t>
  </si>
  <si>
    <t>79-(101-戊类储藏)</t>
  </si>
  <si>
    <t>79--201</t>
  </si>
  <si>
    <t>79-0795</t>
  </si>
  <si>
    <t>79-0796</t>
  </si>
  <si>
    <t>79-102</t>
  </si>
  <si>
    <t>79-(102-戊类储藏)</t>
  </si>
  <si>
    <t>79--202</t>
  </si>
  <si>
    <t>79-0797</t>
  </si>
  <si>
    <t>79-0798</t>
  </si>
  <si>
    <t>79-103</t>
  </si>
  <si>
    <t>79-(103-戊类储藏)</t>
  </si>
  <si>
    <t>79--203</t>
  </si>
  <si>
    <t>79-0799</t>
  </si>
  <si>
    <t>79-0800</t>
  </si>
  <si>
    <t>79-104</t>
  </si>
  <si>
    <t>79-(104-戊类储藏)</t>
  </si>
  <si>
    <t>79--204</t>
  </si>
  <si>
    <t>79-0785</t>
  </si>
  <si>
    <t>79-0786</t>
  </si>
  <si>
    <t>79-105</t>
  </si>
  <si>
    <t>79-(105-戊类储藏)</t>
  </si>
  <si>
    <t>79--205</t>
  </si>
  <si>
    <t>79-0783</t>
  </si>
  <si>
    <t>79-0784</t>
  </si>
  <si>
    <t>79-106</t>
  </si>
  <si>
    <t>79-(106-戊类储藏)</t>
  </si>
  <si>
    <t>79--206</t>
  </si>
  <si>
    <t>79-0781</t>
  </si>
  <si>
    <t>79-0782</t>
  </si>
  <si>
    <t>80-101</t>
  </si>
  <si>
    <t>80-(101-戊类储藏)</t>
  </si>
  <si>
    <t>80--201</t>
  </si>
  <si>
    <t>80-0815</t>
  </si>
  <si>
    <t>80-0816</t>
  </si>
  <si>
    <t>80-102</t>
  </si>
  <si>
    <t>80-(102-戊类储藏)</t>
  </si>
  <si>
    <t>80--202</t>
  </si>
  <si>
    <t>80-0817</t>
  </si>
  <si>
    <t>80-0818</t>
  </si>
  <si>
    <t>80-103</t>
  </si>
  <si>
    <t>80-(103-戊类储藏)</t>
  </si>
  <si>
    <t>80--203</t>
  </si>
  <si>
    <t>80-0819</t>
  </si>
  <si>
    <t>80-0820</t>
  </si>
  <si>
    <t>80-104</t>
  </si>
  <si>
    <t>80-(104-戊类储藏)</t>
  </si>
  <si>
    <t>80--204</t>
  </si>
  <si>
    <t>80-0805</t>
  </si>
  <si>
    <t>80-0806</t>
  </si>
  <si>
    <t>80-105</t>
  </si>
  <si>
    <t>80-(105-戊类储藏)</t>
  </si>
  <si>
    <t>80--205</t>
  </si>
  <si>
    <t>80-0803</t>
  </si>
  <si>
    <t>80-0804</t>
  </si>
  <si>
    <t>80-106</t>
  </si>
  <si>
    <t>80-(106-戊类储藏)</t>
  </si>
  <si>
    <t>80--206</t>
  </si>
  <si>
    <t>80-0801</t>
  </si>
  <si>
    <t>80-0802</t>
  </si>
  <si>
    <t>81-101</t>
  </si>
  <si>
    <t>81-(101-戊类储藏)</t>
  </si>
  <si>
    <t>81--201</t>
  </si>
  <si>
    <t>81-0811</t>
  </si>
  <si>
    <t>81-0812</t>
  </si>
  <si>
    <t>81-102</t>
  </si>
  <si>
    <t>81-(102-戊类储藏)</t>
  </si>
  <si>
    <t>81--202</t>
  </si>
  <si>
    <t>81-0813</t>
  </si>
  <si>
    <t>81-0814</t>
  </si>
  <si>
    <t>81-104</t>
  </si>
  <si>
    <t>81-(104-戊类储藏)</t>
  </si>
  <si>
    <t>81--204</t>
  </si>
  <si>
    <t>81-0807</t>
  </si>
  <si>
    <t>81-0808</t>
  </si>
  <si>
    <t>82-101</t>
  </si>
  <si>
    <t>82-(101-戊类储藏)</t>
  </si>
  <si>
    <t>82--201</t>
  </si>
  <si>
    <t>82-0831</t>
  </si>
  <si>
    <t>82-0832</t>
  </si>
  <si>
    <t>82-102</t>
  </si>
  <si>
    <t>82-(102-戊类储藏)</t>
  </si>
  <si>
    <t>82--202</t>
  </si>
  <si>
    <t>82-0833</t>
  </si>
  <si>
    <t>82-0834</t>
  </si>
  <si>
    <t>82-103</t>
  </si>
  <si>
    <t>82-(103-戊类储藏)</t>
  </si>
  <si>
    <t>82--203</t>
  </si>
  <si>
    <t>82-0829</t>
  </si>
  <si>
    <t>82-0830</t>
  </si>
  <si>
    <t>车库</t>
    <phoneticPr fontId="143" type="noConversion"/>
  </si>
  <si>
    <t>82-104</t>
  </si>
  <si>
    <t>住宅</t>
    <phoneticPr fontId="143" type="noConversion"/>
  </si>
  <si>
    <t>82-(104-戊类储藏)</t>
  </si>
  <si>
    <t>82--204</t>
  </si>
  <si>
    <t>仓储</t>
    <phoneticPr fontId="143" type="noConversion"/>
  </si>
  <si>
    <t>82-0827</t>
  </si>
  <si>
    <t>82-0828</t>
  </si>
  <si>
    <t>83-101</t>
  </si>
  <si>
    <t>83-(101-戊类储藏)</t>
  </si>
  <si>
    <t>83--201</t>
  </si>
  <si>
    <t>83-0835</t>
  </si>
  <si>
    <t>83-0836</t>
  </si>
  <si>
    <t>83-102</t>
  </si>
  <si>
    <t>83-(102-戊类储藏)</t>
  </si>
  <si>
    <t>83--202</t>
  </si>
  <si>
    <t>83-0837</t>
  </si>
  <si>
    <t>83-0838</t>
  </si>
  <si>
    <t>83-103</t>
  </si>
  <si>
    <t>83-(103-戊类储藏)</t>
  </si>
  <si>
    <t>83--203</t>
  </si>
  <si>
    <t>83-0839</t>
  </si>
  <si>
    <t>83-0840</t>
  </si>
  <si>
    <t>83-104</t>
  </si>
  <si>
    <t>83-(104-戊类储藏)</t>
  </si>
  <si>
    <t>83--204</t>
  </si>
  <si>
    <t>83-0825</t>
  </si>
  <si>
    <t>83-0826</t>
  </si>
  <si>
    <t>83-105</t>
  </si>
  <si>
    <t>83-(105-戊类储藏)</t>
  </si>
  <si>
    <t>83--205</t>
  </si>
  <si>
    <t>83-0823</t>
  </si>
  <si>
    <t>83-0824</t>
  </si>
  <si>
    <t>83-106</t>
  </si>
  <si>
    <t>83-(106-戊类储藏)</t>
  </si>
  <si>
    <t>83--206</t>
  </si>
  <si>
    <t>83-0821</t>
  </si>
  <si>
    <t>83-0822</t>
  </si>
  <si>
    <t>用途</t>
    <phoneticPr fontId="143" type="noConversion"/>
  </si>
  <si>
    <t>建筑面积</t>
    <phoneticPr fontId="143" type="noConversion"/>
  </si>
  <si>
    <t>套/个</t>
    <phoneticPr fontId="143" type="noConversion"/>
  </si>
  <si>
    <t>低密度配套仓储</t>
    <phoneticPr fontId="143" type="noConversion"/>
  </si>
  <si>
    <t>地库</t>
    <phoneticPr fontId="143" type="noConversion"/>
  </si>
  <si>
    <t>合计</t>
    <phoneticPr fontId="143" type="noConversion"/>
  </si>
  <si>
    <t>序号</t>
  </si>
  <si>
    <t>楼栋</t>
  </si>
  <si>
    <t>单元</t>
  </si>
  <si>
    <t>房号</t>
  </si>
  <si>
    <t>未售</t>
    <phoneticPr fontId="143" type="noConversion"/>
  </si>
  <si>
    <t>已售2单元101、102</t>
    <phoneticPr fontId="143" type="noConversion"/>
  </si>
  <si>
    <t>住宅</t>
    <phoneticPr fontId="143" type="noConversion"/>
  </si>
  <si>
    <t>仓储</t>
    <phoneticPr fontId="143" type="noConversion"/>
  </si>
  <si>
    <t>未售</t>
    <phoneticPr fontId="143" type="noConversion"/>
  </si>
  <si>
    <t>已售1单元101、102</t>
    <phoneticPr fontId="143" type="noConversion"/>
  </si>
  <si>
    <t>仓储</t>
    <phoneticPr fontId="143" type="noConversion"/>
  </si>
  <si>
    <t>住宅</t>
    <phoneticPr fontId="143" type="noConversion"/>
  </si>
  <si>
    <t>是</t>
  </si>
  <si>
    <t>合院</t>
    <phoneticPr fontId="3" type="noConversion"/>
  </si>
  <si>
    <t>自持住宅</t>
    <phoneticPr fontId="3" type="noConversion"/>
  </si>
  <si>
    <t>郑燚</t>
  </si>
  <si>
    <t>崔锴</t>
  </si>
  <si>
    <t>北京万龙华开房地产开发有限公司</t>
    <phoneticPr fontId="6" type="noConversion"/>
  </si>
  <si>
    <t>抵押</t>
  </si>
  <si>
    <t>已注销</t>
  </si>
  <si>
    <t>房地产抵押价值</t>
  </si>
  <si>
    <t>北京市</t>
  </si>
  <si>
    <r>
      <t>8</t>
    </r>
    <r>
      <rPr>
        <sz val="11"/>
        <color theme="1"/>
        <rFont val="宋体"/>
        <family val="3"/>
        <charset val="134"/>
        <scheme val="minor"/>
      </rPr>
      <t>7号楼</t>
    </r>
    <phoneticPr fontId="143" type="noConversion"/>
  </si>
  <si>
    <t>本楼1单元201-701、202-702、2单元201-701、202-702为自持住宅</t>
    <phoneticPr fontId="143" type="noConversion"/>
  </si>
  <si>
    <t>本楼1单元201-801、202-802、2单元201-801、202-802、3单元201-801、202-802为自持住宅</t>
    <phoneticPr fontId="143" type="noConversion"/>
  </si>
  <si>
    <t>洋房独立仓储</t>
    <phoneticPr fontId="143" type="noConversion"/>
  </si>
  <si>
    <t>合计</t>
    <phoneticPr fontId="143" type="noConversion"/>
  </si>
  <si>
    <r>
      <t>8</t>
    </r>
    <r>
      <rPr>
        <sz val="11"/>
        <color theme="1"/>
        <rFont val="宋体"/>
        <family val="3"/>
        <charset val="134"/>
        <scheme val="minor"/>
      </rPr>
      <t>4号楼</t>
    </r>
    <phoneticPr fontId="143" type="noConversion"/>
  </si>
  <si>
    <t>楼号</t>
    <phoneticPr fontId="143" type="noConversion"/>
  </si>
  <si>
    <t>面积</t>
    <phoneticPr fontId="143" type="noConversion"/>
  </si>
  <si>
    <t>85号住宅楼</t>
    <phoneticPr fontId="143" type="noConversion"/>
  </si>
  <si>
    <t>套数</t>
    <phoneticPr fontId="143" type="noConversion"/>
  </si>
  <si>
    <t>84、86-91号楼共计209套全部独立仓储用房</t>
    <phoneticPr fontId="143" type="noConversion"/>
  </si>
  <si>
    <r>
      <t>本楼1单元</t>
    </r>
    <r>
      <rPr>
        <sz val="11"/>
        <color theme="1"/>
        <rFont val="宋体"/>
        <family val="3"/>
        <charset val="134"/>
        <scheme val="minor"/>
      </rPr>
      <t>601-701、602-702、2单元601-701、502-702为自持住宅</t>
    </r>
    <phoneticPr fontId="143" type="noConversion"/>
  </si>
  <si>
    <r>
      <t>8</t>
    </r>
    <r>
      <rPr>
        <sz val="11"/>
        <color theme="1"/>
        <rFont val="宋体"/>
        <family val="3"/>
        <charset val="134"/>
        <scheme val="minor"/>
      </rPr>
      <t>6号楼</t>
    </r>
    <phoneticPr fontId="143" type="noConversion"/>
  </si>
  <si>
    <r>
      <t>8</t>
    </r>
    <r>
      <rPr>
        <sz val="11"/>
        <color theme="1"/>
        <rFont val="宋体"/>
        <family val="3"/>
        <charset val="134"/>
        <scheme val="minor"/>
      </rPr>
      <t>8号楼</t>
    </r>
    <phoneticPr fontId="143" type="noConversion"/>
  </si>
  <si>
    <r>
      <t>8</t>
    </r>
    <r>
      <rPr>
        <sz val="11"/>
        <color theme="1"/>
        <rFont val="宋体"/>
        <family val="3"/>
        <charset val="134"/>
        <scheme val="minor"/>
      </rPr>
      <t>9号楼</t>
    </r>
    <phoneticPr fontId="143" type="noConversion"/>
  </si>
  <si>
    <r>
      <t>9</t>
    </r>
    <r>
      <rPr>
        <sz val="11"/>
        <color theme="1"/>
        <rFont val="宋体"/>
        <family val="3"/>
        <charset val="134"/>
        <scheme val="minor"/>
      </rPr>
      <t>1号楼</t>
    </r>
    <phoneticPr fontId="143" type="noConversion"/>
  </si>
  <si>
    <t>本楼1单元201-801、202-802、2单元101-801、102-802为自持住宅</t>
    <phoneticPr fontId="143" type="noConversion"/>
  </si>
  <si>
    <t>84、86-91号楼共计173套全部自持住宅用房</t>
    <phoneticPr fontId="143" type="noConversion"/>
  </si>
  <si>
    <t>本楼1单元201-801、202-802、2单元201-801、202-802为自持住宅</t>
    <phoneticPr fontId="143" type="noConversion"/>
  </si>
  <si>
    <t>企业</t>
  </si>
  <si>
    <t>出让</t>
  </si>
  <si>
    <t>《房屋所有权证》[京（2018）顺不动产权第0000042、0000043号]、</t>
    <phoneticPr fontId="6" type="noConversion"/>
  </si>
  <si>
    <r>
      <rPr>
        <sz val="12"/>
        <rFont val="宋体"/>
        <family val="3"/>
        <charset val="134"/>
      </rPr>
      <t>剩余土地年限</t>
    </r>
    <phoneticPr fontId="6" type="noConversion"/>
  </si>
  <si>
    <r>
      <rPr>
        <sz val="12"/>
        <rFont val="宋体"/>
        <family val="3"/>
        <charset val="134"/>
      </rPr>
      <t>建筑面积</t>
    </r>
    <phoneticPr fontId="85" type="noConversion"/>
  </si>
  <si>
    <r>
      <rPr>
        <sz val="12"/>
        <rFont val="宋体"/>
        <family val="3"/>
        <charset val="134"/>
      </rPr>
      <t>面积依据</t>
    </r>
    <phoneticPr fontId="85" type="noConversion"/>
  </si>
  <si>
    <r>
      <rPr>
        <sz val="12"/>
        <rFont val="宋体"/>
        <family val="3"/>
        <charset val="134"/>
      </rPr>
      <t>《房屋面积测算技术报告书》</t>
    </r>
    <r>
      <rPr>
        <sz val="12"/>
        <rFont val="Arial"/>
        <family val="2"/>
      </rPr>
      <t>[</t>
    </r>
    <r>
      <rPr>
        <sz val="12"/>
        <rFont val="宋体"/>
        <family val="3"/>
        <charset val="134"/>
      </rPr>
      <t>共</t>
    </r>
    <r>
      <rPr>
        <sz val="12"/>
        <rFont val="Arial"/>
        <family val="2"/>
      </rPr>
      <t>92</t>
    </r>
    <r>
      <rPr>
        <sz val="12"/>
        <rFont val="宋体"/>
        <family val="3"/>
        <charset val="134"/>
      </rPr>
      <t>本</t>
    </r>
    <r>
      <rPr>
        <sz val="12"/>
        <rFont val="Arial"/>
        <family val="2"/>
      </rPr>
      <t>]</t>
    </r>
    <phoneticPr fontId="6" type="noConversion"/>
  </si>
  <si>
    <r>
      <rPr>
        <sz val="12"/>
        <rFont val="宋体"/>
        <family val="3"/>
        <charset val="134"/>
      </rPr>
      <t>土地面积</t>
    </r>
    <phoneticPr fontId="85" type="noConversion"/>
  </si>
  <si>
    <t>否</t>
  </si>
  <si>
    <t>居住项目</t>
  </si>
  <si>
    <t>低密度住宅</t>
  </si>
  <si>
    <t>含保障性住房</t>
  </si>
  <si>
    <t>在建</t>
  </si>
  <si>
    <t>通路</t>
  </si>
  <si>
    <t>通电</t>
  </si>
  <si>
    <t>通讯</t>
  </si>
  <si>
    <t>通上水</t>
  </si>
  <si>
    <t>通下水</t>
  </si>
  <si>
    <t>通热</t>
  </si>
  <si>
    <t>燃气</t>
  </si>
  <si>
    <t>自持住宅</t>
    <phoneticPr fontId="6" type="noConversion"/>
  </si>
  <si>
    <t>Ⅷ-顺3</t>
  </si>
  <si>
    <t>合院</t>
  </si>
  <si>
    <t>洋房</t>
  </si>
  <si>
    <t>底商</t>
  </si>
  <si>
    <t>仓储</t>
  </si>
  <si>
    <t>低密度配仓储</t>
  </si>
  <si>
    <t>低密度配仓储</t>
    <phoneticPr fontId="16" type="noConversion"/>
  </si>
  <si>
    <t>洋房配仓储</t>
  </si>
  <si>
    <t>洋房配仓储</t>
    <phoneticPr fontId="16" type="noConversion"/>
  </si>
  <si>
    <t>独立仓储</t>
  </si>
  <si>
    <t>独立仓储</t>
    <phoneticPr fontId="16" type="noConversion"/>
  </si>
  <si>
    <t>户数</t>
    <phoneticPr fontId="253" type="noConversion"/>
  </si>
  <si>
    <t>房号</t>
    <phoneticPr fontId="253" type="noConversion"/>
  </si>
  <si>
    <t>住宅</t>
    <phoneticPr fontId="253" type="noConversion"/>
  </si>
  <si>
    <t>仓储</t>
    <phoneticPr fontId="253" type="noConversion"/>
  </si>
  <si>
    <t>车库</t>
    <phoneticPr fontId="253" type="noConversion"/>
  </si>
  <si>
    <t>合计</t>
    <phoneticPr fontId="253" type="noConversion"/>
  </si>
  <si>
    <t>地上</t>
    <phoneticPr fontId="253" type="noConversion"/>
  </si>
  <si>
    <t>地下</t>
    <phoneticPr fontId="253" type="noConversion"/>
  </si>
  <si>
    <t>合计</t>
    <phoneticPr fontId="253" type="noConversion"/>
  </si>
  <si>
    <t>67-101</t>
    <phoneticPr fontId="143" type="noConversion"/>
  </si>
  <si>
    <t>67-(101-戊类储藏)</t>
    <phoneticPr fontId="143" type="noConversion"/>
  </si>
  <si>
    <t>67--201</t>
    <phoneticPr fontId="143" type="noConversion"/>
  </si>
  <si>
    <t>67-102</t>
    <phoneticPr fontId="143" type="noConversion"/>
  </si>
  <si>
    <t>67-(102-戊类储藏)</t>
    <phoneticPr fontId="143" type="noConversion"/>
  </si>
  <si>
    <t>67--202</t>
    <phoneticPr fontId="143" type="noConversion"/>
  </si>
  <si>
    <t>67-103</t>
    <phoneticPr fontId="143" type="noConversion"/>
  </si>
  <si>
    <t>67--203</t>
    <phoneticPr fontId="143" type="noConversion"/>
  </si>
  <si>
    <t>合计</t>
    <phoneticPr fontId="143" type="noConversion"/>
  </si>
  <si>
    <t>低密度住宅</t>
    <phoneticPr fontId="7" type="noConversion"/>
  </si>
  <si>
    <t>低密度地下配套库房</t>
    <phoneticPr fontId="7" type="noConversion"/>
  </si>
  <si>
    <t>封顶</t>
    <phoneticPr fontId="143" type="noConversion"/>
  </si>
  <si>
    <t>地上4层</t>
    <phoneticPr fontId="143" type="noConversion"/>
  </si>
  <si>
    <t>地上5层</t>
  </si>
  <si>
    <t>地上4层</t>
    <phoneticPr fontId="143" type="noConversion"/>
  </si>
  <si>
    <t>地上6层</t>
    <phoneticPr fontId="143" type="noConversion"/>
  </si>
  <si>
    <t>地上2层</t>
    <phoneticPr fontId="143" type="noConversion"/>
  </si>
  <si>
    <t>地上2层</t>
    <phoneticPr fontId="143" type="noConversion"/>
  </si>
  <si>
    <t>未建</t>
    <phoneticPr fontId="143" type="noConversion"/>
  </si>
  <si>
    <t>成本法</t>
  </si>
  <si>
    <t>假设开发法</t>
  </si>
  <si>
    <t>已包含在土地取得成本中</t>
  </si>
  <si>
    <t>低密度地下配套库房</t>
  </si>
  <si>
    <t>在建（套用方法）</t>
  </si>
  <si>
    <t>押一</t>
  </si>
  <si>
    <t>按租金收入计税</t>
  </si>
  <si>
    <t>钢混</t>
  </si>
  <si>
    <t>非生产用房</t>
  </si>
  <si>
    <t>收益法（自持住宅）</t>
  </si>
  <si>
    <t>收益法（自持住宅）</t>
    <phoneticPr fontId="16" type="noConversion"/>
  </si>
  <si>
    <t>收益法（商业）</t>
  </si>
  <si>
    <t>收益法（商业）</t>
    <phoneticPr fontId="3" type="noConversion"/>
  </si>
  <si>
    <t>收益法（仓储）</t>
  </si>
  <si>
    <t>备案价</t>
    <phoneticPr fontId="143" type="noConversion"/>
  </si>
  <si>
    <t>备案面积</t>
    <phoneticPr fontId="143" type="noConversion"/>
  </si>
  <si>
    <t>套/个</t>
    <phoneticPr fontId="143" type="noConversion"/>
  </si>
  <si>
    <t>备案均价</t>
    <phoneticPr fontId="143" type="noConversion"/>
  </si>
  <si>
    <t>备案总价</t>
    <phoneticPr fontId="143" type="noConversion"/>
  </si>
  <si>
    <t>——</t>
    <phoneticPr fontId="143" type="noConversion"/>
  </si>
  <si>
    <t>售价</t>
  </si>
  <si>
    <t>收益法（车库）</t>
  </si>
  <si>
    <t>收益法（车库）</t>
    <phoneticPr fontId="3" type="noConversion"/>
  </si>
  <si>
    <t>自定义</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</si>
  <si>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</si>
  <si>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</si>
  <si>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</si>
  <si>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</si>
  <si>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</si>
  <si>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</si>
  <si>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</si>
  <si>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</si>
  <si>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</si>
  <si>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</si>
  <si>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</si>
  <si>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</si>
  <si>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</si>
  <si>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</si>
  <si>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北京市顺义区北小营镇顺义新城第30街区30-01-02地块R2二类居住用地、30-01-04地块A33基础教育用地</t>
  </si>
  <si>
    <t>综合用地(含住宅)</t>
  </si>
  <si>
    <t>r2≤2,a33≤0.8</t>
  </si>
  <si>
    <t>挂牌</t>
  </si>
  <si>
    <t>2019-08-29</t>
  </si>
  <si>
    <t>天津北方彤茂企业管理有限公司和北京城建投资发展股份有限公司联合体</t>
  </si>
  <si>
    <t>2星</t>
  </si>
  <si>
    <t>北京市顺义区高丽营镇SY02-0102-6001、SY02-0102-6002地块R2二类居住用地</t>
  </si>
  <si>
    <t>住宅用地</t>
  </si>
  <si>
    <t>≤1.5</t>
  </si>
  <si>
    <t>2019-06-27</t>
  </si>
  <si>
    <t>北京首都开发股份有限公司和富力瑞康有限公司联合体</t>
  </si>
  <si>
    <t>北京市顺义区顺义新城牛栏山组团一级开发项目17-11-07地块(南侧)R2二类居住用地</t>
  </si>
  <si>
    <t>2018-12-11</t>
  </si>
  <si>
    <t>北京拓景商务服务有限公司</t>
  </si>
  <si>
    <t>3星</t>
  </si>
  <si>
    <t>北京尚恒睿信商业运营管理有限公司、北京联华基业房地产开发有限公司、北京炎焱燚商业管理有限公司和北京首都开发股份有限公司联合体</t>
  </si>
  <si>
    <t>北京市顺义区顺义新城第13街区SY00-0013-6008、SY00-0013-6009地块R2二类居住用地、A33基础教育用地</t>
  </si>
  <si>
    <t>2018-12-04</t>
  </si>
  <si>
    <t>北京润置商业运营管理有限公司</t>
  </si>
  <si>
    <t>北京市顺义区顺义新城第13街区SY00-0013-6022等地块R2二类居住用地、A61机构养老用地、A33基础教育用地</t>
  </si>
  <si>
    <t>北京新城金郡房地产开发有限公司</t>
  </si>
  <si>
    <t>4星</t>
  </si>
  <si>
    <t>北京市顺义区顺义新城第13街区SY00-0013-6010地块R2二类居住用地</t>
  </si>
  <si>
    <t>2018-11-26</t>
  </si>
  <si>
    <t>北京恒意房地产开发有限公司</t>
  </si>
  <si>
    <t>深圳市威卓投资咨询有限公司和北京首都开发股份有限公司联合体</t>
  </si>
  <si>
    <t>北京市顺义区后沙峪镇SY00-0019-6014地块R2二类居住用地、SY00-0019-6013地块A33基础教育用地</t>
  </si>
  <si>
    <t>中建一局集团建设发展有限公司</t>
  </si>
  <si>
    <t>5星</t>
  </si>
  <si>
    <t>2018-07-04</t>
  </si>
  <si>
    <t>北京建工地产有限责任公司</t>
  </si>
  <si>
    <t>北京市顺义区后沙峪镇21-18-001e地块R2二类居住用地、21-18-002地块A33基础教育用地</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</si>
  <si>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</si>
  <si>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</si>
  <si>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</si>
  <si>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</si>
  <si>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</si>
  <si>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</si>
  <si>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</si>
  <si>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</si>
  <si>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</si>
  <si>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</si>
  <si>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</si>
  <si>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</si>
  <si>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</si>
  <si>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</si>
  <si>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</si>
  <si>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</si>
  <si>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</si>
  <si>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</si>
  <si>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</si>
  <si>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计算容积率</t>
    <phoneticPr fontId="143" type="noConversion"/>
  </si>
  <si>
    <t>应按照30%的比例配套建设保障性住房或“两限”商品住房，具体配建比例由建设行政主管部门确定，两限商品住房套型面积应小于90平方米，配套建设的保障性住房和“两限”商品住房应在普通商品住房完成总规模的80%之前竣工验收。</t>
    <phoneticPr fontId="143" type="noConversion"/>
  </si>
  <si>
    <t>限价55711</t>
    <phoneticPr fontId="143" type="noConversion"/>
  </si>
  <si>
    <t>限价55583</t>
    <phoneticPr fontId="143" type="noConversion"/>
  </si>
  <si>
    <t>限价55583</t>
    <phoneticPr fontId="143" type="noConversion"/>
  </si>
  <si>
    <t>限价60508</t>
    <phoneticPr fontId="143" type="noConversion"/>
  </si>
  <si>
    <t>综合用地（含住宅）</t>
  </si>
  <si>
    <t>综合用地（含住宅）</t>
    <phoneticPr fontId="31" type="noConversion"/>
  </si>
  <si>
    <t>否</t>
    <phoneticPr fontId="3" type="noConversion"/>
  </si>
  <si>
    <t>是</t>
    <phoneticPr fontId="3" type="noConversion"/>
  </si>
  <si>
    <t>自持</t>
    <phoneticPr fontId="31" type="noConversion"/>
  </si>
  <si>
    <t>城市高速路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</si>
  <si>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</si>
  <si>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</si>
  <si>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</si>
  <si>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</si>
  <si>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规则</t>
    <phoneticPr fontId="3" type="noConversion"/>
  </si>
  <si>
    <t>较规则</t>
    <phoneticPr fontId="3" type="noConversion"/>
  </si>
  <si>
    <t>较不规则</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</si>
  <si>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</si>
  <si>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</si>
  <si>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</si>
  <si>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</si>
  <si>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</si>
  <si>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</si>
  <si>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临三通</t>
    <phoneticPr fontId="3" type="noConversion"/>
  </si>
  <si>
    <t>良好</t>
    <phoneticPr fontId="3" type="noConversion"/>
  </si>
  <si>
    <t>一般</t>
    <phoneticPr fontId="3" type="noConversion"/>
  </si>
  <si>
    <t>正常</t>
  </si>
  <si>
    <r>
      <rPr>
        <sz val="11"/>
        <color indexed="8"/>
        <rFont val="宋体"/>
        <family val="3"/>
        <charset val="134"/>
      </rPr>
      <t>住宅</t>
    </r>
    <r>
      <rPr>
        <sz val="11"/>
        <color indexed="8"/>
        <rFont val="Arial"/>
        <family val="2"/>
      </rPr>
      <t>70</t>
    </r>
    <r>
      <rPr>
        <sz val="11"/>
        <color indexed="8"/>
        <rFont val="宋体"/>
        <family val="3"/>
        <charset val="134"/>
      </rPr>
      <t>年</t>
    </r>
    <phoneticPr fontId="31" type="noConversion"/>
  </si>
  <si>
    <t>否</t>
    <phoneticPr fontId="31" type="noConversion"/>
  </si>
  <si>
    <t>是</t>
    <phoneticPr fontId="31" type="noConversion"/>
  </si>
  <si>
    <t>北京市顺义区后沙峪镇马头庄村SY00-0019-6007地块R2二类居住用地</t>
    <phoneticPr fontId="143" type="noConversion"/>
  </si>
  <si>
    <t>较差</t>
    <phoneticPr fontId="3" type="noConversion"/>
  </si>
  <si>
    <t>较好</t>
  </si>
  <si>
    <t>较好</t>
    <phoneticPr fontId="25" type="noConversion"/>
  </si>
  <si>
    <t>多面临街</t>
  </si>
  <si>
    <t>一般</t>
  </si>
  <si>
    <t>单面临街</t>
  </si>
  <si>
    <t>城市支路</t>
  </si>
  <si>
    <t>较差</t>
  </si>
  <si>
    <t>七通</t>
  </si>
  <si>
    <t>规则</t>
  </si>
  <si>
    <t>较规则</t>
  </si>
  <si>
    <t>较不规则</t>
  </si>
  <si>
    <r>
      <rPr>
        <b/>
        <sz val="11"/>
        <rFont val="宋体"/>
        <family val="3"/>
        <charset val="134"/>
      </rPr>
      <t>估价对象住宅用地</t>
    </r>
    <r>
      <rPr>
        <b/>
        <sz val="11"/>
        <rFont val="宋体"/>
        <family val="3"/>
        <charset val="134"/>
      </rPr>
      <t>比较价值（楼面单价，元</t>
    </r>
    <r>
      <rPr>
        <b/>
        <sz val="11"/>
        <rFont val="Arial"/>
        <family val="2"/>
      </rPr>
      <t>/</t>
    </r>
    <r>
      <rPr>
        <b/>
        <sz val="11"/>
        <rFont val="宋体"/>
        <family val="3"/>
        <charset val="134"/>
      </rPr>
      <t>平方米）</t>
    </r>
    <phoneticPr fontId="3" type="noConversion"/>
  </si>
  <si>
    <t>临三通</t>
  </si>
  <si>
    <t>六通</t>
  </si>
  <si>
    <t>良好</t>
  </si>
  <si>
    <t>时间</t>
  </si>
  <si>
    <t>楼栋号</t>
  </si>
  <si>
    <t>单元号</t>
  </si>
  <si>
    <t>房间号</t>
  </si>
  <si>
    <t>许可证号</t>
  </si>
  <si>
    <t>物业类型</t>
  </si>
  <si>
    <t>户型</t>
  </si>
  <si>
    <t>成交面积(㎡)</t>
  </si>
  <si>
    <t>成交金额(万元)</t>
  </si>
  <si>
    <t>成交单价(元/㎡)</t>
  </si>
  <si>
    <t>地下汽车库</t>
  </si>
  <si>
    <t>京房售证字(2019)165号</t>
  </si>
  <si>
    <t>建邦·顺颐府</t>
    <phoneticPr fontId="143" type="noConversion"/>
  </si>
  <si>
    <t>2#地下汽车库</t>
  </si>
  <si>
    <t>京房售证字(2019)112号</t>
  </si>
  <si>
    <t>诺德阅墅</t>
    <phoneticPr fontId="143" type="noConversion"/>
  </si>
  <si>
    <t>限价62102</t>
    <phoneticPr fontId="143" type="noConversion"/>
  </si>
  <si>
    <t>限价62102</t>
    <phoneticPr fontId="143" type="noConversion"/>
  </si>
  <si>
    <t>公园十七区</t>
  </si>
  <si>
    <t>限价55583</t>
    <phoneticPr fontId="143" type="noConversion"/>
  </si>
  <si>
    <t>洋房</t>
    <phoneticPr fontId="143" type="noConversion"/>
  </si>
  <si>
    <t>融尚未来</t>
    <phoneticPr fontId="143" type="noConversion"/>
  </si>
  <si>
    <t>均价59000</t>
    <phoneticPr fontId="143" type="noConversion"/>
  </si>
  <si>
    <t>62-D1#地下车库</t>
  </si>
  <si>
    <t>京房售证字(2018)4号</t>
  </si>
  <si>
    <t>1幢</t>
  </si>
  <si>
    <t>现：X京房权证昌字第581109号</t>
  </si>
  <si>
    <t>京基鹭府</t>
    <phoneticPr fontId="143" type="noConversion"/>
  </si>
  <si>
    <t>车库</t>
    <phoneticPr fontId="32" type="noConversion"/>
  </si>
  <si>
    <t>40-50（含）</t>
  </si>
  <si>
    <t>地下</t>
    <phoneticPr fontId="32" type="noConversion"/>
  </si>
  <si>
    <t>精装修</t>
    <phoneticPr fontId="32" type="noConversion"/>
  </si>
  <si>
    <t>普通装修</t>
  </si>
  <si>
    <t>普通装修</t>
    <phoneticPr fontId="32" type="noConversion"/>
  </si>
  <si>
    <t>期房现房</t>
    <phoneticPr fontId="32" type="noConversion"/>
  </si>
  <si>
    <t>是</t>
    <phoneticPr fontId="32" type="noConversion"/>
  </si>
  <si>
    <t>否</t>
    <phoneticPr fontId="32" type="noConversion"/>
  </si>
  <si>
    <t>平面车位</t>
  </si>
  <si>
    <t>平面车位</t>
    <phoneticPr fontId="32" type="noConversion"/>
  </si>
  <si>
    <t>专业物业</t>
  </si>
  <si>
    <t>专业物业</t>
    <phoneticPr fontId="32" type="noConversion"/>
  </si>
  <si>
    <t>现房</t>
    <phoneticPr fontId="32" type="noConversion"/>
  </si>
  <si>
    <t>期房</t>
    <phoneticPr fontId="32" type="noConversion"/>
  </si>
  <si>
    <t>期房</t>
    <phoneticPr fontId="32" type="noConversion"/>
  </si>
  <si>
    <t>现房</t>
    <phoneticPr fontId="32" type="noConversion"/>
  </si>
  <si>
    <r>
      <rPr>
        <b/>
        <sz val="11"/>
        <rFont val="宋体"/>
        <family val="3"/>
        <charset val="134"/>
      </rPr>
      <t>估价对象车库用房的比较价值（楼面单价，元</t>
    </r>
    <r>
      <rPr>
        <b/>
        <sz val="11"/>
        <rFont val="Arial"/>
        <family val="2"/>
      </rPr>
      <t>/</t>
    </r>
    <r>
      <rPr>
        <b/>
        <sz val="11"/>
        <rFont val="宋体"/>
        <family val="3"/>
        <charset val="134"/>
      </rPr>
      <t>平方米）</t>
    </r>
    <phoneticPr fontId="3" type="noConversion"/>
  </si>
  <si>
    <t>北京万龙华开房地产开发有限公司</t>
    <phoneticPr fontId="6" type="noConversion"/>
  </si>
  <si>
    <t>中国建设银行股份有限公司北京城市建设开发专业支行</t>
    <phoneticPr fontId="6" type="noConversion"/>
  </si>
  <si>
    <r>
      <rPr>
        <sz val="12"/>
        <rFont val="宋体"/>
        <family val="3"/>
        <charset val="134"/>
      </rPr>
      <t>北京市顺义区高丽营镇于庄</t>
    </r>
    <r>
      <rPr>
        <sz val="12"/>
        <rFont val="Arial"/>
        <family val="2"/>
      </rPr>
      <t>03-31</t>
    </r>
    <r>
      <rPr>
        <sz val="12"/>
        <rFont val="宋体"/>
        <family val="3"/>
        <charset val="134"/>
      </rPr>
      <t>号地块</t>
    </r>
    <phoneticPr fontId="6" type="noConversion"/>
  </si>
  <si>
    <t>住宅、商业、地下车库及地下仓储</t>
    <phoneticPr fontId="6" type="noConversion"/>
  </si>
  <si>
    <t>支路</t>
    <phoneticPr fontId="3" type="noConversion"/>
  </si>
  <si>
    <t>收益法（仓储）</t>
    <phoneticPr fontId="3" type="noConversion"/>
  </si>
  <si>
    <t>洋房住宅</t>
  </si>
  <si>
    <t>洋房住宅</t>
    <phoneticPr fontId="7" type="noConversion"/>
  </si>
  <si>
    <t>洋房地下独立库房</t>
  </si>
  <si>
    <t>洋房地下独立库房</t>
    <phoneticPr fontId="7" type="noConversion"/>
  </si>
  <si>
    <t>洋房配套库房</t>
  </si>
  <si>
    <t>洋房配套库房</t>
    <phoneticPr fontId="7" type="noConversion"/>
  </si>
  <si>
    <t>1:1.3</t>
    <phoneticPr fontId="32" type="noConversion"/>
  </si>
  <si>
    <t>1:1.2</t>
    <phoneticPr fontId="32" type="noConversion"/>
  </si>
  <si>
    <t>1:2.5</t>
    <phoneticPr fontId="32" type="noConversion"/>
  </si>
  <si>
    <t>1:2.5</t>
    <phoneticPr fontId="32" type="noConversion"/>
  </si>
  <si>
    <r>
      <t>1</t>
    </r>
    <r>
      <rPr>
        <sz val="11"/>
        <rFont val="宋体"/>
        <family val="3"/>
        <charset val="134"/>
      </rPr>
      <t>：</t>
    </r>
    <r>
      <rPr>
        <sz val="11"/>
        <rFont val="Arial"/>
        <family val="2"/>
      </rPr>
      <t>1.3</t>
    </r>
    <phoneticPr fontId="32" type="noConversion"/>
  </si>
  <si>
    <t>1:1.5</t>
    <phoneticPr fontId="32" type="noConversion"/>
  </si>
  <si>
    <t>1:1.5</t>
    <phoneticPr fontId="32" type="noConversion"/>
  </si>
  <si>
    <r>
      <t>1</t>
    </r>
    <r>
      <rPr>
        <sz val="11"/>
        <rFont val="宋体"/>
        <family val="3"/>
        <charset val="134"/>
      </rPr>
      <t>：</t>
    </r>
    <r>
      <rPr>
        <sz val="11"/>
        <rFont val="Arial"/>
        <family val="2"/>
      </rPr>
      <t>1.2</t>
    </r>
    <phoneticPr fontId="32" type="noConversion"/>
  </si>
  <si>
    <t>洋房配套仓储</t>
    <phoneticPr fontId="143" type="noConversion"/>
  </si>
  <si>
    <t>87号楼商业用房</t>
    <phoneticPr fontId="143" type="noConversion"/>
  </si>
  <si>
    <t>自持住宅</t>
    <phoneticPr fontId="143" type="noConversion"/>
  </si>
  <si>
    <t>仓储</t>
    <phoneticPr fontId="143" type="noConversion"/>
  </si>
  <si>
    <t>住宅、仓储</t>
    <phoneticPr fontId="143" type="noConversion"/>
  </si>
  <si>
    <t>商业</t>
    <phoneticPr fontId="143" type="noConversion"/>
  </si>
  <si>
    <t>84-91号楼总计</t>
    <phoneticPr fontId="143" type="noConversion"/>
  </si>
  <si>
    <t>84、86-91号楼小计</t>
    <phoneticPr fontId="143" type="noConversion"/>
  </si>
  <si>
    <t>——</t>
    <phoneticPr fontId="143" type="noConversion"/>
  </si>
  <si>
    <t>——</t>
    <phoneticPr fontId="143" type="noConversion"/>
  </si>
  <si>
    <t>北京市顺义区后沙峪镇顺义新城第19街区SY00-0019-0075地块R2二类居住用地</t>
    <phoneticPr fontId="143" type="noConversion"/>
  </si>
  <si>
    <t>北京市顺义区高丽营镇于庄SY02-0103-6004、SY02-0103-6007地块R2二类居住用地</t>
    <phoneticPr fontId="143" type="noConversion"/>
  </si>
  <si>
    <t>成本比率</t>
  </si>
  <si>
    <t>项目名称</t>
  </si>
  <si>
    <t>（规划）建筑面积</t>
  </si>
  <si>
    <t>（分摊）土地面积</t>
  </si>
  <si>
    <t>出让国有建设用地使用权价值</t>
  </si>
  <si>
    <t>在建建筑物价值</t>
  </si>
  <si>
    <t>房地产价值</t>
  </si>
  <si>
    <t>总价</t>
  </si>
  <si>
    <t>楼面单价</t>
  </si>
  <si>
    <r>
      <t>总</t>
    </r>
    <r>
      <rPr>
        <sz val="9"/>
        <color theme="1"/>
        <rFont val="Arial"/>
        <family val="2"/>
      </rPr>
      <t xml:space="preserve"> </t>
    </r>
    <r>
      <rPr>
        <sz val="9"/>
        <color theme="1"/>
        <rFont val="华文细黑"/>
        <family val="3"/>
        <charset val="134"/>
      </rPr>
      <t>价</t>
    </r>
  </si>
  <si>
    <r>
      <t>北京市顺义区高丽营镇于庄</t>
    </r>
    <r>
      <rPr>
        <sz val="9"/>
        <color theme="1"/>
        <rFont val="Arial"/>
        <family val="2"/>
      </rPr>
      <t>03-31</t>
    </r>
    <r>
      <rPr>
        <sz val="9"/>
        <color theme="1"/>
        <rFont val="华文细黑"/>
        <family val="3"/>
        <charset val="134"/>
      </rPr>
      <t>号地块“观承文园”项目（部分）出让国有建设用地使用权及在建建筑物房地产</t>
    </r>
  </si>
  <si>
    <r>
      <t>北京市顺义区高丽营镇于庄</t>
    </r>
    <r>
      <rPr>
        <sz val="9"/>
        <color theme="1"/>
        <rFont val="Arial"/>
        <family val="2"/>
      </rPr>
      <t>03-21</t>
    </r>
    <r>
      <rPr>
        <sz val="9"/>
        <color theme="1"/>
        <rFont val="华文细黑"/>
        <family val="3"/>
        <charset val="134"/>
      </rPr>
      <t>号地块</t>
    </r>
    <r>
      <rPr>
        <sz val="9"/>
        <color theme="1"/>
        <rFont val="Arial"/>
        <family val="2"/>
      </rPr>
      <t>1</t>
    </r>
    <r>
      <rPr>
        <sz val="9"/>
        <color theme="1"/>
        <rFont val="华文细黑"/>
        <family val="3"/>
        <charset val="134"/>
      </rPr>
      <t>宗住宅、地下仓储、地下车库出让国有建设用地使用权</t>
    </r>
  </si>
  <si>
    <t>大写金额</t>
  </si>
  <si>
    <t>估价师知悉的法定优先受偿款</t>
  </si>
  <si>
    <t>零元整</t>
    <phoneticPr fontId="143" type="noConversion"/>
  </si>
  <si>
    <t>柒拾亿玖仟零叁万元整</t>
  </si>
  <si>
    <r>
      <t>031</t>
    </r>
    <r>
      <rPr>
        <b/>
        <sz val="9"/>
        <color rgb="FF000000"/>
        <rFont val="华文细黑"/>
        <family val="3"/>
        <charset val="134"/>
      </rPr>
      <t>号地块</t>
    </r>
  </si>
  <si>
    <t>类别</t>
  </si>
  <si>
    <t>项目类型</t>
  </si>
  <si>
    <t>规划建筑面积</t>
  </si>
  <si>
    <t>经营性</t>
  </si>
  <si>
    <t>洋房住宅地下独立库房</t>
  </si>
  <si>
    <t>低密度住宅地下配套库房</t>
  </si>
  <si>
    <t>洋房住宅地下配套库房</t>
  </si>
  <si>
    <r>
      <t>031</t>
    </r>
    <r>
      <rPr>
        <sz val="9"/>
        <color rgb="FF000000"/>
        <rFont val="华文细黑"/>
        <family val="3"/>
        <charset val="134"/>
      </rPr>
      <t>号地块经营性用房小计</t>
    </r>
  </si>
  <si>
    <t>非经营性</t>
  </si>
  <si>
    <t>设备及其他</t>
  </si>
  <si>
    <t>公共配套及物业（住宅）</t>
  </si>
  <si>
    <r>
      <t>031</t>
    </r>
    <r>
      <rPr>
        <sz val="9"/>
        <color rgb="FF000000"/>
        <rFont val="华文细黑"/>
        <family val="3"/>
        <charset val="134"/>
      </rPr>
      <t>号地块非经营性用房小计</t>
    </r>
  </si>
  <si>
    <r>
      <t>031</t>
    </r>
    <r>
      <rPr>
        <b/>
        <sz val="9"/>
        <color rgb="FF000000"/>
        <rFont val="华文细黑"/>
        <family val="3"/>
        <charset val="134"/>
      </rPr>
      <t>号地块总计</t>
    </r>
  </si>
  <si>
    <r>
      <t>021</t>
    </r>
    <r>
      <rPr>
        <b/>
        <sz val="9"/>
        <color rgb="FF000000"/>
        <rFont val="华文细黑"/>
        <family val="3"/>
        <charset val="134"/>
      </rPr>
      <t>号地块</t>
    </r>
  </si>
  <si>
    <t>洋房住宅地下库房</t>
  </si>
  <si>
    <t>低密度地下库房</t>
  </si>
  <si>
    <r>
      <t>021</t>
    </r>
    <r>
      <rPr>
        <sz val="9"/>
        <color rgb="FF000000"/>
        <rFont val="华文细黑"/>
        <family val="3"/>
        <charset val="134"/>
      </rPr>
      <t>号地块经营性用房小计</t>
    </r>
  </si>
  <si>
    <r>
      <t>021</t>
    </r>
    <r>
      <rPr>
        <sz val="9"/>
        <color rgb="FF000000"/>
        <rFont val="华文细黑"/>
        <family val="3"/>
        <charset val="134"/>
      </rPr>
      <t>号地块非经营性用房小计</t>
    </r>
  </si>
  <si>
    <r>
      <t>021</t>
    </r>
    <r>
      <rPr>
        <b/>
        <sz val="9"/>
        <color rgb="FF000000"/>
        <rFont val="华文细黑"/>
        <family val="3"/>
        <charset val="134"/>
      </rPr>
      <t>号地块总计</t>
    </r>
  </si>
  <si>
    <t>估价对象总计</t>
  </si>
  <si>
    <r>
      <rPr>
        <sz val="12"/>
        <rFont val="宋体"/>
        <family val="3"/>
        <charset val="134"/>
      </rPr>
      <t>住宅</t>
    </r>
    <r>
      <rPr>
        <sz val="12"/>
        <rFont val="Arial"/>
        <family val="2"/>
      </rPr>
      <t>67.4</t>
    </r>
    <r>
      <rPr>
        <sz val="12"/>
        <rFont val="宋体"/>
        <family val="3"/>
        <charset val="134"/>
      </rPr>
      <t>年、商业</t>
    </r>
    <r>
      <rPr>
        <sz val="12"/>
        <rFont val="Arial"/>
        <family val="2"/>
      </rPr>
      <t>37.4</t>
    </r>
    <r>
      <rPr>
        <sz val="12"/>
        <rFont val="宋体"/>
        <family val="3"/>
        <charset val="134"/>
      </rPr>
      <t>年、地下车库及地下仓储</t>
    </r>
    <r>
      <rPr>
        <sz val="12"/>
        <rFont val="Arial"/>
        <family val="2"/>
      </rPr>
      <t>47.4</t>
    </r>
    <r>
      <rPr>
        <sz val="12"/>
        <rFont val="宋体"/>
        <family val="3"/>
        <charset val="134"/>
      </rPr>
      <t>年</t>
    </r>
    <phoneticPr fontId="6" type="noConversion"/>
  </si>
  <si>
    <t>总规划建筑面积</t>
  </si>
  <si>
    <t>地上规划建筑面积</t>
  </si>
  <si>
    <t>地下规划建筑面积</t>
  </si>
  <si>
    <t>配套用房及设备</t>
  </si>
  <si>
    <t>仓储用房</t>
  </si>
  <si>
    <t>地下车库用房</t>
  </si>
  <si>
    <t>地下商业</t>
  </si>
  <si>
    <t>配套用房及其他</t>
  </si>
  <si>
    <t>楼号</t>
  </si>
  <si>
    <t>工程进度</t>
  </si>
  <si>
    <t>主体结构已封顶</t>
  </si>
  <si>
    <t>小计　</t>
  </si>
  <si>
    <r>
      <t>主体结构已建至</t>
    </r>
    <r>
      <rPr>
        <sz val="9"/>
        <color rgb="FF000000"/>
        <rFont val="Arial"/>
        <family val="2"/>
      </rPr>
      <t>4</t>
    </r>
    <r>
      <rPr>
        <sz val="9"/>
        <color rgb="FF000000"/>
        <rFont val="华文细黑"/>
        <family val="3"/>
        <charset val="134"/>
      </rPr>
      <t>层</t>
    </r>
  </si>
  <si>
    <r>
      <t>主体结构已建至</t>
    </r>
    <r>
      <rPr>
        <sz val="9"/>
        <color rgb="FF000000"/>
        <rFont val="Arial"/>
        <family val="2"/>
      </rPr>
      <t>5</t>
    </r>
    <r>
      <rPr>
        <sz val="9"/>
        <color rgb="FF000000"/>
        <rFont val="华文细黑"/>
        <family val="3"/>
        <charset val="134"/>
      </rPr>
      <t>层</t>
    </r>
  </si>
  <si>
    <r>
      <t>主体结构已建至</t>
    </r>
    <r>
      <rPr>
        <sz val="9"/>
        <color rgb="FF000000"/>
        <rFont val="Arial"/>
        <family val="2"/>
      </rPr>
      <t>6</t>
    </r>
    <r>
      <rPr>
        <sz val="9"/>
        <color rgb="FF000000"/>
        <rFont val="华文细黑"/>
        <family val="3"/>
        <charset val="134"/>
      </rPr>
      <t>层</t>
    </r>
  </si>
  <si>
    <r>
      <t>主体结构已建至</t>
    </r>
    <r>
      <rPr>
        <sz val="9"/>
        <color rgb="FF000000"/>
        <rFont val="Arial"/>
        <family val="2"/>
      </rPr>
      <t>2</t>
    </r>
    <r>
      <rPr>
        <sz val="9"/>
        <color rgb="FF000000"/>
        <rFont val="华文细黑"/>
        <family val="3"/>
        <charset val="134"/>
      </rPr>
      <t>层</t>
    </r>
  </si>
  <si>
    <r>
      <t>主体结构至地下</t>
    </r>
    <r>
      <rPr>
        <sz val="9"/>
        <color rgb="FF000000"/>
        <rFont val="Arial"/>
        <family val="2"/>
      </rPr>
      <t>3</t>
    </r>
    <r>
      <rPr>
        <sz val="9"/>
        <color rgb="FF000000"/>
        <rFont val="华文细黑"/>
        <family val="3"/>
        <charset val="134"/>
      </rPr>
      <t>层</t>
    </r>
  </si>
  <si>
    <r>
      <t>P1</t>
    </r>
    <r>
      <rPr>
        <sz val="9"/>
        <color rgb="FF000000"/>
        <rFont val="华文细黑"/>
        <family val="3"/>
        <charset val="134"/>
      </rPr>
      <t>托老所</t>
    </r>
  </si>
  <si>
    <t>未建</t>
  </si>
  <si>
    <t>P-2#</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</si>
</sst>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
      <b/>
      <sz val="9"/>
      <name val="宋体"/>
      <family val="3"/>
      <charset val="134"/>
    </font>
    <font>
      <b/>
      <sz val="10"/>
      <color rgb="FF000000"/>
      <name val="微软雅黑"/>
      <family val="2"/>
      <charset val="134"/>
    </font>
    <font>
      <sz val="10"/>
      <color theme="1"/>
      <name val="微软雅黑"/>
      <family val="2"/>
      <charset val="134"/>
    </font>
    <font>
      <sz val="9"/>
      <color theme="1"/>
      <name val="微软雅黑"/>
      <family val="2"/>
      <charset val="134"/>
    </font>
    <font>
      <u/>
      <sz val="10"/>
      <color theme="1"/>
      <name val="宋体"/>
      <family val="3"/>
      <charset val="134"/>
      <scheme val="minor"/>
    </font>
    <font>
      <sz val="9"/>
      <color theme="1"/>
      <name val="华文细黑"/>
      <family val="3"/>
      <charset val="134"/>
    </font>
    <font>
      <sz val="9"/>
      <color theme="1"/>
      <name val="Arial"/>
      <family val="2"/>
    </font>
    <font>
      <sz val="9"/>
      <color rgb="FFE36C0A"/>
      <name val="华文细黑"/>
      <family val="3"/>
      <charset val="134"/>
    </font>
    <font>
      <b/>
      <sz val="9"/>
      <color theme="1"/>
      <name val="华文细黑"/>
      <family val="3"/>
      <charset val="134"/>
    </font>
    <font>
      <b/>
      <sz val="9"/>
      <color rgb="FF000000"/>
      <name val="Arial"/>
      <family val="2"/>
    </font>
    <font>
      <b/>
      <sz val="9"/>
      <color rgb="FF000000"/>
      <name val="华文细黑"/>
      <family val="3"/>
      <charset val="134"/>
    </font>
    <font>
      <sz val="9"/>
      <color rgb="FF000000"/>
      <name val="华文细黑"/>
      <family val="3"/>
      <charset val="134"/>
    </font>
    <font>
      <sz val="9"/>
      <color rgb="FF00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E6B9B8"/>
        <bgColor indexed="64"/>
      </patternFill>
    </fill>
    <fill>
      <patternFill patternType="solid">
        <fgColor theme="9" tint="0.39991454817346722"/>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
      <left style="medium">
        <color rgb="FF404040"/>
      </left>
      <right style="medium">
        <color rgb="FF404040"/>
      </right>
      <top style="medium">
        <color rgb="FF404040"/>
      </top>
      <bottom/>
      <diagonal/>
    </border>
    <border>
      <left style="medium">
        <color rgb="FF404040"/>
      </left>
      <right style="medium">
        <color rgb="FF404040"/>
      </right>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5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64" fillId="6" borderId="13" xfId="0" applyFont="1" applyFill="1" applyBorder="1" applyAlignment="1" applyProtection="1">
      <alignment horizontal="left" vertical="center"/>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210" fillId="0" borderId="1" xfId="0" applyNumberFormat="1" applyFont="1" applyBorder="1" applyAlignment="1">
      <alignment horizontal="center" vertical="center"/>
    </xf>
    <xf numFmtId="49" fontId="210" fillId="0" borderId="1" xfId="0" applyNumberFormat="1" applyFont="1" applyBorder="1" applyAlignment="1">
      <alignment horizontal="center" vertical="center"/>
    </xf>
    <xf numFmtId="49" fontId="0" fillId="0" borderId="0" xfId="0" applyNumberFormat="1">
      <alignment vertical="center"/>
    </xf>
    <xf numFmtId="0" fontId="100" fillId="0" borderId="0" xfId="0" applyFont="1">
      <alignment vertical="center"/>
    </xf>
    <xf numFmtId="0" fontId="100" fillId="0" borderId="1" xfId="0" applyFont="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49" fontId="99" fillId="0" borderId="1" xfId="0" applyNumberFormat="1" applyFont="1" applyBorder="1" applyAlignment="1">
      <alignment horizontal="center" vertical="center"/>
    </xf>
    <xf numFmtId="49" fontId="0" fillId="0" borderId="1" xfId="0" applyNumberFormat="1" applyBorder="1" applyAlignment="1">
      <alignment horizontal="center" vertical="center"/>
    </xf>
    <xf numFmtId="0" fontId="99" fillId="0" borderId="0" xfId="0" applyFont="1">
      <alignment vertical="center"/>
    </xf>
    <xf numFmtId="0" fontId="99" fillId="0" borderId="0" xfId="0" applyFont="1" applyAlignment="1">
      <alignment vertical="center" wrapText="1"/>
    </xf>
    <xf numFmtId="0" fontId="100" fillId="0" borderId="0" xfId="0" applyFont="1" applyAlignment="1">
      <alignment vertical="center" wrapText="1"/>
    </xf>
    <xf numFmtId="0" fontId="0" fillId="0" borderId="1" xfId="0" applyFill="1" applyBorder="1" applyAlignment="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00" fillId="0" borderId="1" xfId="0" applyFont="1" applyFill="1" applyBorder="1" applyAlignment="1">
      <alignment horizontal="center" vertical="center"/>
    </xf>
    <xf numFmtId="0" fontId="99" fillId="0" borderId="0" xfId="0" applyNumberFormat="1" applyFont="1" applyAlignment="1">
      <alignment horizontal="center" vertical="center"/>
    </xf>
    <xf numFmtId="0" fontId="0" fillId="0" borderId="0" xfId="0" applyNumberFormat="1" applyAlignment="1">
      <alignment horizontal="center" vertical="center"/>
    </xf>
    <xf numFmtId="0" fontId="0" fillId="0" borderId="0" xfId="0" applyNumberFormat="1">
      <alignment vertical="center"/>
    </xf>
    <xf numFmtId="10" fontId="0" fillId="0" borderId="0" xfId="0" applyNumberFormat="1">
      <alignment vertical="center"/>
    </xf>
    <xf numFmtId="0" fontId="99" fillId="0" borderId="1" xfId="0" applyNumberFormat="1" applyFont="1" applyBorder="1" applyAlignment="1">
      <alignment horizontal="center" vertical="center"/>
    </xf>
    <xf numFmtId="0" fontId="0" fillId="0" borderId="1" xfId="0" applyNumberFormat="1" applyBorder="1" applyAlignment="1">
      <alignment horizontal="center" vertical="center"/>
    </xf>
    <xf numFmtId="0" fontId="0" fillId="0" borderId="1" xfId="0" applyNumberFormat="1" applyBorder="1">
      <alignment vertical="center"/>
    </xf>
    <xf numFmtId="0" fontId="99" fillId="0" borderId="1" xfId="0" applyNumberFormat="1" applyFont="1" applyBorder="1">
      <alignment vertical="center"/>
    </xf>
    <xf numFmtId="10" fontId="99" fillId="17" borderId="1" xfId="0" applyNumberFormat="1" applyFont="1" applyFill="1" applyBorder="1">
      <alignment vertical="center"/>
    </xf>
    <xf numFmtId="10" fontId="99" fillId="0" borderId="1" xfId="0" applyNumberFormat="1" applyFont="1" applyBorder="1">
      <alignment vertical="center"/>
    </xf>
    <xf numFmtId="0" fontId="0" fillId="17" borderId="1" xfId="0" applyNumberFormat="1" applyFill="1" applyBorder="1" applyAlignment="1">
      <alignment horizontal="center" vertical="center"/>
    </xf>
    <xf numFmtId="0" fontId="0" fillId="17" borderId="0" xfId="0" applyNumberFormat="1" applyFill="1">
      <alignment vertical="center"/>
    </xf>
    <xf numFmtId="0" fontId="0" fillId="9" borderId="1" xfId="0" applyNumberFormat="1" applyFill="1" applyBorder="1">
      <alignment vertical="center"/>
    </xf>
    <xf numFmtId="0" fontId="99" fillId="0" borderId="0" xfId="0" applyNumberFormat="1" applyFont="1">
      <alignment vertical="center"/>
    </xf>
    <xf numFmtId="10" fontId="99" fillId="0" borderId="0" xfId="0" applyNumberFormat="1" applyFont="1">
      <alignment vertical="center"/>
    </xf>
    <xf numFmtId="0" fontId="0" fillId="0" borderId="0" xfId="0" applyNumberFormat="1" applyFill="1">
      <alignment vertical="center"/>
    </xf>
    <xf numFmtId="0" fontId="99" fillId="0" borderId="1" xfId="0" applyNumberFormat="1" applyFont="1" applyBorder="1" applyAlignment="1">
      <alignment horizontal="center" vertical="center"/>
    </xf>
    <xf numFmtId="0" fontId="99" fillId="0" borderId="0" xfId="0" applyNumberFormat="1" applyFont="1" applyBorder="1" applyAlignment="1">
      <alignment horizontal="center" vertical="center"/>
    </xf>
    <xf numFmtId="0" fontId="0" fillId="5" borderId="0" xfId="0" applyNumberFormat="1" applyFill="1">
      <alignment vertical="center"/>
    </xf>
    <xf numFmtId="0" fontId="99" fillId="0" borderId="1" xfId="0" applyNumberFormat="1" applyFont="1" applyFill="1" applyBorder="1" applyAlignment="1">
      <alignment horizontal="center" vertical="center"/>
    </xf>
    <xf numFmtId="0" fontId="99" fillId="0" borderId="0" xfId="0" applyNumberFormat="1" applyFont="1" applyFill="1" applyBorder="1" applyAlignment="1">
      <alignment horizontal="center" vertical="center"/>
    </xf>
    <xf numFmtId="0" fontId="0" fillId="0" borderId="0" xfId="0" applyNumberFormat="1" applyBorder="1" applyAlignment="1">
      <alignment horizontal="center" vertical="center"/>
    </xf>
    <xf numFmtId="0" fontId="0" fillId="17" borderId="0" xfId="0" applyNumberFormat="1" applyFill="1" applyBorder="1" applyAlignment="1">
      <alignment horizontal="center" vertical="center"/>
    </xf>
    <xf numFmtId="10" fontId="0" fillId="17" borderId="0" xfId="0" applyNumberFormat="1" applyFill="1">
      <alignment vertical="center"/>
    </xf>
    <xf numFmtId="10" fontId="0" fillId="0" borderId="1" xfId="0" applyNumberFormat="1" applyBorder="1" applyAlignment="1">
      <alignment horizontal="center" vertical="center"/>
    </xf>
    <xf numFmtId="10" fontId="99" fillId="0" borderId="1" xfId="0" applyNumberFormat="1" applyFont="1" applyBorder="1" applyAlignment="1">
      <alignment horizontal="center" vertical="center"/>
    </xf>
    <xf numFmtId="0" fontId="0" fillId="0" borderId="0" xfId="0" applyNumberFormat="1" applyAlignment="1">
      <alignment vertical="center"/>
    </xf>
    <xf numFmtId="0" fontId="0" fillId="0" borderId="0" xfId="0" applyNumberFormat="1" applyFont="1" applyFill="1" applyBorder="1" applyAlignment="1">
      <alignment horizontal="center" vertical="center"/>
    </xf>
    <xf numFmtId="0" fontId="84" fillId="7" borderId="1" xfId="0" applyNumberFormat="1" applyFont="1" applyFill="1" applyBorder="1" applyAlignment="1">
      <alignment horizontal="center" vertical="center" wrapText="1"/>
    </xf>
    <xf numFmtId="0" fontId="145" fillId="7" borderId="1" xfId="0" applyNumberFormat="1" applyFont="1" applyFill="1" applyBorder="1" applyAlignment="1">
      <alignment horizontal="center" vertical="center" wrapText="1"/>
    </xf>
    <xf numFmtId="0" fontId="145" fillId="0" borderId="0" xfId="0" applyFont="1" applyAlignment="1">
      <alignment horizontal="center" vertical="center"/>
    </xf>
    <xf numFmtId="0" fontId="19" fillId="7" borderId="1" xfId="0" applyNumberFormat="1" applyFont="1" applyFill="1" applyBorder="1" applyAlignment="1" applyProtection="1">
      <alignment horizontal="center" vertical="center" wrapText="1"/>
    </xf>
    <xf numFmtId="0" fontId="130" fillId="7" borderId="1" xfId="0" applyNumberFormat="1" applyFont="1" applyFill="1" applyBorder="1" applyAlignment="1">
      <alignment horizontal="center" vertical="center" wrapText="1"/>
    </xf>
    <xf numFmtId="0" fontId="130" fillId="7" borderId="0" xfId="0" applyFont="1" applyFill="1" applyAlignment="1">
      <alignment horizontal="center" vertical="center"/>
    </xf>
    <xf numFmtId="0" fontId="130" fillId="7" borderId="1" xfId="0" applyNumberFormat="1" applyFont="1" applyFill="1" applyBorder="1" applyAlignment="1">
      <alignment horizontal="center" vertical="center"/>
    </xf>
    <xf numFmtId="0" fontId="130" fillId="7" borderId="1" xfId="0" applyNumberFormat="1" applyFont="1" applyFill="1" applyBorder="1" applyAlignment="1" applyProtection="1">
      <alignment horizontal="center" vertical="center" wrapText="1"/>
    </xf>
    <xf numFmtId="0" fontId="130" fillId="0" borderId="1" xfId="0" applyNumberFormat="1" applyFont="1" applyFill="1" applyBorder="1" applyAlignment="1" applyProtection="1">
      <alignment horizontal="center" vertical="center" wrapText="1"/>
    </xf>
    <xf numFmtId="0" fontId="130" fillId="0" borderId="0" xfId="0" applyFont="1" applyFill="1" applyAlignment="1">
      <alignment horizontal="center" vertical="center"/>
    </xf>
    <xf numFmtId="0" fontId="19" fillId="7" borderId="1" xfId="0" applyNumberFormat="1" applyFont="1" applyFill="1" applyBorder="1" applyAlignment="1">
      <alignment horizontal="center" vertical="center" wrapText="1"/>
    </xf>
    <xf numFmtId="0" fontId="130" fillId="0" borderId="1" xfId="0" applyNumberFormat="1" applyFont="1" applyBorder="1" applyAlignment="1">
      <alignment horizontal="center" vertical="center" wrapText="1"/>
    </xf>
    <xf numFmtId="182" fontId="130" fillId="7" borderId="0" xfId="0" applyNumberFormat="1" applyFont="1" applyFill="1" applyAlignment="1">
      <alignment horizontal="center" vertical="center"/>
    </xf>
    <xf numFmtId="0" fontId="130" fillId="0" borderId="0" xfId="0" applyFont="1" applyAlignment="1">
      <alignment horizontal="center" vertical="center"/>
    </xf>
    <xf numFmtId="0" fontId="130" fillId="7" borderId="1" xfId="0" applyNumberFormat="1" applyFont="1" applyFill="1" applyBorder="1" applyAlignment="1">
      <alignment horizontal="center" vertical="center"/>
    </xf>
    <xf numFmtId="0" fontId="130" fillId="0" borderId="1" xfId="0" applyNumberFormat="1" applyFont="1" applyBorder="1" applyAlignment="1">
      <alignment horizontal="center" vertical="center"/>
    </xf>
    <xf numFmtId="0" fontId="130" fillId="7" borderId="0" xfId="0" applyNumberFormat="1" applyFont="1" applyFill="1" applyAlignment="1">
      <alignment horizontal="center" vertical="center"/>
    </xf>
    <xf numFmtId="0" fontId="130" fillId="0" borderId="0" xfId="0" applyNumberFormat="1" applyFont="1" applyAlignment="1">
      <alignment horizontal="center" vertical="center"/>
    </xf>
    <xf numFmtId="0" fontId="0" fillId="0" borderId="0" xfId="2" applyFont="1" applyBorder="1" applyAlignment="1">
      <alignment vertical="center" wrapText="1"/>
    </xf>
    <xf numFmtId="0" fontId="256" fillId="0" borderId="0" xfId="2" applyFont="1" applyBorder="1" applyAlignment="1">
      <alignment vertical="center" wrapText="1"/>
    </xf>
    <xf numFmtId="0" fontId="257" fillId="7" borderId="3" xfId="2" applyFont="1" applyFill="1" applyBorder="1" applyAlignment="1">
      <alignment horizontal="center" vertical="center" wrapText="1"/>
    </xf>
    <xf numFmtId="0" fontId="257" fillId="7" borderId="0" xfId="2" applyFont="1" applyFill="1" applyBorder="1" applyAlignment="1">
      <alignment wrapText="1"/>
    </xf>
    <xf numFmtId="0" fontId="257" fillId="0" borderId="0" xfId="2" applyFont="1" applyFill="1" applyBorder="1" applyAlignment="1">
      <alignment wrapText="1"/>
    </xf>
    <xf numFmtId="0" fontId="256" fillId="0" borderId="0" xfId="2" applyFont="1" applyBorder="1" applyAlignment="1">
      <alignment horizontal="center" vertical="center" wrapText="1"/>
    </xf>
    <xf numFmtId="0" fontId="99" fillId="5" borderId="1" xfId="0" applyNumberFormat="1" applyFont="1" applyFill="1" applyBorder="1" applyAlignment="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99" fillId="0" borderId="1" xfId="0" applyFont="1" applyBorder="1" applyAlignment="1">
      <alignment horizontal="center" vertical="center"/>
    </xf>
    <xf numFmtId="0" fontId="0" fillId="0" borderId="1" xfId="0" applyBorder="1" applyAlignment="1">
      <alignment horizontal="center" vertical="center"/>
    </xf>
    <xf numFmtId="0" fontId="256" fillId="0" borderId="1" xfId="2" applyFont="1" applyBorder="1" applyAlignment="1">
      <alignment horizontal="center" vertical="center" wrapText="1"/>
    </xf>
    <xf numFmtId="0" fontId="190" fillId="7" borderId="54" xfId="0" applyFont="1" applyFill="1" applyBorder="1" applyAlignment="1" applyProtection="1">
      <alignment vertical="center" wrapText="1"/>
      <protection locked="0"/>
    </xf>
    <xf numFmtId="14" fontId="64" fillId="0" borderId="1" xfId="0" applyNumberFormat="1" applyFont="1" applyFill="1" applyBorder="1" applyAlignment="1" applyProtection="1">
      <alignment horizontal="center" vertical="center" shrinkToFit="1"/>
      <protection locked="0"/>
    </xf>
    <xf numFmtId="49" fontId="61" fillId="0" borderId="4" xfId="0" applyNumberFormat="1" applyFont="1" applyFill="1" applyBorder="1" applyAlignment="1" applyProtection="1">
      <alignment horizontal="left" vertical="center"/>
      <protection locked="0"/>
    </xf>
    <xf numFmtId="49" fontId="61" fillId="6" borderId="15" xfId="0" applyNumberFormat="1" applyFont="1" applyFill="1" applyBorder="1" applyAlignment="1" applyProtection="1">
      <alignment horizontal="left" vertical="center" wrapText="1"/>
    </xf>
    <xf numFmtId="0" fontId="61" fillId="6" borderId="1" xfId="0" applyFont="1" applyFill="1" applyBorder="1" applyAlignment="1" applyProtection="1">
      <alignment horizontal="left" vertical="center"/>
    </xf>
    <xf numFmtId="0" fontId="61" fillId="6" borderId="1" xfId="0" applyFont="1" applyFill="1" applyBorder="1" applyAlignment="1" applyProtection="1">
      <alignment horizontal="center" vertical="center" wrapText="1"/>
    </xf>
    <xf numFmtId="0" fontId="61" fillId="6" borderId="1" xfId="0" applyFont="1" applyFill="1" applyBorder="1" applyAlignment="1" applyProtection="1">
      <alignment horizontal="left" vertical="center" wrapText="1"/>
    </xf>
    <xf numFmtId="0" fontId="61" fillId="6" borderId="78" xfId="0" applyFont="1" applyFill="1" applyBorder="1" applyAlignment="1" applyProtection="1">
      <alignment horizontal="left" vertical="center"/>
    </xf>
    <xf numFmtId="0" fontId="61" fillId="6" borderId="78" xfId="0" applyFont="1" applyFill="1" applyBorder="1" applyAlignment="1" applyProtection="1">
      <alignment horizontal="center" vertical="center" wrapText="1"/>
    </xf>
    <xf numFmtId="0" fontId="61" fillId="6" borderId="78" xfId="0" applyFont="1" applyFill="1" applyBorder="1" applyAlignment="1" applyProtection="1">
      <alignment horizontal="left" vertical="center" wrapText="1"/>
    </xf>
    <xf numFmtId="0" fontId="130" fillId="7" borderId="0" xfId="0" applyNumberFormat="1" applyFont="1" applyFill="1" applyBorder="1" applyAlignment="1">
      <alignment horizontal="center" vertical="center"/>
    </xf>
    <xf numFmtId="0" fontId="130" fillId="0" borderId="0" xfId="0" applyNumberFormat="1" applyFont="1" applyBorder="1" applyAlignment="1">
      <alignment horizontal="center" vertical="center"/>
    </xf>
    <xf numFmtId="0" fontId="210" fillId="0" borderId="0" xfId="0" applyNumberFormat="1" applyFont="1">
      <alignment vertical="center"/>
    </xf>
    <xf numFmtId="0" fontId="113" fillId="0" borderId="1" xfId="0" applyNumberFormat="1" applyFont="1" applyBorder="1" applyAlignment="1">
      <alignment horizontal="center" vertical="center"/>
    </xf>
    <xf numFmtId="0" fontId="113" fillId="0" borderId="0" xfId="0" applyNumberFormat="1" applyFont="1">
      <alignment vertical="center"/>
    </xf>
    <xf numFmtId="0" fontId="113" fillId="0" borderId="1" xfId="0" applyNumberFormat="1" applyFont="1" applyFill="1" applyBorder="1" applyAlignment="1">
      <alignment horizontal="center" vertical="center"/>
    </xf>
    <xf numFmtId="0" fontId="113" fillId="0" borderId="1" xfId="0" applyNumberFormat="1" applyFont="1" applyBorder="1" applyAlignment="1">
      <alignment vertical="center"/>
    </xf>
    <xf numFmtId="0" fontId="113" fillId="9" borderId="0" xfId="0" applyNumberFormat="1" applyFont="1" applyFill="1">
      <alignment vertical="center"/>
    </xf>
    <xf numFmtId="0" fontId="113" fillId="0" borderId="0" xfId="0" applyNumberFormat="1" applyFont="1" applyAlignment="1">
      <alignment horizontal="center" vertical="center"/>
    </xf>
    <xf numFmtId="0" fontId="210" fillId="0" borderId="1" xfId="0" applyNumberFormat="1" applyFont="1" applyFill="1" applyBorder="1" applyAlignment="1">
      <alignment horizontal="center" vertical="center"/>
    </xf>
    <xf numFmtId="0" fontId="258" fillId="0" borderId="1" xfId="0" applyNumberFormat="1" applyFont="1" applyFill="1" applyBorder="1" applyAlignment="1">
      <alignment horizontal="center" vertical="center"/>
    </xf>
    <xf numFmtId="0" fontId="113" fillId="0" borderId="1" xfId="0" applyNumberFormat="1" applyFont="1" applyFill="1" applyBorder="1" applyAlignment="1">
      <alignment vertical="center"/>
    </xf>
    <xf numFmtId="0" fontId="113" fillId="0" borderId="0" xfId="0" applyNumberFormat="1" applyFont="1" applyFill="1">
      <alignment vertical="center"/>
    </xf>
    <xf numFmtId="0" fontId="19" fillId="7" borderId="0" xfId="0" applyNumberFormat="1"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177" fontId="137" fillId="0" borderId="3" xfId="1" applyNumberFormat="1" applyFont="1" applyFill="1" applyBorder="1" applyAlignment="1" applyProtection="1">
      <alignment vertical="center"/>
      <protection locked="0"/>
    </xf>
    <xf numFmtId="0" fontId="256" fillId="0" borderId="1" xfId="2" applyFont="1" applyBorder="1" applyAlignment="1">
      <alignment horizontal="center" vertical="center" wrapText="1"/>
    </xf>
    <xf numFmtId="0" fontId="257" fillId="7" borderId="1" xfId="2" applyFont="1" applyFill="1" applyBorder="1" applyAlignment="1">
      <alignment horizontal="center" vertical="center" wrapText="1"/>
    </xf>
    <xf numFmtId="0" fontId="257" fillId="0" borderId="1" xfId="2" applyFont="1" applyFill="1" applyBorder="1" applyAlignment="1">
      <alignment horizontal="center" vertical="center" wrapText="1"/>
    </xf>
    <xf numFmtId="0" fontId="0" fillId="0" borderId="1" xfId="0" applyNumberFormat="1" applyFill="1" applyBorder="1" applyAlignment="1">
      <alignment horizontal="center" vertical="center"/>
    </xf>
    <xf numFmtId="0" fontId="0" fillId="0" borderId="1" xfId="0" applyNumberFormat="1" applyFill="1" applyBorder="1">
      <alignment vertical="center"/>
    </xf>
    <xf numFmtId="0" fontId="99" fillId="0" borderId="1" xfId="0" applyNumberFormat="1" applyFont="1" applyFill="1" applyBorder="1">
      <alignment vertical="center"/>
    </xf>
    <xf numFmtId="10" fontId="99" fillId="0" borderId="1" xfId="0" applyNumberFormat="1" applyFont="1" applyFill="1" applyBorder="1">
      <alignment vertical="center"/>
    </xf>
    <xf numFmtId="0" fontId="99" fillId="0" borderId="0" xfId="0" applyNumberFormat="1" applyFont="1" applyFill="1" applyBorder="1">
      <alignment vertical="center"/>
    </xf>
    <xf numFmtId="0" fontId="19" fillId="7" borderId="1" xfId="0" applyNumberFormat="1" applyFont="1" applyFill="1" applyBorder="1" applyAlignment="1">
      <alignment horizontal="center" vertical="center"/>
    </xf>
    <xf numFmtId="0" fontId="100" fillId="0" borderId="0" xfId="0" applyFont="1" applyAlignment="1">
      <alignment horizontal="center" vertical="center" wrapText="1"/>
    </xf>
    <xf numFmtId="0" fontId="113" fillId="17" borderId="0" xfId="0" applyNumberFormat="1" applyFont="1" applyFill="1" applyAlignment="1">
      <alignment horizontal="center" vertical="center" wrapText="1"/>
    </xf>
    <xf numFmtId="0" fontId="113" fillId="0" borderId="0" xfId="0" applyNumberFormat="1" applyFont="1" applyAlignment="1">
      <alignment horizontal="center" vertical="center" wrapText="1"/>
    </xf>
    <xf numFmtId="0" fontId="113" fillId="9" borderId="0" xfId="0" applyNumberFormat="1" applyFont="1" applyFill="1" applyAlignment="1">
      <alignment horizontal="center" vertical="center" wrapText="1"/>
    </xf>
    <xf numFmtId="0" fontId="119" fillId="0" borderId="0" xfId="0" applyFont="1" applyAlignment="1">
      <alignment horizontal="center" vertical="center" wrapText="1"/>
    </xf>
    <xf numFmtId="0" fontId="119" fillId="0" borderId="0" xfId="0" applyFont="1" applyAlignment="1">
      <alignment wrapText="1"/>
    </xf>
    <xf numFmtId="0" fontId="113" fillId="0" borderId="0" xfId="0" applyFont="1" applyAlignment="1">
      <alignment horizontal="center" vertical="center" wrapText="1"/>
    </xf>
    <xf numFmtId="0" fontId="113" fillId="0" borderId="0" xfId="0" applyFont="1" applyAlignment="1">
      <alignment horizontal="center" vertical="center"/>
    </xf>
    <xf numFmtId="0" fontId="113" fillId="0" borderId="0" xfId="0" applyFont="1" applyAlignment="1"/>
    <xf numFmtId="0" fontId="113" fillId="9" borderId="0" xfId="0" applyFont="1" applyFill="1" applyAlignment="1">
      <alignment horizontal="center" vertical="center" wrapText="1"/>
    </xf>
    <xf numFmtId="0" fontId="113" fillId="9" borderId="0" xfId="0" applyFont="1" applyFill="1" applyAlignment="1">
      <alignment horizontal="center" vertical="center"/>
    </xf>
    <xf numFmtId="0" fontId="113" fillId="9" borderId="0" xfId="0" applyFont="1" applyFill="1" applyAlignment="1"/>
    <xf numFmtId="0" fontId="113" fillId="17" borderId="0" xfId="0" applyFont="1" applyFill="1" applyAlignment="1">
      <alignment horizontal="center" vertical="center" wrapText="1"/>
    </xf>
    <xf numFmtId="0" fontId="113" fillId="17" borderId="0" xfId="0" applyFont="1" applyFill="1" applyAlignment="1">
      <alignment horizontal="center" vertical="center"/>
    </xf>
    <xf numFmtId="0" fontId="113" fillId="17" borderId="0" xfId="0" applyFont="1" applyFill="1" applyAlignment="1"/>
    <xf numFmtId="0" fontId="113" fillId="0" borderId="0" xfId="0" applyFont="1" applyAlignment="1">
      <alignment wrapText="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0" fontId="98" fillId="0" borderId="10" xfId="0" applyNumberFormat="1" applyFont="1" applyFill="1" applyBorder="1" applyAlignment="1" applyProtection="1">
      <alignment horizontal="center" vertical="center" wrapText="1"/>
      <protection locked="0"/>
    </xf>
    <xf numFmtId="0" fontId="98" fillId="0" borderId="24" xfId="0" applyNumberFormat="1" applyFont="1" applyFill="1" applyBorder="1" applyAlignment="1" applyProtection="1">
      <alignment horizontal="center" vertical="center" wrapText="1"/>
      <protection locked="0"/>
    </xf>
    <xf numFmtId="0" fontId="98" fillId="0" borderId="24" xfId="0" applyNumberFormat="1" applyFont="1" applyBorder="1" applyAlignment="1" applyProtection="1">
      <alignment horizontal="center" vertical="center" wrapText="1"/>
      <protection locked="0"/>
    </xf>
    <xf numFmtId="0" fontId="98" fillId="0" borderId="49" xfId="0" applyNumberFormat="1"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99" fillId="0" borderId="1" xfId="0" applyFont="1" applyBorder="1">
      <alignment vertical="center"/>
    </xf>
    <xf numFmtId="0" fontId="0" fillId="0" borderId="1" xfId="0" applyBorder="1">
      <alignment vertical="center"/>
    </xf>
    <xf numFmtId="0" fontId="100" fillId="0" borderId="1" xfId="0" applyFont="1" applyBorder="1" applyAlignment="1">
      <alignment horizontal="center" vertical="center" wrapText="1"/>
    </xf>
    <xf numFmtId="14" fontId="0" fillId="0" borderId="1" xfId="0" applyNumberFormat="1" applyBorder="1" applyAlignment="1">
      <alignment horizontal="center" vertical="center"/>
    </xf>
    <xf numFmtId="0" fontId="99" fillId="0" borderId="1" xfId="0" applyFont="1" applyBorder="1" applyAlignment="1">
      <alignment horizontal="center" vertical="center" wrapText="1"/>
    </xf>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14" fontId="0" fillId="0" borderId="0" xfId="0" applyNumberFormat="1" applyBorder="1" applyAlignment="1">
      <alignment horizontal="center" vertical="center" wrapText="1"/>
    </xf>
    <xf numFmtId="0" fontId="0" fillId="0" borderId="0" xfId="0" applyBorder="1" applyAlignment="1">
      <alignment horizontal="center" vertical="center" wrapText="1"/>
    </xf>
    <xf numFmtId="0" fontId="137" fillId="0" borderId="51" xfId="0" applyNumberFormat="1" applyFont="1" applyFill="1" applyBorder="1" applyAlignment="1" applyProtection="1">
      <alignment horizontal="center" vertical="center" wrapText="1"/>
      <protection locked="0"/>
    </xf>
    <xf numFmtId="0" fontId="137" fillId="0" borderId="61" xfId="0" applyFont="1" applyFill="1" applyBorder="1" applyAlignment="1" applyProtection="1">
      <alignment horizontal="center" vertical="center" wrapText="1"/>
      <protection locked="0"/>
    </xf>
    <xf numFmtId="0" fontId="61" fillId="17" borderId="3" xfId="0" applyNumberFormat="1" applyFont="1" applyFill="1" applyBorder="1" applyAlignment="1" applyProtection="1">
      <alignment horizontal="center" vertical="center" wrapText="1"/>
      <protection locked="0"/>
    </xf>
    <xf numFmtId="0" fontId="0" fillId="0" borderId="1" xfId="2" applyFont="1" applyBorder="1" applyAlignment="1">
      <alignment horizontal="center" vertical="center" wrapText="1"/>
    </xf>
    <xf numFmtId="0" fontId="257" fillId="7" borderId="1" xfId="2" applyFont="1" applyFill="1" applyBorder="1" applyAlignment="1">
      <alignment horizontal="center" wrapText="1"/>
    </xf>
    <xf numFmtId="0" fontId="257" fillId="0" borderId="1" xfId="2" applyFont="1" applyFill="1" applyBorder="1" applyAlignment="1">
      <alignment horizontal="center" wrapText="1"/>
    </xf>
    <xf numFmtId="0" fontId="259" fillId="0" borderId="159" xfId="0" applyFont="1" applyBorder="1" applyAlignment="1">
      <alignment vertical="center" wrapText="1"/>
    </xf>
    <xf numFmtId="0" fontId="259" fillId="0" borderId="157" xfId="0" applyFont="1" applyBorder="1" applyAlignment="1">
      <alignment vertical="center" wrapText="1"/>
    </xf>
    <xf numFmtId="0" fontId="260" fillId="0" borderId="159" xfId="0" applyFont="1" applyBorder="1" applyAlignment="1">
      <alignment vertical="center" wrapText="1"/>
    </xf>
    <xf numFmtId="0" fontId="261" fillId="0" borderId="157" xfId="0" applyFont="1" applyBorder="1" applyAlignment="1">
      <alignment vertical="center" wrapText="1"/>
    </xf>
    <xf numFmtId="2" fontId="49" fillId="6" borderId="13" xfId="0" applyNumberFormat="1" applyFont="1" applyFill="1" applyBorder="1" applyAlignment="1" applyProtection="1">
      <alignment vertical="center"/>
    </xf>
    <xf numFmtId="0" fontId="262" fillId="0" borderId="171" xfId="0" applyFont="1" applyBorder="1">
      <alignment vertical="center"/>
    </xf>
    <xf numFmtId="0" fontId="264" fillId="0" borderId="171" xfId="0" applyFont="1" applyBorder="1">
      <alignment vertical="center"/>
    </xf>
    <xf numFmtId="0" fontId="265" fillId="0" borderId="171" xfId="0" applyFont="1" applyBorder="1">
      <alignment vertical="center"/>
    </xf>
    <xf numFmtId="0" fontId="266" fillId="0" borderId="171" xfId="0" applyFont="1" applyBorder="1">
      <alignment vertical="center"/>
    </xf>
    <xf numFmtId="0" fontId="263" fillId="0" borderId="171" xfId="0" applyFont="1" applyBorder="1">
      <alignment vertical="center"/>
    </xf>
    <xf numFmtId="0" fontId="265" fillId="0" borderId="171" xfId="0" applyFont="1" applyBorder="1" applyAlignment="1">
      <alignment vertical="center" wrapText="1"/>
    </xf>
    <xf numFmtId="0" fontId="265" fillId="0" borderId="169" xfId="0" applyFont="1" applyBorder="1">
      <alignment vertical="center"/>
    </xf>
    <xf numFmtId="0" fontId="266" fillId="0" borderId="169" xfId="0" applyFont="1" applyBorder="1">
      <alignment vertical="center"/>
    </xf>
    <xf numFmtId="0" fontId="265" fillId="0" borderId="1" xfId="0" applyNumberFormat="1" applyFont="1" applyBorder="1">
      <alignment vertical="center"/>
    </xf>
    <xf numFmtId="0" fontId="265" fillId="0" borderId="1" xfId="0" applyNumberFormat="1" applyFont="1" applyBorder="1" applyAlignment="1">
      <alignment vertical="center" wrapText="1"/>
    </xf>
    <xf numFmtId="0" fontId="266" fillId="0" borderId="1" xfId="0" applyNumberFormat="1" applyFont="1" applyBorder="1">
      <alignment vertical="center"/>
    </xf>
    <xf numFmtId="2" fontId="0" fillId="0" borderId="1" xfId="0" applyNumberFormat="1" applyBorder="1">
      <alignment vertical="center"/>
    </xf>
    <xf numFmtId="49" fontId="0" fillId="0" borderId="1" xfId="0" applyNumberFormat="1" applyBorder="1">
      <alignment vertical="center"/>
    </xf>
    <xf numFmtId="0" fontId="266" fillId="0" borderId="171" xfId="0" applyFont="1" applyBorder="1" applyAlignment="1">
      <alignment vertical="center" wrapText="1"/>
    </xf>
    <xf numFmtId="0" fontId="264" fillId="0" borderId="169" xfId="0" applyFont="1" applyBorder="1">
      <alignment vertical="center"/>
    </xf>
    <xf numFmtId="0" fontId="263" fillId="0" borderId="171" xfId="0" applyFont="1" applyBorder="1" applyAlignment="1">
      <alignment vertical="center" wrapText="1"/>
    </xf>
    <xf numFmtId="186" fontId="105" fillId="9" borderId="13" xfId="0" applyNumberFormat="1" applyFont="1" applyFill="1" applyBorder="1" applyAlignment="1" applyProtection="1">
      <alignment horizontal="center" vertical="center"/>
      <protection locked="0"/>
    </xf>
    <xf numFmtId="176" fontId="50" fillId="6" borderId="0" xfId="0" applyNumberFormat="1" applyFont="1" applyFill="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190"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61"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61" fillId="7" borderId="5" xfId="0" applyNumberFormat="1" applyFont="1" applyFill="1" applyBorder="1" applyAlignment="1" applyProtection="1">
      <alignment horizontal="left" vertical="center"/>
      <protection locked="0"/>
    </xf>
    <xf numFmtId="49" fontId="61" fillId="7" borderId="54" xfId="0" applyNumberFormat="1" applyFont="1" applyFill="1" applyBorder="1" applyAlignment="1" applyProtection="1">
      <alignment horizontal="left" vertical="center"/>
      <protection locked="0"/>
    </xf>
    <xf numFmtId="49" fontId="61" fillId="7" borderId="3" xfId="0" applyNumberFormat="1" applyFont="1" applyFill="1" applyBorder="1" applyAlignment="1" applyProtection="1">
      <alignment horizontal="left" vertical="center"/>
      <protection locked="0"/>
    </xf>
    <xf numFmtId="49" fontId="37" fillId="7" borderId="85" xfId="0" applyNumberFormat="1" applyFont="1" applyFill="1" applyBorder="1" applyAlignment="1" applyProtection="1">
      <alignment horizontal="left" vertical="center"/>
      <protection locked="0"/>
    </xf>
    <xf numFmtId="49" fontId="61" fillId="7" borderId="88" xfId="0" applyNumberFormat="1" applyFont="1" applyFill="1" applyBorder="1" applyAlignment="1" applyProtection="1">
      <alignment horizontal="left" vertical="center"/>
      <protection locked="0"/>
    </xf>
    <xf numFmtId="49" fontId="6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1" xfId="0" applyNumberFormat="1" applyFont="1" applyBorder="1" applyAlignment="1">
      <alignment horizontal="center" vertical="center"/>
    </xf>
    <xf numFmtId="0" fontId="0" fillId="0" borderId="1" xfId="0" applyNumberFormat="1" applyBorder="1" applyAlignment="1">
      <alignment horizontal="center" vertical="center"/>
    </xf>
    <xf numFmtId="0" fontId="19" fillId="7" borderId="1" xfId="0" applyNumberFormat="1" applyFont="1" applyFill="1" applyBorder="1" applyAlignment="1">
      <alignment horizontal="center" vertical="center" wrapText="1"/>
    </xf>
    <xf numFmtId="0" fontId="19" fillId="0" borderId="1" xfId="0" applyNumberFormat="1" applyFont="1" applyFill="1" applyBorder="1" applyAlignment="1">
      <alignment horizontal="center" vertical="center" wrapText="1"/>
    </xf>
    <xf numFmtId="0" fontId="130" fillId="7" borderId="13" xfId="0" applyNumberFormat="1" applyFont="1" applyFill="1" applyBorder="1" applyAlignment="1">
      <alignment horizontal="center" vertical="center"/>
    </xf>
    <xf numFmtId="0" fontId="130" fillId="7" borderId="15" xfId="0" applyNumberFormat="1" applyFont="1" applyFill="1" applyBorder="1" applyAlignment="1">
      <alignment horizontal="center" vertical="center"/>
    </xf>
    <xf numFmtId="0" fontId="130" fillId="7" borderId="2" xfId="0" applyNumberFormat="1" applyFont="1" applyFill="1" applyBorder="1" applyAlignment="1">
      <alignment horizontal="center" vertical="center"/>
    </xf>
    <xf numFmtId="0" fontId="130" fillId="7" borderId="5" xfId="0" applyNumberFormat="1" applyFont="1" applyFill="1" applyBorder="1" applyAlignment="1">
      <alignment horizontal="center" vertical="center"/>
    </xf>
    <xf numFmtId="0" fontId="130" fillId="7" borderId="3" xfId="0" applyNumberFormat="1" applyFont="1" applyFill="1" applyBorder="1" applyAlignment="1">
      <alignment horizontal="center" vertical="center"/>
    </xf>
    <xf numFmtId="0" fontId="130" fillId="7" borderId="1" xfId="0" applyNumberFormat="1" applyFont="1" applyFill="1" applyBorder="1" applyAlignment="1">
      <alignment horizontal="center" vertical="center"/>
    </xf>
    <xf numFmtId="0" fontId="265" fillId="0" borderId="1" xfId="0" applyNumberFormat="1" applyFont="1" applyBorder="1">
      <alignment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100" fillId="0" borderId="1" xfId="0" applyFont="1" applyBorder="1" applyAlignment="1">
      <alignment horizontal="center" vertical="center"/>
    </xf>
    <xf numFmtId="49" fontId="255" fillId="18" borderId="1" xfId="2" applyNumberFormat="1" applyFont="1" applyFill="1" applyBorder="1" applyAlignment="1">
      <alignment horizontal="center" vertical="center" wrapText="1"/>
    </xf>
    <xf numFmtId="0" fontId="255" fillId="18" borderId="1" xfId="2" applyFont="1" applyFill="1" applyBorder="1" applyAlignment="1">
      <alignment horizontal="center" vertical="center" wrapText="1"/>
    </xf>
    <xf numFmtId="0" fontId="255" fillId="19" borderId="1" xfId="2" applyFont="1" applyFill="1" applyBorder="1" applyAlignment="1">
      <alignment horizontal="center" vertical="center" wrapText="1"/>
    </xf>
    <xf numFmtId="0" fontId="257" fillId="7" borderId="1" xfId="2" applyFont="1" applyFill="1" applyBorder="1" applyAlignment="1">
      <alignment horizontal="center" vertical="center" wrapText="1"/>
    </xf>
    <xf numFmtId="0" fontId="257" fillId="0" borderId="1" xfId="2" applyFont="1" applyFill="1" applyBorder="1" applyAlignment="1">
      <alignment horizontal="center" vertical="center" wrapText="1"/>
    </xf>
    <xf numFmtId="0" fontId="256" fillId="0" borderId="1" xfId="2"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65" fillId="0" borderId="167" xfId="0" applyFont="1" applyBorder="1" applyAlignment="1">
      <alignment vertical="center" wrapText="1"/>
    </xf>
    <xf numFmtId="0" fontId="265" fillId="0" borderId="169" xfId="0" applyFont="1" applyBorder="1" applyAlignment="1">
      <alignment vertical="center" wrapText="1"/>
    </xf>
    <xf numFmtId="0" fontId="264" fillId="0" borderId="173" xfId="0" applyFont="1" applyBorder="1">
      <alignment vertical="center"/>
    </xf>
    <xf numFmtId="0" fontId="264" fillId="0" borderId="172" xfId="0" applyFont="1" applyBorder="1">
      <alignment vertical="center"/>
    </xf>
    <xf numFmtId="0" fontId="264" fillId="0" borderId="170" xfId="0" applyFont="1" applyBorder="1">
      <alignment vertical="center"/>
    </xf>
    <xf numFmtId="0" fontId="265" fillId="0" borderId="167" xfId="0" applyFont="1" applyBorder="1">
      <alignment vertical="center"/>
    </xf>
    <xf numFmtId="0" fontId="265" fillId="0" borderId="169" xfId="0" applyFont="1" applyBorder="1">
      <alignment vertical="center"/>
    </xf>
    <xf numFmtId="0" fontId="265" fillId="0" borderId="173" xfId="0" applyFont="1" applyBorder="1">
      <alignment vertical="center"/>
    </xf>
    <xf numFmtId="0" fontId="265" fillId="0" borderId="172" xfId="0" applyFont="1" applyBorder="1">
      <alignment vertical="center"/>
    </xf>
    <xf numFmtId="0" fontId="265" fillId="0" borderId="170" xfId="0" applyFont="1" applyBorder="1">
      <alignment vertical="center"/>
    </xf>
    <xf numFmtId="0" fontId="263" fillId="0" borderId="167" xfId="0" applyFont="1" applyBorder="1">
      <alignment vertical="center"/>
    </xf>
    <xf numFmtId="0" fontId="263" fillId="0" borderId="168" xfId="0" applyFont="1" applyBorder="1">
      <alignment vertical="center"/>
    </xf>
    <xf numFmtId="0" fontId="263" fillId="0" borderId="169" xfId="0" applyFont="1" applyBorder="1">
      <alignment vertical="center"/>
    </xf>
    <xf numFmtId="0" fontId="265" fillId="0" borderId="168" xfId="0" applyFont="1" applyBorder="1">
      <alignment vertical="center"/>
    </xf>
    <xf numFmtId="0" fontId="266" fillId="0" borderId="173" xfId="0" applyFont="1" applyBorder="1">
      <alignment vertical="center"/>
    </xf>
    <xf numFmtId="0" fontId="266" fillId="0" borderId="170" xfId="0" applyFont="1" applyBorder="1">
      <alignment vertical="center"/>
    </xf>
    <xf numFmtId="0" fontId="263" fillId="0" borderId="173" xfId="0" applyFont="1" applyBorder="1">
      <alignment vertical="center"/>
    </xf>
    <xf numFmtId="0" fontId="263" fillId="0" borderId="170" xfId="0" applyFont="1" applyBorder="1">
      <alignment vertical="center"/>
    </xf>
    <xf numFmtId="0" fontId="259" fillId="0" borderId="160" xfId="0" applyFont="1" applyBorder="1" applyAlignment="1">
      <alignment vertical="center" wrapText="1"/>
    </xf>
    <xf numFmtId="0" fontId="259" fillId="0" borderId="158" xfId="0" applyFont="1" applyBorder="1" applyAlignment="1">
      <alignment vertical="center" wrapText="1"/>
    </xf>
    <xf numFmtId="0" fontId="264" fillId="0" borderId="167" xfId="0" applyFont="1" applyBorder="1">
      <alignment vertical="center"/>
    </xf>
    <xf numFmtId="0" fontId="264" fillId="0" borderId="169" xfId="0" applyFont="1" applyBorder="1">
      <alignment vertical="center"/>
    </xf>
    <xf numFmtId="0" fontId="262" fillId="0" borderId="173" xfId="0" applyFont="1" applyBorder="1">
      <alignment vertical="center"/>
    </xf>
    <xf numFmtId="0" fontId="262" fillId="0" borderId="172" xfId="0" applyFont="1" applyBorder="1">
      <alignment vertical="center"/>
    </xf>
    <xf numFmtId="0" fontId="262" fillId="0" borderId="170" xfId="0" applyFont="1" applyBorder="1">
      <alignment vertical="center"/>
    </xf>
    <xf numFmtId="0" fontId="259" fillId="0" borderId="156" xfId="0" applyFont="1" applyBorder="1" applyAlignment="1">
      <alignment vertical="center" wrapText="1"/>
    </xf>
    <xf numFmtId="0" fontId="259" fillId="0" borderId="157" xfId="0" applyFont="1" applyBorder="1" applyAlignment="1">
      <alignment vertical="center" wrapText="1"/>
    </xf>
    <xf numFmtId="0" fontId="260" fillId="0" borderId="161" xfId="0" applyFont="1" applyBorder="1" applyAlignment="1">
      <alignment vertical="center" wrapText="1"/>
    </xf>
    <xf numFmtId="0" fontId="260" fillId="0" borderId="162" xfId="0" applyFont="1" applyBorder="1" applyAlignment="1">
      <alignment vertical="center" wrapText="1"/>
    </xf>
    <xf numFmtId="0" fontId="259" fillId="0" borderId="161" xfId="0" applyFont="1" applyBorder="1" applyAlignment="1">
      <alignment vertical="center" wrapText="1"/>
    </xf>
    <xf numFmtId="0" fontId="259" fillId="0" borderId="163" xfId="0" applyFont="1" applyBorder="1" applyAlignment="1">
      <alignment vertical="center" wrapText="1"/>
    </xf>
    <xf numFmtId="0" fontId="259" fillId="0" borderId="162" xfId="0" applyFont="1" applyBorder="1" applyAlignment="1">
      <alignment vertical="center" wrapText="1"/>
    </xf>
    <xf numFmtId="0" fontId="259" fillId="0" borderId="164" xfId="0" applyFont="1" applyBorder="1" applyAlignment="1">
      <alignment vertical="center" wrapText="1"/>
    </xf>
    <xf numFmtId="0" fontId="259" fillId="0" borderId="165" xfId="0" applyFont="1" applyBorder="1" applyAlignment="1">
      <alignment vertical="center" wrapText="1"/>
    </xf>
    <xf numFmtId="0" fontId="259" fillId="0" borderId="166" xfId="0" applyFont="1" applyBorder="1" applyAlignment="1">
      <alignment vertical="center" wrapText="1"/>
    </xf>
    <xf numFmtId="0" fontId="262" fillId="0" borderId="161" xfId="0" applyFont="1" applyBorder="1" applyAlignment="1">
      <alignment vertical="center" wrapText="1"/>
    </xf>
    <xf numFmtId="0" fontId="262" fillId="0" borderId="163" xfId="0" applyFont="1" applyBorder="1" applyAlignment="1">
      <alignment vertical="center" wrapText="1"/>
    </xf>
    <xf numFmtId="0" fontId="262" fillId="0" borderId="162" xfId="0" applyFont="1" applyBorder="1" applyAlignment="1">
      <alignment vertical="center" wrapText="1"/>
    </xf>
    <xf numFmtId="0" fontId="260" fillId="0" borderId="163" xfId="0" applyFont="1" applyBorder="1" applyAlignment="1">
      <alignment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1066800</xdr:colOff>
      <xdr:row>19</xdr:row>
      <xdr:rowOff>66675</xdr:rowOff>
    </xdr:from>
    <xdr:to>
      <xdr:col>13</xdr:col>
      <xdr:colOff>1276350</xdr:colOff>
      <xdr:row>63</xdr:row>
      <xdr:rowOff>85725</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63075" y="1590675"/>
          <a:ext cx="7562850" cy="6724650"/>
        </a:xfrm>
        <a:prstGeom prst="rect">
          <a:avLst/>
        </a:prstGeom>
      </xdr:spPr>
    </xdr:pic>
    <xdr:clientData/>
  </xdr:twoCellAnchor>
  <xdr:twoCellAnchor editAs="oneCell">
    <xdr:from>
      <xdr:col>0</xdr:col>
      <xdr:colOff>0</xdr:colOff>
      <xdr:row>19</xdr:row>
      <xdr:rowOff>0</xdr:rowOff>
    </xdr:from>
    <xdr:to>
      <xdr:col>5</xdr:col>
      <xdr:colOff>752475</xdr:colOff>
      <xdr:row>46</xdr:row>
      <xdr:rowOff>59202</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524000"/>
          <a:ext cx="9048750" cy="4174002"/>
        </a:xfrm>
        <a:prstGeom prst="rect">
          <a:avLst/>
        </a:prstGeom>
      </xdr:spPr>
    </xdr:pic>
    <xdr:clientData/>
  </xdr:twoCellAnchor>
  <xdr:twoCellAnchor editAs="oneCell">
    <xdr:from>
      <xdr:col>0</xdr:col>
      <xdr:colOff>0</xdr:colOff>
      <xdr:row>47</xdr:row>
      <xdr:rowOff>1</xdr:rowOff>
    </xdr:from>
    <xdr:to>
      <xdr:col>5</xdr:col>
      <xdr:colOff>800099</xdr:colOff>
      <xdr:row>76</xdr:row>
      <xdr:rowOff>33119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791201"/>
          <a:ext cx="9096374" cy="4452718"/>
        </a:xfrm>
        <a:prstGeom prst="rect">
          <a:avLst/>
        </a:prstGeom>
      </xdr:spPr>
    </xdr:pic>
    <xdr:clientData/>
  </xdr:twoCellAnchor>
  <xdr:twoCellAnchor editAs="oneCell">
    <xdr:from>
      <xdr:col>0</xdr:col>
      <xdr:colOff>0</xdr:colOff>
      <xdr:row>76</xdr:row>
      <xdr:rowOff>152399</xdr:rowOff>
    </xdr:from>
    <xdr:to>
      <xdr:col>5</xdr:col>
      <xdr:colOff>759741</xdr:colOff>
      <xdr:row>105</xdr:row>
      <xdr:rowOff>123825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0363199"/>
          <a:ext cx="9056016" cy="43910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26</xdr:row>
      <xdr:rowOff>0</xdr:rowOff>
    </xdr:from>
    <xdr:to>
      <xdr:col>8</xdr:col>
      <xdr:colOff>10531</xdr:colOff>
      <xdr:row>54</xdr:row>
      <xdr:rowOff>124512</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743200"/>
          <a:ext cx="7211431" cy="492511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321&#22320;&#22359;&#27979;&#31639;2.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规证"/>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收益法"/>
      <sheetName val="收益法（仓储）"/>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169816</v>
          </cell>
          <cell r="C14">
            <v>64089.62</v>
          </cell>
          <cell r="D14">
            <v>304514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8" customWidth="1"/>
    <col min="2" max="2" width="81" style="1595" customWidth="1"/>
    <col min="3" max="16384" width="9" style="1593"/>
  </cols>
  <sheetData>
    <row r="1" spans="1:2" s="1581" customFormat="1" ht="16.5" thickBot="1">
      <c r="A1" s="1580" t="s">
        <v>1214</v>
      </c>
      <c r="B1" s="1579" t="s">
        <v>1293</v>
      </c>
    </row>
    <row r="2" spans="1:2" s="1584" customFormat="1" ht="15" thickTop="1">
      <c r="A2" s="1582" t="s">
        <v>1215</v>
      </c>
      <c r="B2" s="1583" t="str">
        <f>'预评函-封皮'!B37:I37</f>
        <v>北京市北京市顺义区高丽营镇于庄03-31号地块出让国有建设用地使用权及在建建筑物房地产抵押价值预评估</v>
      </c>
    </row>
    <row r="3" spans="1:2" s="1587" customFormat="1">
      <c r="A3" s="1585" t="s">
        <v>1216</v>
      </c>
      <c r="B3" s="1586" t="str">
        <f>'预评函-封皮'!B40</f>
        <v>北京万龙华开房地产开发有限公司</v>
      </c>
    </row>
    <row r="4" spans="1:2" s="1587" customFormat="1">
      <c r="A4" s="1585" t="s">
        <v>1217</v>
      </c>
      <c r="B4" s="1586" t="str">
        <f ca="1">'预评函-封皮'!B46</f>
        <v>郑燚（注册号：1120070131)、崔锴（注册号：1120100036)</v>
      </c>
    </row>
    <row r="5" spans="1:2" s="1581" customFormat="1" ht="15" thickBot="1">
      <c r="A5" s="1588" t="s">
        <v>1218</v>
      </c>
      <c r="B5" s="1589" t="str">
        <f>'预评函-封皮'!B49</f>
        <v>康正预评字号</v>
      </c>
    </row>
    <row r="6" spans="1:2" s="1584" customFormat="1" ht="15" thickTop="1">
      <c r="A6" s="1582" t="s">
        <v>1219</v>
      </c>
      <c r="B6" s="1583" t="str">
        <f>'预评函-1'!A4</f>
        <v>受贵公司委托，我公司对北京市北京市顺义区高丽营镇于庄03-31号地块出让国有建设用地使用权及在建建筑物房地产抵押价值进行了预评估。</v>
      </c>
    </row>
    <row r="7" spans="1:2" s="1587" customFormat="1">
      <c r="A7" s="1585" t="s">
        <v>1259</v>
      </c>
      <c r="B7" s="1586" t="str">
        <f>'预评函-1'!A7</f>
        <v>估价对象为北京市北京市顺义区高丽营镇于庄03-31号地块出让国有建设用地使用权及在建建筑物房地产，为北京万龙华开房地产开发有限公司所有。根据《房屋所有权证》[京（2018）顺不动产权第0000042、0000043号]、，估价对象（分摊）出让国有建设用地使用权面积为59319.7平方米，建筑面积为149246.95平方米。</v>
      </c>
    </row>
    <row r="8" spans="1:2" s="1587" customFormat="1">
      <c r="A8" s="1585" t="s">
        <v>1260</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1261</v>
      </c>
      <c r="B9" s="1586" t="str">
        <f>'预评函-1'!A10</f>
        <v>估价对象为北京市北京市顺义区高丽营镇于庄03-31号地块出让国有建设用地使用权及在建建筑物房地产,属北京万龙华开房地产开发有限公司开发建设的居住项目，该项目尚在开发建设中。根据《房屋所有权证》[京（2018）顺不动产权第0000042、0000043号]、，估价对象（分摊）出让国有建设用地使用权面积为59319.7平方米，规划建筑面积为149246.95平方米。</v>
      </c>
    </row>
    <row r="10" spans="1:2" s="1587" customFormat="1">
      <c r="A10" s="1585" t="s">
        <v>1262</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1220</v>
      </c>
      <c r="B11" s="1586" t="str">
        <f>'预评函-1'!A13</f>
        <v>为估价委托人在向中国建设银行股份有限公司北京城市建设开发专业支行办理贷款手续过程中，确定房地产抵押贷款额度提供参考依据而评估房地产抵押价值。</v>
      </c>
    </row>
    <row r="12" spans="1:2" s="1587" customFormat="1">
      <c r="A12" s="1585" t="s">
        <v>1221</v>
      </c>
      <c r="B12" s="1586" t="str">
        <f>'预评函-1'!A15</f>
        <v>2020年2月17日（评估专业人员实地查勘之日）</v>
      </c>
    </row>
    <row r="13" spans="1:2" s="1587" customFormat="1">
      <c r="A13" s="1585" t="s">
        <v>1222</v>
      </c>
      <c r="B13" s="1586" t="str">
        <f>'预评函-1'!A18</f>
        <v>本次估价的“房地产价值”是指在正常市场情况下，在价值时点2020年2月17日，估价对象规划用途为住宅、商业、地下车库及地下仓储，土地取得方式为出让，出让国有建设用地使用权剩余土地使用年限为住宅67.4年、商业37.4年、地下车库及地下仓储47.4年，假定未设立法定优先受偿款下的房地产市场价值。</v>
      </c>
    </row>
    <row r="14" spans="1:2" s="1587" customFormat="1">
      <c r="A14" s="1585" t="s">
        <v>1223</v>
      </c>
      <c r="B14" s="1586" t="str">
        <f>'预评函-1'!A19</f>
        <v>其中，“出让国有建设用地使用权价值”是指估价对象用途为住宅、商业、地下车库及地下仓储，实际开发程度为宗地红线外“七通”（即通路、通电、通讯、通上水、通下水、通热、燃气）、红线内场地平整条件下，剩余土地使用年限为住宅67.4年、商业37.4年、地下车库及地下仓储47.4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7" customFormat="1">
      <c r="A15" s="1585" t="s">
        <v>1224</v>
      </c>
      <c r="B15" s="1586" t="str">
        <f>'预评函-1'!A20</f>
        <v>本次估价的“抵押担保权已注销时的房地产抵押价值”是指估价对象在价值时点的“房地产价值”扣减估价师于价值时点所知悉的除抵押担保权以外的其他法定优先受偿款后的余额。</v>
      </c>
    </row>
    <row r="16" spans="1:2" s="1587" customFormat="1">
      <c r="A16" s="1585" t="s">
        <v>1225</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1226</v>
      </c>
      <c r="B17" s="1586" t="str">
        <f>'预评函-1'!A22</f>
        <v/>
      </c>
    </row>
    <row r="18" spans="1:2" s="1581" customFormat="1" ht="15" thickBot="1">
      <c r="A18" s="1588" t="s">
        <v>1227</v>
      </c>
      <c r="B18" s="1589" t="str">
        <f>'预评函-1'!A24</f>
        <v>本次评估采用的主估价方法为成本法和假设开发法。</v>
      </c>
    </row>
    <row r="19" spans="1:2" s="1584" customFormat="1" ht="15" thickTop="1">
      <c r="A19" s="1582" t="s">
        <v>1228</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1229</v>
      </c>
      <c r="B20" s="1586">
        <f ca="1">'预评函-2'!D5</f>
        <v>392611</v>
      </c>
    </row>
    <row r="21" spans="1:2" s="1587" customFormat="1">
      <c r="A21" s="1585" t="s">
        <v>1230</v>
      </c>
      <c r="B21" s="1586">
        <f ca="1">'预评函-2'!D7</f>
        <v>26306</v>
      </c>
    </row>
    <row r="22" spans="1:2" s="1587" customFormat="1">
      <c r="A22" s="1585" t="s">
        <v>1231</v>
      </c>
      <c r="B22" s="1586" t="str">
        <f ca="1">'预评函-2'!D6</f>
        <v>叁拾玖亿贰仟陆佰壹拾壹万元整</v>
      </c>
    </row>
    <row r="23" spans="1:2" s="1587" customFormat="1">
      <c r="A23" s="1585" t="s">
        <v>1282</v>
      </c>
      <c r="B23" s="1586" t="str">
        <f>'预评函-2'!B8</f>
        <v>2.估价师知悉的法定优先受偿款</v>
      </c>
    </row>
    <row r="24" spans="1:2" s="1587" customFormat="1">
      <c r="A24" s="1585" t="s">
        <v>1288</v>
      </c>
      <c r="B24" s="1586">
        <f>'预评函-2'!D8</f>
        <v>0</v>
      </c>
    </row>
    <row r="25" spans="1:2" s="1587" customFormat="1">
      <c r="A25" s="1585" t="s">
        <v>1232</v>
      </c>
      <c r="B25" s="1586" t="str">
        <f>'预评函-2'!D9</f>
        <v>零元整</v>
      </c>
    </row>
    <row r="26" spans="1:2" s="1587" customFormat="1">
      <c r="A26" s="1585" t="s">
        <v>1233</v>
      </c>
      <c r="B26" s="1586">
        <f>'预评函-2'!D10</f>
        <v>0</v>
      </c>
    </row>
    <row r="27" spans="1:2" s="1587" customFormat="1">
      <c r="A27" s="1585" t="s">
        <v>1234</v>
      </c>
      <c r="B27" s="1586">
        <f>'预评函-2'!D11</f>
        <v>0</v>
      </c>
    </row>
    <row r="28" spans="1:2" s="1587" customFormat="1">
      <c r="A28" s="1585" t="s">
        <v>1235</v>
      </c>
      <c r="B28" s="1586">
        <f>'预评函-2'!D12</f>
        <v>0</v>
      </c>
    </row>
    <row r="29" spans="1:2" s="1587" customFormat="1">
      <c r="A29" s="1585" t="s">
        <v>1286</v>
      </c>
      <c r="B29" s="1586" t="str">
        <f>'预评函-2'!B13</f>
        <v>——</v>
      </c>
    </row>
    <row r="30" spans="1:2" s="1587" customFormat="1">
      <c r="A30" s="1585" t="s">
        <v>1287</v>
      </c>
      <c r="B30" s="1586" t="str">
        <f>'预评函-2'!D13</f>
        <v>——</v>
      </c>
    </row>
    <row r="31" spans="1:2" s="1587" customFormat="1">
      <c r="A31" s="1585" t="s">
        <v>1269</v>
      </c>
      <c r="B31" s="1586" t="e">
        <f>'预评函-2'!D15</f>
        <v>#VALUE!</v>
      </c>
    </row>
    <row r="32" spans="1:2" s="1587" customFormat="1">
      <c r="A32" s="1585" t="s">
        <v>1236</v>
      </c>
      <c r="B32" s="1586" t="e">
        <f>'预评函-2'!D14</f>
        <v>#VALUE!</v>
      </c>
    </row>
    <row r="33" spans="1:2" s="1587" customFormat="1">
      <c r="A33" s="1585" t="s">
        <v>1271</v>
      </c>
      <c r="B33" s="1586" t="str">
        <f>'预评函-2'!B16</f>
        <v>3.抵押担保权已注销时的房地产抵押价值</v>
      </c>
    </row>
    <row r="34" spans="1:2" s="1587" customFormat="1">
      <c r="A34" s="1585" t="s">
        <v>1289</v>
      </c>
      <c r="B34" s="1586">
        <f ca="1">'预评函-2'!D16</f>
        <v>392611</v>
      </c>
    </row>
    <row r="35" spans="1:2" s="1587" customFormat="1">
      <c r="A35" s="1585" t="s">
        <v>1270</v>
      </c>
      <c r="B35" s="1586">
        <f ca="1">'预评函-2'!D18</f>
        <v>26306</v>
      </c>
    </row>
    <row r="36" spans="1:2" s="1587" customFormat="1">
      <c r="A36" s="1585" t="s">
        <v>1237</v>
      </c>
      <c r="B36" s="1586" t="str">
        <f ca="1">'预评函-2'!D17</f>
        <v>叁拾玖亿贰仟陆佰壹拾壹万元整</v>
      </c>
    </row>
    <row r="37" spans="1:2" s="1587" customFormat="1">
      <c r="A37" s="1585" t="s">
        <v>1272</v>
      </c>
      <c r="B37" s="1586" t="str">
        <f>'预评函-2'!B19</f>
        <v>——</v>
      </c>
    </row>
    <row r="38" spans="1:2" s="1587" customFormat="1">
      <c r="A38" s="1585" t="s">
        <v>1290</v>
      </c>
      <c r="B38" s="1586" t="str">
        <f>'预评函-2'!D19</f>
        <v>——</v>
      </c>
    </row>
    <row r="39" spans="1:2" s="1587" customFormat="1">
      <c r="A39" s="1585" t="s">
        <v>1238</v>
      </c>
      <c r="B39" s="1586" t="str">
        <f>'预评函-2'!D21</f>
        <v>——</v>
      </c>
    </row>
    <row r="40" spans="1:2" s="1587" customFormat="1">
      <c r="A40" s="1585" t="s">
        <v>1239</v>
      </c>
      <c r="B40" s="1586" t="e">
        <f>'预评函-2'!D20</f>
        <v>#VALUE!</v>
      </c>
    </row>
    <row r="41" spans="1:2" s="1587" customFormat="1">
      <c r="A41" s="1585" t="s">
        <v>1285</v>
      </c>
      <c r="B41" s="1586" t="str">
        <f>'预评函-3'!A4</f>
        <v>北京市北京市顺义区高丽营镇于庄03-31号地块出让国有建设用地使用权及在建建筑物房地产</v>
      </c>
    </row>
    <row r="42" spans="1:2" s="1587" customFormat="1">
      <c r="A42" s="1585" t="s">
        <v>1283</v>
      </c>
      <c r="B42" s="1586" t="str">
        <f>'预评函-3'!B2</f>
        <v>建筑面积</v>
      </c>
    </row>
    <row r="43" spans="1:2" s="1587" customFormat="1">
      <c r="A43" s="1585" t="s">
        <v>1284</v>
      </c>
      <c r="B43" s="1586">
        <f>'预评函-3'!B4</f>
        <v>149246.95000000001</v>
      </c>
    </row>
    <row r="44" spans="1:2" s="1587" customFormat="1">
      <c r="A44" s="1585" t="s">
        <v>1268</v>
      </c>
      <c r="B44" s="1586" t="str">
        <f>'预评函-3'!C2</f>
        <v>(分摊)土地面积</v>
      </c>
    </row>
    <row r="45" spans="1:2" s="1587" customFormat="1">
      <c r="A45" s="1585" t="s">
        <v>1240</v>
      </c>
      <c r="B45" s="1586">
        <f>'预评函-3'!C4</f>
        <v>59319.7</v>
      </c>
    </row>
    <row r="46" spans="1:2" s="1587" customFormat="1">
      <c r="A46" s="1585" t="s">
        <v>1266</v>
      </c>
      <c r="B46" s="1586" t="str">
        <f>'预评函-3'!D2</f>
        <v>出让国有建设用地使用权价值</v>
      </c>
    </row>
    <row r="47" spans="1:2" s="1587" customFormat="1">
      <c r="A47" s="1585" t="s">
        <v>1241</v>
      </c>
      <c r="B47" s="1586">
        <f ca="1">'预评函-3'!D4</f>
        <v>360417</v>
      </c>
    </row>
    <row r="48" spans="1:2" s="1587" customFormat="1">
      <c r="A48" s="1585" t="s">
        <v>1242</v>
      </c>
      <c r="B48" s="1586">
        <f ca="1">'预评函-3'!E4</f>
        <v>24149</v>
      </c>
    </row>
    <row r="49" spans="1:2" s="1587" customFormat="1">
      <c r="A49" s="1585" t="s">
        <v>1243</v>
      </c>
      <c r="B49" s="1586" t="str">
        <f ca="1">'预评函-3'!D5</f>
        <v>叁拾陆亿零肆佰壹拾柒万元整</v>
      </c>
    </row>
    <row r="50" spans="1:2" s="1587" customFormat="1">
      <c r="A50" s="1585" t="s">
        <v>1267</v>
      </c>
      <c r="B50" s="1586" t="str">
        <f>'预评函-3'!F2</f>
        <v>在建建筑物价值</v>
      </c>
    </row>
    <row r="51" spans="1:2" s="1587" customFormat="1">
      <c r="A51" s="1585" t="s">
        <v>1244</v>
      </c>
      <c r="B51" s="1586">
        <f ca="1">'预评函-3'!F4</f>
        <v>32194</v>
      </c>
    </row>
    <row r="52" spans="1:2" s="1587" customFormat="1">
      <c r="A52" s="1585" t="s">
        <v>1245</v>
      </c>
      <c r="B52" s="1586">
        <f ca="1">'预评函-3'!G4</f>
        <v>2157</v>
      </c>
    </row>
    <row r="53" spans="1:2" s="1587" customFormat="1">
      <c r="A53" s="1585" t="s">
        <v>1273</v>
      </c>
      <c r="B53" s="1586" t="str">
        <f ca="1">'预评函-3'!F5</f>
        <v>叁亿贰仟壹佰玖拾肆万元整</v>
      </c>
    </row>
    <row r="54" spans="1:2" s="1587" customFormat="1">
      <c r="A54" s="1585" t="s">
        <v>1291</v>
      </c>
      <c r="B54" s="1586" t="str">
        <f>'预评函-3'!A8</f>
        <v/>
      </c>
    </row>
    <row r="55" spans="1:2" s="1587" customFormat="1">
      <c r="A55" s="1585" t="s">
        <v>1274</v>
      </c>
      <c r="B55" s="1586" t="str">
        <f>'预评函-3'!A10</f>
        <v>抵押担保权已注销时的房地产抵押价值</v>
      </c>
    </row>
    <row r="56" spans="1:2" s="1587" customFormat="1">
      <c r="A56" s="1585" t="s">
        <v>1275</v>
      </c>
      <c r="B56" s="1586" t="str">
        <f>'预评函-3'!A12</f>
        <v/>
      </c>
    </row>
    <row r="57" spans="1:2" s="1581" customFormat="1" ht="15" thickBot="1">
      <c r="A57" s="1588" t="s">
        <v>1292</v>
      </c>
      <c r="B57" s="1589" t="str">
        <f>'预评函-3'!A6</f>
        <v>估价师知悉的法定优先受偿款</v>
      </c>
    </row>
    <row r="58" spans="1:2" s="1584" customFormat="1" ht="15" thickTop="1">
      <c r="A58" s="1582" t="s">
        <v>1246</v>
      </c>
      <c r="B58" s="1583" t="str">
        <f>'预评函-4'!A12</f>
        <v>2.本《评估意见函》仅供金融机构进行内部审核使用，不做其他目的之用。</v>
      </c>
    </row>
    <row r="59" spans="1:2" s="1587" customFormat="1">
      <c r="A59" s="1585" t="s">
        <v>1247</v>
      </c>
      <c r="B59" s="1586" t="str">
        <f>'预评函-4'!A13</f>
        <v>3.抵押双方在办理抵押登记手续时，应使用本公司出具的正式《房地产评估报告》，特提醒报告使用者注意。</v>
      </c>
    </row>
    <row r="60" spans="1:2" s="1587" customFormat="1">
      <c r="A60" s="1585" t="s">
        <v>1248</v>
      </c>
      <c r="B60" s="1586" t="str">
        <f>'预评函-4'!A14</f>
        <v>4.本次评估估价师所知悉的法定优先受偿款情况说明如下：</v>
      </c>
    </row>
    <row r="61" spans="1:2" s="1587" customFormat="1">
      <c r="A61" s="1585" t="s">
        <v>1249</v>
      </c>
      <c r="B61" s="158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7" customFormat="1">
      <c r="A62" s="1585" t="s">
        <v>1250</v>
      </c>
      <c r="B62" s="1586" t="str">
        <f>'预评函-4'!A16</f>
        <v>（2）根据《工程款支付情况说明》，截至价值时点，估价对象不存在应付未付工程款项。（只要没有施工方盖章的，均“设定”进行表述）</v>
      </c>
    </row>
    <row r="63" spans="1:2" s="1587" customFormat="1">
      <c r="A63" s="1585" t="s">
        <v>1251</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1263</v>
      </c>
      <c r="B64" s="1586" t="str">
        <f>'预评函-4'!A18</f>
        <v>故，本次评估不存在估价师知悉的法定优先受偿款</v>
      </c>
    </row>
    <row r="65" spans="1:2" s="1587" customFormat="1">
      <c r="A65" s="1585" t="s">
        <v>1252</v>
      </c>
      <c r="B65" s="15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1253</v>
      </c>
      <c r="B66" s="158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7" customFormat="1">
      <c r="A67" s="1585" t="s">
        <v>1264</v>
      </c>
      <c r="B67" s="158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7" customFormat="1">
      <c r="A68" s="1585" t="s">
        <v>1265</v>
      </c>
      <c r="B68" s="1586" t="str">
        <f>'预评函-4'!A22</f>
        <v>8.其他需特殊说明事项：无（注意调整序号）</v>
      </c>
    </row>
    <row r="69" spans="1:2" s="1581" customFormat="1" ht="15" thickBot="1">
      <c r="A69" s="1588" t="s">
        <v>1254</v>
      </c>
      <c r="B69" s="1590">
        <f>'预评函-4'!C31</f>
        <v>42551</v>
      </c>
    </row>
    <row r="70" spans="1:2" ht="15" thickTop="1">
      <c r="A70" s="1591" t="s">
        <v>1255</v>
      </c>
      <c r="B70" s="1592" t="str">
        <f>'预评函-4'!A4</f>
        <v>郑燚</v>
      </c>
    </row>
    <row r="71" spans="1:2">
      <c r="A71" s="1585" t="s">
        <v>1256</v>
      </c>
      <c r="B71" s="1586">
        <f ca="1">'预评函-4'!B4</f>
        <v>1120070131</v>
      </c>
    </row>
    <row r="72" spans="1:2">
      <c r="A72" s="1585" t="s">
        <v>1257</v>
      </c>
      <c r="B72" s="1594" t="str">
        <f>'预评函-4'!A5</f>
        <v>崔锴</v>
      </c>
    </row>
    <row r="73" spans="1:2" s="1581" customFormat="1" ht="15" thickBot="1">
      <c r="A73" s="1588" t="s">
        <v>1258</v>
      </c>
      <c r="B73" s="1589">
        <f ca="1">'预评函-4'!B5</f>
        <v>1120100036</v>
      </c>
    </row>
    <row r="74" spans="1:2" ht="15" thickTop="1">
      <c r="A74" s="1578" t="s">
        <v>1294</v>
      </c>
      <c r="B74" s="159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3" sqref="G13"/>
    </sheetView>
  </sheetViews>
  <sheetFormatPr defaultColWidth="9" defaultRowHeight="13.5"/>
  <cols>
    <col min="1" max="1" width="13.5" style="2017" customWidth="1"/>
    <col min="2" max="2" width="23.25" style="1968" customWidth="1"/>
    <col min="3" max="3" width="13" style="2012" customWidth="1"/>
    <col min="4" max="4" width="5.75" style="2009" customWidth="1"/>
    <col min="5" max="5" width="7.125" style="2009" customWidth="1"/>
    <col min="6" max="6" width="10.625" style="2009" customWidth="1"/>
    <col min="7" max="7" width="7.5" style="2009" customWidth="1"/>
    <col min="8" max="8" width="9" style="2012" customWidth="1"/>
    <col min="9" max="9" width="11.625" style="2012" customWidth="1"/>
    <col min="10" max="10" width="9" style="2012" customWidth="1"/>
    <col min="11" max="19" width="9" style="2009" customWidth="1"/>
    <col min="20" max="23" width="9" style="2012" customWidth="1"/>
    <col min="24" max="24" width="21.125" style="1968" customWidth="1"/>
    <col min="25" max="16384" width="9" style="1968"/>
  </cols>
  <sheetData>
    <row r="1" spans="1:23" s="2006" customFormat="1" ht="27">
      <c r="A1" s="2000" t="s">
        <v>71</v>
      </c>
      <c r="B1" s="2001" t="s">
        <v>1684</v>
      </c>
      <c r="C1" s="2002" t="s">
        <v>759</v>
      </c>
      <c r="D1" s="2003" t="s">
        <v>1685</v>
      </c>
      <c r="E1" s="2003" t="s">
        <v>1686</v>
      </c>
      <c r="F1" s="2003" t="s">
        <v>1687</v>
      </c>
      <c r="G1" s="2003" t="s">
        <v>1688</v>
      </c>
      <c r="H1" s="2003" t="s">
        <v>1689</v>
      </c>
      <c r="I1" s="2003" t="s">
        <v>1690</v>
      </c>
      <c r="J1" s="2003" t="s">
        <v>1691</v>
      </c>
      <c r="K1" s="2003" t="s">
        <v>1692</v>
      </c>
      <c r="L1" s="2003" t="s">
        <v>1693</v>
      </c>
      <c r="M1" s="2003" t="s">
        <v>1694</v>
      </c>
      <c r="N1" s="2003" t="s">
        <v>1695</v>
      </c>
      <c r="O1" s="2003" t="s">
        <v>1696</v>
      </c>
      <c r="P1" s="2004" t="s">
        <v>753</v>
      </c>
      <c r="Q1" s="2004" t="s">
        <v>1140</v>
      </c>
      <c r="R1" s="2003" t="s">
        <v>1134</v>
      </c>
      <c r="S1" s="2003" t="s">
        <v>1697</v>
      </c>
      <c r="T1" s="2005" t="s">
        <v>1698</v>
      </c>
      <c r="U1" s="2003" t="s">
        <v>1699</v>
      </c>
      <c r="V1" s="2003" t="s">
        <v>1700</v>
      </c>
      <c r="W1" s="2003" t="s">
        <v>755</v>
      </c>
    </row>
    <row r="2" spans="1:23">
      <c r="A2" s="2007" t="s">
        <v>22</v>
      </c>
      <c r="B2" s="2007" t="s">
        <v>1701</v>
      </c>
      <c r="C2" s="2008" t="s">
        <v>760</v>
      </c>
      <c r="D2" s="2009" t="s">
        <v>1702</v>
      </c>
      <c r="E2" s="2009" t="s">
        <v>1703</v>
      </c>
      <c r="F2" s="2009" t="s">
        <v>1704</v>
      </c>
      <c r="G2" s="2009">
        <v>40</v>
      </c>
      <c r="H2" s="2009" t="s">
        <v>1704</v>
      </c>
      <c r="I2" s="2009" t="s">
        <v>1705</v>
      </c>
      <c r="J2" s="2009" t="s">
        <v>1706</v>
      </c>
      <c r="K2" s="2009" t="s">
        <v>1707</v>
      </c>
      <c r="L2" s="2009" t="s">
        <v>1707</v>
      </c>
      <c r="M2" s="2009" t="s">
        <v>1707</v>
      </c>
      <c r="N2" s="2009" t="s">
        <v>1707</v>
      </c>
      <c r="O2" s="2009" t="s">
        <v>1707</v>
      </c>
      <c r="P2" s="2009" t="s">
        <v>1707</v>
      </c>
      <c r="Q2" s="2009" t="s">
        <v>1707</v>
      </c>
      <c r="R2" s="2009" t="s">
        <v>1136</v>
      </c>
      <c r="S2" s="2009" t="s">
        <v>1707</v>
      </c>
      <c r="T2" s="2009" t="s">
        <v>1708</v>
      </c>
      <c r="U2" s="2009" t="s">
        <v>1707</v>
      </c>
      <c r="V2" s="2009" t="s">
        <v>1709</v>
      </c>
      <c r="W2" s="2009" t="s">
        <v>1707</v>
      </c>
    </row>
    <row r="3" spans="1:23">
      <c r="A3" s="2007" t="s">
        <v>1710</v>
      </c>
      <c r="B3" s="2010" t="s">
        <v>1141</v>
      </c>
      <c r="C3" s="2011" t="s">
        <v>761</v>
      </c>
      <c r="D3" s="2009" t="s">
        <v>1711</v>
      </c>
      <c r="E3" s="2009" t="s">
        <v>16</v>
      </c>
      <c r="F3" s="2009" t="s">
        <v>1712</v>
      </c>
      <c r="G3" s="2009">
        <v>50</v>
      </c>
      <c r="H3" s="2009" t="s">
        <v>1712</v>
      </c>
      <c r="I3" s="2009" t="s">
        <v>1713</v>
      </c>
      <c r="J3" s="2009" t="s">
        <v>1714</v>
      </c>
      <c r="K3" s="2009" t="s">
        <v>1715</v>
      </c>
      <c r="L3" s="2009" t="s">
        <v>1715</v>
      </c>
      <c r="M3" s="2009" t="s">
        <v>1715</v>
      </c>
      <c r="N3" s="2009" t="s">
        <v>1715</v>
      </c>
      <c r="O3" s="2009" t="s">
        <v>1715</v>
      </c>
      <c r="P3" s="2009" t="s">
        <v>1715</v>
      </c>
      <c r="Q3" s="2009" t="s">
        <v>1715</v>
      </c>
      <c r="R3" s="2009" t="s">
        <v>1135</v>
      </c>
      <c r="S3" s="2009" t="s">
        <v>1715</v>
      </c>
      <c r="T3" s="2009" t="s">
        <v>1716</v>
      </c>
      <c r="U3" s="2009" t="s">
        <v>1715</v>
      </c>
      <c r="V3" s="2009" t="s">
        <v>1717</v>
      </c>
      <c r="W3" s="2009" t="s">
        <v>1715</v>
      </c>
    </row>
    <row r="4" spans="1:23">
      <c r="A4" s="2007" t="s">
        <v>1718</v>
      </c>
      <c r="B4" s="2007" t="s">
        <v>1719</v>
      </c>
      <c r="C4" s="2008" t="s">
        <v>762</v>
      </c>
      <c r="D4" s="2009" t="s">
        <v>864</v>
      </c>
      <c r="E4" s="2009" t="s">
        <v>1720</v>
      </c>
      <c r="F4" s="2009" t="s">
        <v>1721</v>
      </c>
      <c r="G4" s="2009">
        <v>70</v>
      </c>
      <c r="H4" s="2009" t="s">
        <v>1721</v>
      </c>
      <c r="I4" s="2009" t="s">
        <v>1722</v>
      </c>
      <c r="K4" s="2009" t="s">
        <v>1723</v>
      </c>
      <c r="L4" s="2009" t="s">
        <v>1723</v>
      </c>
      <c r="M4" s="2009" t="s">
        <v>1723</v>
      </c>
      <c r="N4" s="2009" t="s">
        <v>1723</v>
      </c>
      <c r="O4" s="2009" t="s">
        <v>1723</v>
      </c>
      <c r="P4" s="2009" t="s">
        <v>1723</v>
      </c>
      <c r="Q4" s="2009" t="s">
        <v>1723</v>
      </c>
      <c r="R4" s="2009" t="s">
        <v>1137</v>
      </c>
      <c r="S4" s="2009" t="s">
        <v>1723</v>
      </c>
      <c r="T4" s="2009" t="s">
        <v>1724</v>
      </c>
      <c r="U4" s="2009" t="s">
        <v>1723</v>
      </c>
      <c r="W4" s="2009" t="s">
        <v>1723</v>
      </c>
    </row>
    <row r="5" spans="1:23">
      <c r="A5" s="2007" t="s">
        <v>1725</v>
      </c>
      <c r="B5" s="2007" t="s">
        <v>1726</v>
      </c>
      <c r="C5" s="2008" t="s">
        <v>763</v>
      </c>
      <c r="F5" s="2009" t="s">
        <v>1727</v>
      </c>
      <c r="H5" s="2009" t="s">
        <v>1728</v>
      </c>
      <c r="I5" s="2009" t="s">
        <v>1729</v>
      </c>
      <c r="K5" s="2009" t="s">
        <v>1730</v>
      </c>
      <c r="L5" s="2009" t="s">
        <v>1730</v>
      </c>
      <c r="M5" s="2009" t="s">
        <v>1730</v>
      </c>
      <c r="N5" s="2009" t="s">
        <v>1730</v>
      </c>
      <c r="O5" s="2009" t="s">
        <v>1730</v>
      </c>
      <c r="P5" s="2009" t="s">
        <v>1730</v>
      </c>
      <c r="Q5" s="2009" t="s">
        <v>1730</v>
      </c>
      <c r="R5" s="2009" t="s">
        <v>1138</v>
      </c>
      <c r="S5" s="2009" t="s">
        <v>1730</v>
      </c>
      <c r="T5" s="2009" t="s">
        <v>1731</v>
      </c>
      <c r="U5" s="2009" t="s">
        <v>1730</v>
      </c>
      <c r="W5" s="2009" t="s">
        <v>1730</v>
      </c>
    </row>
    <row r="6" spans="1:23">
      <c r="A6" s="2007" t="s">
        <v>1732</v>
      </c>
      <c r="B6" s="2010" t="s">
        <v>1142</v>
      </c>
      <c r="C6" s="2013" t="s">
        <v>30</v>
      </c>
      <c r="F6" s="2009" t="s">
        <v>1728</v>
      </c>
      <c r="H6" s="2009" t="s">
        <v>1733</v>
      </c>
      <c r="I6" s="2009" t="s">
        <v>1734</v>
      </c>
      <c r="K6" s="2009" t="s">
        <v>1735</v>
      </c>
      <c r="L6" s="2009" t="s">
        <v>1735</v>
      </c>
      <c r="M6" s="2009" t="s">
        <v>1735</v>
      </c>
      <c r="N6" s="2009" t="s">
        <v>1735</v>
      </c>
      <c r="O6" s="2009" t="s">
        <v>1735</v>
      </c>
      <c r="P6" s="2009" t="s">
        <v>1735</v>
      </c>
      <c r="Q6" s="2009" t="s">
        <v>1735</v>
      </c>
      <c r="R6" s="2009" t="s">
        <v>1139</v>
      </c>
      <c r="S6" s="2009" t="s">
        <v>1735</v>
      </c>
      <c r="T6" s="2009"/>
      <c r="U6" s="2009" t="s">
        <v>1735</v>
      </c>
      <c r="W6" s="2009" t="s">
        <v>1735</v>
      </c>
    </row>
    <row r="7" spans="1:23">
      <c r="A7" s="2007" t="s">
        <v>1736</v>
      </c>
      <c r="B7" s="2010" t="s">
        <v>1143</v>
      </c>
      <c r="C7" s="2008" t="s">
        <v>31</v>
      </c>
      <c r="F7" s="2009" t="s">
        <v>1737</v>
      </c>
      <c r="H7" s="2009" t="s">
        <v>1738</v>
      </c>
      <c r="I7" s="2009" t="s">
        <v>1739</v>
      </c>
    </row>
    <row r="8" spans="1:23">
      <c r="A8" s="2007" t="s">
        <v>1740</v>
      </c>
      <c r="B8" s="2007" t="s">
        <v>1741</v>
      </c>
      <c r="C8" s="2008" t="s">
        <v>764</v>
      </c>
      <c r="F8" s="2009" t="s">
        <v>1742</v>
      </c>
      <c r="H8" s="2009"/>
      <c r="I8" s="2009" t="s">
        <v>1743</v>
      </c>
    </row>
    <row r="9" spans="1:23">
      <c r="A9" s="2007" t="s">
        <v>1744</v>
      </c>
      <c r="B9" s="2007" t="s">
        <v>1745</v>
      </c>
      <c r="C9" s="2008" t="s">
        <v>765</v>
      </c>
      <c r="F9" s="2009" t="s">
        <v>1746</v>
      </c>
      <c r="H9" s="2009"/>
    </row>
    <row r="10" spans="1:23">
      <c r="A10" s="2007" t="s">
        <v>1747</v>
      </c>
      <c r="B10" s="2007" t="s">
        <v>1748</v>
      </c>
      <c r="C10" s="2008" t="s">
        <v>766</v>
      </c>
      <c r="F10" s="2009" t="s">
        <v>16</v>
      </c>
    </row>
    <row r="11" spans="1:23">
      <c r="A11" s="2007" t="s">
        <v>1749</v>
      </c>
      <c r="B11" s="2007" t="s">
        <v>1750</v>
      </c>
      <c r="C11" s="2008" t="s">
        <v>767</v>
      </c>
    </row>
    <row r="12" spans="1:23">
      <c r="A12" s="2007" t="s">
        <v>1751</v>
      </c>
      <c r="B12" s="2007" t="s">
        <v>1752</v>
      </c>
      <c r="C12" s="2008" t="s">
        <v>768</v>
      </c>
    </row>
    <row r="13" spans="1:23">
      <c r="A13" s="2007" t="s">
        <v>1753</v>
      </c>
      <c r="B13" s="2007" t="s">
        <v>1754</v>
      </c>
      <c r="C13" s="2008" t="s">
        <v>769</v>
      </c>
    </row>
    <row r="14" spans="1:23">
      <c r="A14" s="2007" t="s">
        <v>1755</v>
      </c>
      <c r="B14" s="2007" t="s">
        <v>1756</v>
      </c>
      <c r="C14" s="2009" t="s">
        <v>16</v>
      </c>
    </row>
    <row r="15" spans="1:23">
      <c r="A15" s="2007" t="s">
        <v>1757</v>
      </c>
      <c r="B15" s="2007" t="s">
        <v>1758</v>
      </c>
      <c r="C15" s="2008"/>
    </row>
    <row r="16" spans="1:23">
      <c r="A16" s="2007" t="s">
        <v>1759</v>
      </c>
      <c r="B16" s="2007" t="s">
        <v>756</v>
      </c>
      <c r="C16" s="2008"/>
    </row>
    <row r="17" spans="1:3">
      <c r="A17" s="2007" t="s">
        <v>1760</v>
      </c>
      <c r="B17" s="2007" t="s">
        <v>757</v>
      </c>
      <c r="C17" s="2008"/>
    </row>
    <row r="18" spans="1:3">
      <c r="A18" s="2007" t="s">
        <v>1761</v>
      </c>
      <c r="B18" s="2007" t="s">
        <v>757</v>
      </c>
      <c r="C18" s="2008"/>
    </row>
    <row r="19" spans="1:3">
      <c r="A19" s="2007" t="s">
        <v>1762</v>
      </c>
      <c r="B19" s="2007" t="s">
        <v>4534</v>
      </c>
      <c r="C19" s="2008"/>
    </row>
    <row r="20" spans="1:3">
      <c r="A20" s="2007" t="s">
        <v>1763</v>
      </c>
      <c r="B20" s="2007" t="s">
        <v>4712</v>
      </c>
      <c r="C20" s="2008"/>
    </row>
    <row r="21" spans="1:3">
      <c r="A21" s="2007" t="s">
        <v>1764</v>
      </c>
      <c r="B21" s="2007" t="s">
        <v>4544</v>
      </c>
      <c r="C21" s="2008"/>
    </row>
    <row r="22" spans="1:3">
      <c r="A22" s="2007" t="s">
        <v>1765</v>
      </c>
      <c r="B22" s="2007" t="s">
        <v>4532</v>
      </c>
      <c r="C22" s="2008"/>
    </row>
    <row r="23" spans="1:3">
      <c r="A23" s="2007" t="s">
        <v>1766</v>
      </c>
      <c r="B23" s="2007" t="s">
        <v>757</v>
      </c>
      <c r="C23" s="2008"/>
    </row>
    <row r="24" spans="1:3">
      <c r="A24" s="2007" t="s">
        <v>1767</v>
      </c>
      <c r="B24" s="2007" t="s">
        <v>757</v>
      </c>
      <c r="C24" s="2008"/>
    </row>
    <row r="25" spans="1:3">
      <c r="A25" s="2007" t="s">
        <v>1768</v>
      </c>
      <c r="B25" s="2007" t="s">
        <v>757</v>
      </c>
      <c r="C25" s="2008"/>
    </row>
    <row r="26" spans="1:3">
      <c r="A26" s="2007" t="s">
        <v>1769</v>
      </c>
      <c r="B26" s="2007" t="s">
        <v>757</v>
      </c>
      <c r="C26" s="2008"/>
    </row>
    <row r="27" spans="1:3">
      <c r="A27" s="2007" t="s">
        <v>757</v>
      </c>
      <c r="B27" s="2007" t="s">
        <v>757</v>
      </c>
      <c r="C27" s="2008"/>
    </row>
    <row r="28" spans="1:3">
      <c r="A28" s="2007" t="s">
        <v>757</v>
      </c>
      <c r="B28" s="2007" t="s">
        <v>757</v>
      </c>
      <c r="C28" s="2008"/>
    </row>
    <row r="29" spans="1:3">
      <c r="A29" s="2007" t="s">
        <v>4434</v>
      </c>
      <c r="B29" s="2007" t="s">
        <v>757</v>
      </c>
      <c r="C29" s="2008"/>
    </row>
    <row r="30" spans="1:3">
      <c r="A30" s="2007" t="s">
        <v>4435</v>
      </c>
      <c r="B30" s="2007" t="s">
        <v>757</v>
      </c>
      <c r="C30" s="2008"/>
    </row>
    <row r="31" spans="1:3">
      <c r="A31" s="2007" t="s">
        <v>4489</v>
      </c>
      <c r="B31" s="2007" t="s">
        <v>757</v>
      </c>
      <c r="C31" s="2008"/>
    </row>
    <row r="32" spans="1:3">
      <c r="A32" s="2007" t="s">
        <v>4491</v>
      </c>
      <c r="B32" s="2007" t="s">
        <v>757</v>
      </c>
      <c r="C32" s="2008"/>
    </row>
    <row r="33" spans="1:3">
      <c r="A33" s="2007" t="s">
        <v>4493</v>
      </c>
      <c r="B33" s="2007" t="s">
        <v>757</v>
      </c>
      <c r="C33" s="2008"/>
    </row>
    <row r="34" spans="1:3">
      <c r="A34" s="2007" t="s">
        <v>757</v>
      </c>
      <c r="B34" s="2007" t="s">
        <v>757</v>
      </c>
      <c r="C34" s="2008"/>
    </row>
    <row r="35" spans="1:3">
      <c r="A35" s="2007" t="s">
        <v>757</v>
      </c>
      <c r="B35" s="2007" t="s">
        <v>757</v>
      </c>
      <c r="C35" s="2008"/>
    </row>
    <row r="36" spans="1:3">
      <c r="A36" s="2007" t="s">
        <v>757</v>
      </c>
      <c r="B36" s="2007" t="s">
        <v>757</v>
      </c>
      <c r="C36" s="2008"/>
    </row>
    <row r="37" spans="1:3">
      <c r="A37" s="2007" t="s">
        <v>757</v>
      </c>
      <c r="B37" s="2007" t="s">
        <v>757</v>
      </c>
      <c r="C37" s="2008"/>
    </row>
    <row r="38" spans="1:3">
      <c r="A38" s="2007" t="s">
        <v>757</v>
      </c>
      <c r="B38" s="2007" t="s">
        <v>757</v>
      </c>
      <c r="C38" s="2008"/>
    </row>
    <row r="39" spans="1:3">
      <c r="A39" s="2007" t="s">
        <v>757</v>
      </c>
      <c r="B39" s="2007" t="s">
        <v>757</v>
      </c>
      <c r="C39" s="2008"/>
    </row>
    <row r="40" spans="1:3">
      <c r="A40" s="2007" t="s">
        <v>757</v>
      </c>
      <c r="B40" s="2007" t="s">
        <v>757</v>
      </c>
      <c r="C40" s="2008"/>
    </row>
    <row r="41" spans="1:3">
      <c r="A41" s="2007" t="s">
        <v>757</v>
      </c>
      <c r="B41" s="2007" t="s">
        <v>757</v>
      </c>
      <c r="C41" s="2008"/>
    </row>
    <row r="42" spans="1:3">
      <c r="A42" s="2007" t="s">
        <v>757</v>
      </c>
      <c r="B42" s="2007" t="s">
        <v>757</v>
      </c>
      <c r="C42" s="2008"/>
    </row>
    <row r="43" spans="1:3">
      <c r="A43" s="2007" t="s">
        <v>757</v>
      </c>
      <c r="B43" s="2007" t="s">
        <v>757</v>
      </c>
      <c r="C43" s="2008"/>
    </row>
    <row r="44" spans="1:3">
      <c r="A44" s="2007" t="s">
        <v>757</v>
      </c>
      <c r="B44" s="2007" t="s">
        <v>757</v>
      </c>
      <c r="C44" s="2008"/>
    </row>
    <row r="45" spans="1:3">
      <c r="A45" s="2007" t="s">
        <v>757</v>
      </c>
      <c r="B45" s="2007" t="s">
        <v>757</v>
      </c>
      <c r="C45" s="2008"/>
    </row>
    <row r="46" spans="1:3">
      <c r="A46" s="2007" t="s">
        <v>757</v>
      </c>
      <c r="B46" s="2007" t="s">
        <v>757</v>
      </c>
      <c r="C46" s="2008"/>
    </row>
    <row r="47" spans="1:3">
      <c r="A47" s="2007" t="s">
        <v>757</v>
      </c>
      <c r="B47" s="2007" t="s">
        <v>757</v>
      </c>
      <c r="C47" s="2008"/>
    </row>
    <row r="48" spans="1:3">
      <c r="A48" s="2007" t="s">
        <v>757</v>
      </c>
      <c r="B48" s="2007" t="s">
        <v>757</v>
      </c>
      <c r="C48" s="2008"/>
    </row>
    <row r="49" spans="1:4">
      <c r="A49" s="2007" t="s">
        <v>757</v>
      </c>
      <c r="B49" s="2007" t="s">
        <v>757</v>
      </c>
      <c r="C49" s="2008"/>
    </row>
    <row r="50" spans="1:4">
      <c r="A50" s="2007" t="s">
        <v>757</v>
      </c>
      <c r="B50" s="2007" t="s">
        <v>757</v>
      </c>
      <c r="C50" s="2008"/>
    </row>
    <row r="51" spans="1:4">
      <c r="A51" s="2014" t="s">
        <v>853</v>
      </c>
      <c r="B51" s="2015" t="str">
        <f>"为估价委托人在向"&amp;项目基本情况!B6&amp;"办理贷款手续过程中，确定房地产抵押贷款额度提供参考依据而评估房地产抵押价值。"</f>
        <v>为估价委托人在向中国建设银行股份有限公司北京城市建设开发专业支行办理贷款手续过程中，确定房地产抵押贷款额度提供参考依据而评估房地产抵押价值。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龙华开房地产开发有限公司拟使用北京市北京市顺义区高丽营镇于庄03-31号地块出让国有建设用地使用权及在建建筑物房地产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房地产抵押贷款额度提供参考依据而评估房地产抵押价值。</v>
      </c>
      <c r="D51" s="2015" t="s">
        <v>1279</v>
      </c>
    </row>
    <row r="52" spans="1:4">
      <c r="A52" s="2014" t="s">
        <v>854</v>
      </c>
      <c r="B52" s="2014" t="s">
        <v>855</v>
      </c>
      <c r="C52" s="2012" t="s">
        <v>856</v>
      </c>
      <c r="D52" s="2012" t="s">
        <v>857</v>
      </c>
    </row>
    <row r="53" spans="1:4">
      <c r="A53" s="3167" t="s">
        <v>858</v>
      </c>
      <c r="B53" s="2015" t="s">
        <v>859</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2月17日，估价对象规划用途为住宅、商业、地下车库及地下仓储土地取得方式为出让，出让国有建设用地使用权剩余土地使用年限为XX年(多用途剩余年限尾数不同时，可只体现小数点后一位)，假定未设立法定优先受偿款下的房地产市场价值。</v>
      </c>
    </row>
    <row r="54" spans="1:4">
      <c r="A54" s="3167"/>
      <c r="B54" s="2015" t="s">
        <v>860</v>
      </c>
      <c r="C54" s="2012" t="s">
        <v>1276</v>
      </c>
    </row>
    <row r="55" spans="1:4">
      <c r="A55" s="3167"/>
      <c r="B55" s="2015" t="s">
        <v>861</v>
      </c>
      <c r="C55" s="2012" t="s">
        <v>1277</v>
      </c>
    </row>
    <row r="56" spans="1:4">
      <c r="A56" s="3167"/>
      <c r="B56" s="2015" t="s">
        <v>862</v>
      </c>
      <c r="C56" s="2012" t="s">
        <v>1281</v>
      </c>
    </row>
    <row r="57" spans="1:4">
      <c r="A57" s="3167"/>
      <c r="B57" s="2015" t="s">
        <v>863</v>
      </c>
      <c r="C57" s="2012" t="s">
        <v>1278</v>
      </c>
    </row>
    <row r="58" spans="1:4">
      <c r="A58" s="2016"/>
      <c r="B58" s="2012"/>
    </row>
    <row r="59" spans="1:4">
      <c r="A59" s="2016"/>
      <c r="B59" s="2012"/>
    </row>
    <row r="60" spans="1:4">
      <c r="A60" s="2016"/>
      <c r="B60" s="2012"/>
    </row>
    <row r="61" spans="1:4">
      <c r="A61" s="2016"/>
      <c r="B61" s="2012"/>
    </row>
    <row r="62" spans="1:4">
      <c r="A62" s="2016"/>
      <c r="B62" s="2012"/>
    </row>
    <row r="63" spans="1:4">
      <c r="A63" s="2016"/>
      <c r="B63" s="2012"/>
    </row>
    <row r="64" spans="1:4">
      <c r="A64" s="2016"/>
      <c r="B64" s="2012"/>
    </row>
    <row r="65" spans="1:2">
      <c r="A65" s="2016"/>
      <c r="B65" s="2012"/>
    </row>
    <row r="66" spans="1:2">
      <c r="A66" s="2016"/>
      <c r="B66" s="2012"/>
    </row>
    <row r="67" spans="1:2">
      <c r="A67" s="2016"/>
      <c r="B67" s="2012"/>
    </row>
    <row r="68" spans="1:2">
      <c r="A68" s="2016"/>
      <c r="B68" s="2012"/>
    </row>
    <row r="69" spans="1:2">
      <c r="A69" s="2016"/>
      <c r="B69" s="2012"/>
    </row>
    <row r="70" spans="1:2">
      <c r="A70" s="2016"/>
      <c r="B70" s="2012"/>
    </row>
    <row r="71" spans="1:2">
      <c r="A71" s="2016"/>
      <c r="B71" s="2012"/>
    </row>
    <row r="72" spans="1:2">
      <c r="A72" s="2016"/>
      <c r="B72" s="2012"/>
    </row>
    <row r="73" spans="1:2">
      <c r="A73" s="2016"/>
      <c r="B73" s="2012"/>
    </row>
    <row r="74" spans="1:2">
      <c r="A74" s="2016"/>
      <c r="B74" s="2012"/>
    </row>
    <row r="75" spans="1:2">
      <c r="A75" s="2016"/>
      <c r="B75" s="2012"/>
    </row>
    <row r="76" spans="1:2">
      <c r="A76" s="2016"/>
      <c r="B76" s="2012"/>
    </row>
    <row r="77" spans="1:2">
      <c r="A77" s="2016"/>
      <c r="B77" s="2012"/>
    </row>
    <row r="78" spans="1:2">
      <c r="A78" s="2016"/>
      <c r="B78" s="2012"/>
    </row>
    <row r="79" spans="1:2">
      <c r="A79" s="2016"/>
      <c r="B79" s="2012"/>
    </row>
    <row r="80" spans="1:2">
      <c r="A80" s="2016"/>
      <c r="B80" s="2012"/>
    </row>
    <row r="81" spans="1:2">
      <c r="A81" s="2016"/>
      <c r="B81" s="2012"/>
    </row>
    <row r="82" spans="1:2">
      <c r="A82" s="2016"/>
      <c r="B82" s="2012"/>
    </row>
    <row r="83" spans="1:2">
      <c r="A83" s="2016"/>
      <c r="B83" s="2012"/>
    </row>
    <row r="84" spans="1:2">
      <c r="A84" s="2016"/>
      <c r="B84" s="2012"/>
    </row>
    <row r="85" spans="1:2">
      <c r="A85" s="2016"/>
      <c r="B85" s="2012"/>
    </row>
    <row r="86" spans="1:2">
      <c r="A86" s="2016"/>
      <c r="B86" s="2012"/>
    </row>
    <row r="87" spans="1:2">
      <c r="A87" s="2016"/>
      <c r="B87" s="2012"/>
    </row>
    <row r="88" spans="1:2">
      <c r="A88" s="2016"/>
      <c r="B88" s="2012"/>
    </row>
    <row r="89" spans="1:2">
      <c r="A89" s="2016"/>
      <c r="B89" s="2012"/>
    </row>
    <row r="90" spans="1:2">
      <c r="A90" s="2016"/>
      <c r="B90" s="2012"/>
    </row>
    <row r="91" spans="1:2">
      <c r="A91" s="2016"/>
      <c r="B91" s="2012"/>
    </row>
    <row r="92" spans="1:2">
      <c r="A92" s="2016"/>
      <c r="B92" s="2012"/>
    </row>
    <row r="93" spans="1:2">
      <c r="A93" s="2016"/>
      <c r="B93" s="2012"/>
    </row>
    <row r="94" spans="1:2">
      <c r="A94" s="2016"/>
      <c r="B94" s="2012"/>
    </row>
    <row r="95" spans="1:2">
      <c r="A95" s="2016"/>
      <c r="B95" s="2012"/>
    </row>
    <row r="96" spans="1:2">
      <c r="A96" s="2016"/>
      <c r="B96" s="2012"/>
    </row>
    <row r="97" spans="1:2">
      <c r="A97" s="2016"/>
      <c r="B97" s="2012"/>
    </row>
    <row r="98" spans="1:2">
      <c r="A98" s="2016"/>
      <c r="B98" s="2012"/>
    </row>
    <row r="99" spans="1:2">
      <c r="A99" s="2016"/>
      <c r="B99" s="2012"/>
    </row>
    <row r="100" spans="1:2">
      <c r="A100" s="2016"/>
      <c r="B100" s="2012"/>
    </row>
    <row r="101" spans="1:2">
      <c r="A101" s="2016"/>
      <c r="B101" s="2012"/>
    </row>
    <row r="102" spans="1:2">
      <c r="A102" s="2016"/>
      <c r="B102" s="2012"/>
    </row>
    <row r="103" spans="1:2">
      <c r="A103" s="2016"/>
      <c r="B103" s="2012"/>
    </row>
    <row r="104" spans="1:2">
      <c r="A104" s="2016"/>
      <c r="B104" s="2012"/>
    </row>
    <row r="105" spans="1:2">
      <c r="A105" s="2016"/>
      <c r="B105" s="2012"/>
    </row>
    <row r="106" spans="1:2">
      <c r="A106" s="2016"/>
      <c r="B106" s="2012"/>
    </row>
    <row r="107" spans="1:2">
      <c r="A107" s="2016"/>
      <c r="B107" s="2012"/>
    </row>
    <row r="108" spans="1:2">
      <c r="A108" s="2016"/>
      <c r="B108" s="2012"/>
    </row>
    <row r="109" spans="1:2">
      <c r="A109" s="2016"/>
      <c r="B109" s="2012"/>
    </row>
    <row r="110" spans="1:2">
      <c r="A110" s="2016"/>
      <c r="B110" s="2012"/>
    </row>
    <row r="111" spans="1:2">
      <c r="A111" s="2016"/>
      <c r="B111" s="2012"/>
    </row>
    <row r="112" spans="1:2">
      <c r="A112" s="2016"/>
      <c r="B112" s="2012"/>
    </row>
    <row r="113" spans="1:2">
      <c r="A113" s="2016"/>
      <c r="B113" s="2012"/>
    </row>
    <row r="114" spans="1:2">
      <c r="A114" s="2016"/>
      <c r="B114" s="2012"/>
    </row>
    <row r="115" spans="1:2">
      <c r="A115" s="2016"/>
      <c r="B115" s="2012"/>
    </row>
    <row r="116" spans="1:2">
      <c r="A116" s="2016"/>
      <c r="B116" s="2012"/>
    </row>
    <row r="117" spans="1:2">
      <c r="A117" s="2016"/>
      <c r="B117" s="2012"/>
    </row>
    <row r="118" spans="1:2">
      <c r="A118" s="2016"/>
      <c r="B118" s="2012"/>
    </row>
    <row r="119" spans="1:2">
      <c r="A119" s="2016"/>
      <c r="B119" s="2012"/>
    </row>
    <row r="120" spans="1:2">
      <c r="A120" s="2016"/>
      <c r="B120" s="2012"/>
    </row>
    <row r="121" spans="1:2">
      <c r="A121" s="2016"/>
      <c r="B121" s="2012"/>
    </row>
    <row r="122" spans="1:2">
      <c r="A122" s="2016"/>
      <c r="B122" s="2012"/>
    </row>
    <row r="123" spans="1:2">
      <c r="A123" s="2016"/>
      <c r="B123" s="2012"/>
    </row>
    <row r="124" spans="1:2">
      <c r="A124" s="2016"/>
      <c r="B124" s="2012"/>
    </row>
    <row r="125" spans="1:2">
      <c r="A125" s="2016"/>
      <c r="B125" s="2012"/>
    </row>
    <row r="126" spans="1:2">
      <c r="A126" s="2016"/>
      <c r="B126" s="2012"/>
    </row>
    <row r="127" spans="1:2">
      <c r="A127" s="2016"/>
      <c r="B127" s="201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E15" sqref="E15"/>
    </sheetView>
  </sheetViews>
  <sheetFormatPr defaultColWidth="10" defaultRowHeight="18" customHeight="1"/>
  <cols>
    <col min="1" max="1" width="14.875" style="2025" customWidth="1"/>
    <col min="2" max="3" width="11.5" style="2025" customWidth="1"/>
    <col min="4" max="6" width="10" style="2025" customWidth="1"/>
    <col min="7" max="7" width="10.75" style="2025" customWidth="1"/>
    <col min="8" max="8" width="10" style="2025" customWidth="1"/>
    <col min="9" max="9" width="11.125" style="2144" customWidth="1"/>
    <col min="10" max="10" width="10" style="2025" customWidth="1"/>
    <col min="11" max="11" width="10" style="2145" customWidth="1"/>
    <col min="12" max="13" width="10" style="2146" customWidth="1"/>
    <col min="14" max="14" width="10" style="2025" customWidth="1"/>
    <col min="15" max="15" width="10" style="2144" customWidth="1"/>
    <col min="16" max="17" width="10" style="2025"/>
    <col min="18" max="18" width="10" style="2025" customWidth="1"/>
    <col min="19" max="16384" width="10" style="2025"/>
  </cols>
  <sheetData>
    <row r="1" spans="1:19" ht="38.25" customHeight="1" thickBot="1">
      <c r="A1" s="2018" t="s">
        <v>1770</v>
      </c>
      <c r="B1" s="3176" t="str">
        <f>IF(B10="北京市","北京市",C10)&amp;F10&amp;IF(结果表!G1="在建","出让国有建设用地使用权及在建建筑物",IF(结果表!G1="土地","出让国有建设用地使用权",))&amp;B9&amp;"预评估"</f>
        <v>北京市北京市顺义区高丽营镇于庄03-31号地块出让国有建设用地使用权及在建建筑物房地产抵押价值预评估</v>
      </c>
      <c r="C1" s="3177"/>
      <c r="D1" s="3177"/>
      <c r="E1" s="3177"/>
      <c r="F1" s="3177"/>
      <c r="G1" s="3177"/>
      <c r="H1" s="3177"/>
      <c r="I1" s="3178"/>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北京市北京市顺义区高丽营镇于庄03-31号地块出让国有建设用地使用权及在建建筑物房地产抵押价值</v>
      </c>
    </row>
    <row r="2" spans="1:19" ht="18" customHeight="1">
      <c r="A2" s="2019" t="s">
        <v>1771</v>
      </c>
      <c r="B2" s="1036"/>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北京市北京市顺义区高丽营镇于庄03-31号地块出让国有建设用地使用权及在建建筑物房地产</v>
      </c>
    </row>
    <row r="3" spans="1:19" ht="18" customHeight="1">
      <c r="A3" s="2028" t="s">
        <v>1772</v>
      </c>
      <c r="B3" s="2029">
        <v>43878</v>
      </c>
      <c r="C3" s="2030" t="s">
        <v>1773</v>
      </c>
      <c r="D3" s="2029">
        <f>B3</f>
        <v>43878</v>
      </c>
      <c r="E3" s="2019"/>
      <c r="F3" s="2019"/>
      <c r="G3" s="2019"/>
      <c r="H3" s="2019"/>
      <c r="I3" s="2019"/>
      <c r="J3" s="2019"/>
      <c r="K3" s="2020"/>
      <c r="L3" s="2021"/>
      <c r="M3" s="2021"/>
      <c r="N3" s="2022"/>
      <c r="O3" s="2023"/>
      <c r="P3" s="2022"/>
      <c r="Q3" s="2022"/>
      <c r="R3" s="2022"/>
      <c r="S3" s="2024"/>
    </row>
    <row r="4" spans="1:19" ht="18" customHeight="1" thickBot="1">
      <c r="A4" s="2031" t="s">
        <v>1774</v>
      </c>
      <c r="B4" s="2032" t="s">
        <v>4436</v>
      </c>
      <c r="C4" s="1034">
        <f ca="1">SUMIF(注册房地产估价师,B4,估价师及机构信息!B3:B24)</f>
        <v>1120070131</v>
      </c>
      <c r="D4" s="2032" t="s">
        <v>4437</v>
      </c>
      <c r="E4" s="1035">
        <f ca="1">SUMIF(注册房地产估价师,D4,估价师及机构信息!B3:B24)</f>
        <v>1120100036</v>
      </c>
      <c r="F4" s="2032" t="s">
        <v>70</v>
      </c>
      <c r="G4" s="2033">
        <f>SUMIF(注册房地产估价师,F4,估价师及机构信息!B3:B24)</f>
        <v>0</v>
      </c>
      <c r="H4" s="2032" t="s">
        <v>70</v>
      </c>
      <c r="I4" s="2034">
        <f>SUMIF(注册房地产估价师,H4,估价师及机构信息!B3:B24)</f>
        <v>0</v>
      </c>
      <c r="J4" s="2035"/>
      <c r="K4" s="2036" t="str">
        <f ca="1">CONCATENATE(B4,"（注册号：",C4,")、",D4,"（注册号：",E4,")")</f>
        <v>郑燚（注册号：1120070131)、崔锴（注册号：1120100036)</v>
      </c>
      <c r="L4" s="2021"/>
      <c r="M4" s="2021"/>
      <c r="N4" s="2022"/>
      <c r="O4" s="2023"/>
      <c r="P4" s="2022"/>
      <c r="Q4" s="2022"/>
      <c r="R4" s="2022"/>
      <c r="S4" s="2024"/>
    </row>
    <row r="5" spans="1:19" ht="33.75" customHeight="1" thickTop="1">
      <c r="A5" s="2037" t="s">
        <v>1775</v>
      </c>
      <c r="B5" s="3013" t="s">
        <v>4707</v>
      </c>
      <c r="C5" s="2038"/>
      <c r="D5" s="2039"/>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c r="A6" s="2040" t="s">
        <v>1776</v>
      </c>
      <c r="B6" s="3014" t="s">
        <v>4708</v>
      </c>
      <c r="C6" s="2041"/>
      <c r="D6" s="2042"/>
      <c r="E6" s="2027"/>
      <c r="F6" s="2035"/>
      <c r="G6" s="2035"/>
      <c r="H6" s="2035"/>
      <c r="I6" s="2035"/>
      <c r="J6" s="2035"/>
      <c r="K6" s="2043" t="str">
        <f>IF(COUNTIF(B6,"*上海银行*"),"上海银行","")</f>
        <v/>
      </c>
      <c r="L6" s="2021"/>
      <c r="M6" s="2021"/>
      <c r="N6" s="2022"/>
      <c r="O6" s="2023"/>
      <c r="P6" s="2022"/>
      <c r="Q6" s="2022"/>
      <c r="R6" s="2022"/>
    </row>
    <row r="7" spans="1:19" ht="31.5" customHeight="1">
      <c r="A7" s="2040" t="s">
        <v>1777</v>
      </c>
      <c r="B7" s="3015" t="s">
        <v>4438</v>
      </c>
      <c r="C7" s="2041"/>
      <c r="D7" s="2042"/>
      <c r="E7" s="2027"/>
      <c r="F7" s="2035"/>
      <c r="G7" s="2035"/>
      <c r="H7" s="2035"/>
      <c r="I7" s="2035"/>
      <c r="J7" s="2035"/>
      <c r="K7" s="2044"/>
      <c r="L7" s="2021"/>
      <c r="M7" s="2021"/>
      <c r="N7" s="2022"/>
      <c r="O7" s="2023"/>
      <c r="P7" s="2022"/>
      <c r="Q7" s="2022"/>
      <c r="R7" s="2022"/>
    </row>
    <row r="8" spans="1:19" ht="18" customHeight="1">
      <c r="A8" s="2040" t="s">
        <v>1778</v>
      </c>
      <c r="B8" s="2045" t="s">
        <v>4439</v>
      </c>
      <c r="C8" s="2046"/>
      <c r="D8" s="3179" t="s">
        <v>1779</v>
      </c>
      <c r="E8" s="2047" t="s">
        <v>4440</v>
      </c>
      <c r="F8" s="2048"/>
      <c r="G8" s="2019"/>
      <c r="H8" s="2019"/>
      <c r="I8" s="2019"/>
      <c r="J8" s="2035"/>
      <c r="K8" s="2036"/>
      <c r="L8" s="2021"/>
      <c r="M8" s="2021"/>
      <c r="N8" s="2022"/>
      <c r="O8" s="2023"/>
      <c r="P8" s="2022"/>
      <c r="Q8" s="2022"/>
      <c r="R8" s="2022"/>
    </row>
    <row r="9" spans="1:19" ht="18" customHeight="1" thickBot="1">
      <c r="A9" s="2033" t="s">
        <v>1780</v>
      </c>
      <c r="B9" s="2049" t="s">
        <v>4441</v>
      </c>
      <c r="C9" s="2050"/>
      <c r="D9" s="3180"/>
      <c r="E9" s="2049" t="s">
        <v>70</v>
      </c>
      <c r="F9" s="2051"/>
      <c r="G9" s="2052"/>
      <c r="H9" s="2052"/>
      <c r="I9" s="2052"/>
      <c r="J9" s="2035"/>
      <c r="K9" s="2044"/>
      <c r="L9" s="2021"/>
      <c r="M9" s="2021"/>
      <c r="N9" s="2022"/>
      <c r="O9" s="2023"/>
      <c r="P9" s="2022"/>
      <c r="Q9" s="2022"/>
      <c r="R9" s="2022"/>
    </row>
    <row r="10" spans="1:19" ht="18" customHeight="1" thickTop="1">
      <c r="A10" s="2053" t="s">
        <v>1781</v>
      </c>
      <c r="B10" s="2054" t="s">
        <v>4442</v>
      </c>
      <c r="C10" s="2055"/>
      <c r="D10" s="2039"/>
      <c r="E10" s="2056" t="s">
        <v>1782</v>
      </c>
      <c r="F10" s="3021" t="s">
        <v>4709</v>
      </c>
      <c r="G10" s="2057"/>
      <c r="H10" s="2058"/>
      <c r="I10" s="2039"/>
      <c r="J10" s="2035"/>
      <c r="K10" s="2044"/>
      <c r="L10" s="2021"/>
      <c r="M10" s="2021"/>
      <c r="N10" s="2022"/>
      <c r="O10" s="2023"/>
      <c r="P10" s="2022"/>
      <c r="Q10" s="2022"/>
      <c r="R10" s="2022"/>
    </row>
    <row r="11" spans="1:19" ht="18" customHeight="1">
      <c r="A11" s="2059" t="s">
        <v>1783</v>
      </c>
      <c r="B11" s="2060" t="s">
        <v>4462</v>
      </c>
      <c r="C11" s="3019" t="s">
        <v>4707</v>
      </c>
      <c r="D11" s="2061"/>
      <c r="E11" s="2035"/>
      <c r="F11" s="2035"/>
      <c r="G11" s="2035"/>
      <c r="H11" s="2035"/>
      <c r="I11" s="2035"/>
      <c r="J11" s="2035"/>
      <c r="K11" s="2044"/>
      <c r="L11" s="2021"/>
      <c r="M11" s="2021"/>
      <c r="N11" s="2022"/>
      <c r="O11" s="2023"/>
      <c r="P11" s="2022"/>
      <c r="Q11" s="2022"/>
      <c r="R11" s="2022"/>
    </row>
    <row r="12" spans="1:19" ht="18" customHeight="1">
      <c r="A12" s="2062" t="s">
        <v>1784</v>
      </c>
      <c r="B12" s="2060" t="s">
        <v>4463</v>
      </c>
      <c r="C12" s="2063" t="s">
        <v>1785</v>
      </c>
      <c r="D12" s="2064" t="s">
        <v>1786</v>
      </c>
      <c r="E12" s="2064" t="s">
        <v>1787</v>
      </c>
      <c r="F12" s="2064" t="s">
        <v>1788</v>
      </c>
      <c r="G12" s="2064" t="s">
        <v>1789</v>
      </c>
      <c r="H12" s="2064" t="s">
        <v>1790</v>
      </c>
      <c r="I12" s="2064" t="s">
        <v>1791</v>
      </c>
      <c r="J12" s="2035"/>
      <c r="K12" s="2044"/>
      <c r="L12" s="2021"/>
      <c r="M12" s="2021"/>
      <c r="N12" s="2022"/>
      <c r="O12" s="2023"/>
      <c r="P12" s="2022"/>
      <c r="Q12" s="2022"/>
      <c r="R12" s="2022"/>
    </row>
    <row r="13" spans="1:19" ht="18" customHeight="1">
      <c r="A13" s="2065"/>
      <c r="B13" s="2066"/>
      <c r="C13" s="2067" t="s">
        <v>1792</v>
      </c>
      <c r="D13" s="3020">
        <v>68510</v>
      </c>
      <c r="E13" s="3020">
        <v>57553</v>
      </c>
      <c r="F13" s="3020"/>
      <c r="G13" s="3020">
        <v>61205</v>
      </c>
      <c r="H13" s="3020">
        <f>G13</f>
        <v>61205</v>
      </c>
      <c r="I13" s="1044"/>
      <c r="J13" s="2035"/>
      <c r="K13" s="2044"/>
      <c r="L13" s="2021"/>
      <c r="M13" s="2021"/>
      <c r="N13" s="2022"/>
      <c r="O13" s="2023"/>
      <c r="P13" s="2022"/>
      <c r="Q13" s="2022"/>
      <c r="R13" s="2022"/>
    </row>
    <row r="14" spans="1:19" ht="18" customHeight="1">
      <c r="A14" s="2065"/>
      <c r="B14" s="2066"/>
      <c r="C14" s="2067" t="s">
        <v>1793</v>
      </c>
      <c r="D14" s="1047">
        <v>70</v>
      </c>
      <c r="E14" s="1047">
        <v>40</v>
      </c>
      <c r="F14" s="1047"/>
      <c r="G14" s="1047">
        <v>50</v>
      </c>
      <c r="H14" s="1047">
        <v>50</v>
      </c>
      <c r="I14" s="1047"/>
      <c r="J14" s="2035"/>
      <c r="K14" s="2068"/>
      <c r="L14" s="2021"/>
      <c r="M14" s="2021"/>
      <c r="N14" s="2022"/>
      <c r="O14" s="2023"/>
      <c r="P14" s="2022"/>
      <c r="Q14" s="2022"/>
      <c r="R14" s="2022"/>
    </row>
    <row r="15" spans="1:19" ht="18" customHeight="1">
      <c r="A15" s="2053"/>
      <c r="B15" s="2069"/>
      <c r="C15" s="2067" t="s">
        <v>1794</v>
      </c>
      <c r="D15" s="1046">
        <f>IF(B12="出让",IF(D13="","",ROUNDDOWN(MIN((D13-$D$3)/365,D14),2)),D14)</f>
        <v>67.48</v>
      </c>
      <c r="E15" s="1046">
        <f>IF(B12="出让",IF(E13="","",ROUNDDOWN(MIN((E13-$D$3)/365,E14),2)),E14)</f>
        <v>37.46</v>
      </c>
      <c r="F15" s="1046" t="str">
        <f>IF(B12="出让",IF(F13="","",ROUNDDOWN(MIN((F13-$D$3)/365,F14),2)),F14)</f>
        <v/>
      </c>
      <c r="G15" s="1046">
        <f>IF(B12="出让",IF(G13="","",ROUNDDOWN(MIN((G13-$D$3)/365,G14),2)),G14)</f>
        <v>47.47</v>
      </c>
      <c r="H15" s="1046">
        <f>IF(B12="出让",IF(H13="","",ROUNDDOWN(MIN((H13-$D$3)/365,H14),2)),H14)</f>
        <v>47.47</v>
      </c>
      <c r="I15" s="1046" t="str">
        <f>IF(B12="出让",IF(I13="","",ROUNDDOWN(MIN((I13-$D$3)/365,I14),2)),I14)</f>
        <v/>
      </c>
      <c r="J15" s="2035"/>
      <c r="K15" s="2070"/>
      <c r="L15" s="2071"/>
      <c r="M15" s="2071"/>
      <c r="N15" s="2072"/>
      <c r="O15" s="2071"/>
      <c r="P15" s="2072"/>
      <c r="Q15" s="2022"/>
      <c r="R15" s="2022"/>
    </row>
    <row r="16" spans="1:19" ht="30.75" customHeight="1">
      <c r="A16" s="2056" t="s">
        <v>1795</v>
      </c>
      <c r="B16" s="3186" t="s">
        <v>4710</v>
      </c>
      <c r="C16" s="3187"/>
      <c r="D16" s="3188"/>
      <c r="E16" s="3022" t="s">
        <v>4465</v>
      </c>
      <c r="F16" s="3189" t="s">
        <v>4776</v>
      </c>
      <c r="G16" s="3190"/>
      <c r="H16" s="3190"/>
      <c r="I16" s="3191"/>
      <c r="J16" s="2022"/>
      <c r="K16" s="2070"/>
      <c r="L16" s="2071"/>
      <c r="M16" s="2071"/>
      <c r="N16" s="2072"/>
      <c r="O16" s="2071"/>
      <c r="P16" s="2072"/>
      <c r="Q16" s="2022"/>
      <c r="R16" s="2022"/>
    </row>
    <row r="17" spans="1:22" ht="18" customHeight="1">
      <c r="A17" s="2073" t="s">
        <v>1796</v>
      </c>
      <c r="B17" s="3023" t="s">
        <v>4466</v>
      </c>
      <c r="C17" s="3024">
        <f>'数据-汇总表'!E3</f>
        <v>149246.95000000001</v>
      </c>
      <c r="D17" s="3025" t="s">
        <v>4467</v>
      </c>
      <c r="E17" s="3192" t="s">
        <v>4468</v>
      </c>
      <c r="F17" s="3193"/>
      <c r="G17" s="3193"/>
      <c r="H17" s="3193"/>
      <c r="I17" s="3194"/>
      <c r="J17" s="2022"/>
      <c r="K17" s="2074"/>
      <c r="L17" s="2071"/>
      <c r="M17" s="2071"/>
      <c r="N17" s="2072"/>
      <c r="O17" s="2071"/>
      <c r="P17" s="2072"/>
      <c r="Q17" s="2022"/>
      <c r="R17" s="2022"/>
      <c r="S17" s="2022"/>
      <c r="T17" s="2022"/>
      <c r="U17" s="2022"/>
      <c r="V17" s="2022"/>
    </row>
    <row r="18" spans="1:22" ht="36" customHeight="1" thickBot="1">
      <c r="A18" s="2075" t="s">
        <v>1797</v>
      </c>
      <c r="B18" s="3026" t="s">
        <v>4469</v>
      </c>
      <c r="C18" s="3027">
        <f>'数据-汇总表'!D3</f>
        <v>59319.7</v>
      </c>
      <c r="D18" s="3028" t="s">
        <v>4467</v>
      </c>
      <c r="E18" s="3195" t="s">
        <v>4464</v>
      </c>
      <c r="F18" s="3196"/>
      <c r="G18" s="3196"/>
      <c r="H18" s="3196"/>
      <c r="I18" s="3197"/>
      <c r="J18" s="2022"/>
      <c r="K18" s="2074"/>
      <c r="L18" s="2071"/>
      <c r="M18" s="2071"/>
      <c r="N18" s="2072"/>
      <c r="O18" s="2071"/>
      <c r="P18" s="2072"/>
      <c r="Q18" s="2022"/>
      <c r="R18" s="2022"/>
      <c r="S18" s="2022"/>
      <c r="T18" s="2022"/>
      <c r="U18" s="2022"/>
      <c r="V18" s="2022"/>
    </row>
    <row r="19" spans="1:22" ht="37.5" customHeight="1" thickTop="1" thickBot="1">
      <c r="A19" s="371" t="s">
        <v>1798</v>
      </c>
      <c r="B19" s="350" t="s">
        <v>1799</v>
      </c>
      <c r="C19" s="2076" t="s">
        <v>4433</v>
      </c>
      <c r="D19" s="2077" t="s">
        <v>1800</v>
      </c>
      <c r="E19" s="2078" t="s">
        <v>4470</v>
      </c>
      <c r="F19" s="2079" t="str">
        <f>IF(AND(C19="是",E19="否"),"是否提供他项权证或相关说明","")</f>
        <v>是否提供他项权证或相关说明</v>
      </c>
      <c r="G19" s="2080" t="s">
        <v>4470</v>
      </c>
      <c r="H19" s="2035"/>
      <c r="I19" s="2035"/>
      <c r="J19" s="2035"/>
      <c r="K19" s="2044"/>
      <c r="L19" s="2021"/>
      <c r="M19" s="2021"/>
      <c r="N19" s="2072"/>
      <c r="O19" s="2071"/>
      <c r="P19" s="2072"/>
      <c r="Q19" s="2022"/>
      <c r="R19" s="2022"/>
      <c r="S19" s="2022"/>
      <c r="T19" s="2022"/>
      <c r="U19" s="2022"/>
      <c r="V19" s="2022"/>
    </row>
    <row r="20" spans="1:22" ht="18" customHeight="1">
      <c r="A20" s="2081" t="s">
        <v>1801</v>
      </c>
      <c r="B20" s="3182" t="s">
        <v>1802</v>
      </c>
      <c r="C20" s="3183"/>
      <c r="D20" s="3184" t="s">
        <v>1803</v>
      </c>
      <c r="E20" s="3185"/>
      <c r="F20" s="2082" t="s">
        <v>1804</v>
      </c>
      <c r="G20" s="2035"/>
      <c r="H20" s="2035"/>
      <c r="I20" s="2035"/>
      <c r="J20" s="2035"/>
      <c r="K20" s="3181" t="s">
        <v>1805</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1"/>
      <c r="N20" s="2072"/>
      <c r="O20" s="2071"/>
      <c r="P20" s="2072"/>
      <c r="Q20" s="2022"/>
      <c r="R20" s="2022"/>
      <c r="S20" s="2022"/>
      <c r="T20" s="2022"/>
      <c r="U20" s="2022"/>
      <c r="V20" s="2022"/>
    </row>
    <row r="21" spans="1:22" ht="24.75" customHeight="1">
      <c r="A21" s="2081"/>
      <c r="B21" s="2083" t="s">
        <v>1806</v>
      </c>
      <c r="C21" s="2084" t="s">
        <v>1807</v>
      </c>
      <c r="D21" s="2085"/>
      <c r="E21" s="2086" t="s">
        <v>1807</v>
      </c>
      <c r="F21" s="2087"/>
      <c r="G21" s="2035"/>
      <c r="H21" s="2035"/>
      <c r="I21" s="2035"/>
      <c r="J21" s="2035"/>
      <c r="K21" s="3181"/>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1"/>
      <c r="N21" s="2072"/>
      <c r="O21" s="2071"/>
      <c r="P21" s="2072"/>
      <c r="Q21" s="2022"/>
      <c r="R21" s="2022"/>
      <c r="S21" s="2022"/>
      <c r="T21" s="2022"/>
      <c r="U21" s="2022"/>
      <c r="V21" s="2022"/>
    </row>
    <row r="22" spans="1:22" ht="24.75" customHeight="1" thickBot="1">
      <c r="A22" s="2081"/>
      <c r="B22" s="2088" t="s">
        <v>1808</v>
      </c>
      <c r="C22" s="2084" t="s">
        <v>1809</v>
      </c>
      <c r="D22" s="2019"/>
      <c r="E22" s="2019"/>
      <c r="F22" s="2089"/>
      <c r="G22" s="2035"/>
      <c r="H22" s="2035"/>
      <c r="I22" s="2035"/>
      <c r="J22" s="2035"/>
      <c r="K22" s="3181"/>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2"/>
      <c r="O22" s="2071"/>
      <c r="P22" s="2072"/>
      <c r="Q22" s="2022"/>
      <c r="R22" s="2022"/>
      <c r="S22" s="2022"/>
      <c r="T22" s="2022"/>
      <c r="U22" s="2022"/>
      <c r="V22" s="2022"/>
    </row>
    <row r="23" spans="1:22" ht="18" customHeight="1">
      <c r="A23" s="2090" t="s">
        <v>1810</v>
      </c>
      <c r="B23" s="181" t="s">
        <v>1811</v>
      </c>
      <c r="C23" s="2091"/>
      <c r="D23" s="2092" t="s">
        <v>1811</v>
      </c>
      <c r="E23" s="2093"/>
      <c r="F23" s="2089"/>
      <c r="G23" s="2035"/>
      <c r="H23" s="2035"/>
      <c r="I23" s="2035"/>
      <c r="J23" s="2035"/>
      <c r="K23" s="2094"/>
      <c r="L23" s="746"/>
      <c r="M23" s="2021"/>
      <c r="N23" s="2072"/>
      <c r="O23" s="2071"/>
      <c r="P23" s="2072"/>
      <c r="Q23" s="2022"/>
      <c r="R23" s="2022"/>
      <c r="S23" s="2022"/>
      <c r="T23" s="2022"/>
      <c r="U23" s="2022"/>
      <c r="V23" s="2022"/>
    </row>
    <row r="24" spans="1:22" ht="18" customHeight="1">
      <c r="A24" s="2095"/>
      <c r="B24" s="181" t="s">
        <v>1812</v>
      </c>
      <c r="C24" s="2096"/>
      <c r="D24" s="2090" t="s">
        <v>1812</v>
      </c>
      <c r="E24" s="2097"/>
      <c r="F24" s="2089"/>
      <c r="G24" s="2035"/>
      <c r="H24" s="2035"/>
      <c r="I24" s="2035"/>
      <c r="J24" s="2035"/>
      <c r="K24" s="2094"/>
      <c r="L24" s="746"/>
      <c r="M24" s="2021"/>
      <c r="N24" s="2072"/>
      <c r="O24" s="2071"/>
      <c r="P24" s="2072"/>
      <c r="Q24" s="2022"/>
      <c r="R24" s="2022"/>
      <c r="S24" s="2022"/>
      <c r="T24" s="2022"/>
      <c r="U24" s="2022"/>
      <c r="V24" s="2022"/>
    </row>
    <row r="25" spans="1:22" ht="18" customHeight="1">
      <c r="A25" s="2095"/>
      <c r="B25" s="181" t="s">
        <v>1813</v>
      </c>
      <c r="C25" s="2096"/>
      <c r="D25" s="2090" t="s">
        <v>1813</v>
      </c>
      <c r="E25" s="2097"/>
      <c r="F25" s="2089"/>
      <c r="G25" s="2035"/>
      <c r="H25" s="2035"/>
      <c r="I25" s="2035"/>
      <c r="J25" s="2035"/>
      <c r="K25" s="2044"/>
      <c r="L25" s="2021"/>
      <c r="M25" s="2021"/>
      <c r="N25" s="2072"/>
      <c r="O25" s="2071"/>
      <c r="P25" s="2072"/>
      <c r="Q25" s="2022"/>
      <c r="R25" s="2022"/>
      <c r="S25" s="2022"/>
      <c r="T25" s="2022"/>
      <c r="U25" s="2022"/>
      <c r="V25" s="2022"/>
    </row>
    <row r="26" spans="1:22" ht="18" customHeight="1" thickBot="1">
      <c r="A26" s="2098"/>
      <c r="B26" s="2099" t="s">
        <v>1814</v>
      </c>
      <c r="C26" s="2100"/>
      <c r="D26" s="2101" t="s">
        <v>1815</v>
      </c>
      <c r="E26" s="2102"/>
      <c r="F26" s="2103"/>
      <c r="G26" s="2052"/>
      <c r="H26" s="2052"/>
      <c r="I26" s="2052"/>
      <c r="J26" s="2035"/>
      <c r="K26" s="2044"/>
      <c r="L26" s="2021"/>
      <c r="M26" s="2021"/>
      <c r="N26" s="2072"/>
      <c r="O26" s="2071"/>
      <c r="P26" s="2072"/>
      <c r="Q26" s="2022"/>
      <c r="R26" s="2022"/>
      <c r="S26" s="2022"/>
      <c r="T26" s="2022"/>
      <c r="U26" s="2022"/>
      <c r="V26" s="2022"/>
    </row>
    <row r="27" spans="1:22" ht="18" customHeight="1" thickTop="1">
      <c r="A27" s="3169" t="s">
        <v>1816</v>
      </c>
      <c r="B27" s="2053" t="s">
        <v>1817</v>
      </c>
      <c r="C27" s="2104" t="s">
        <v>4471</v>
      </c>
      <c r="D27" s="2105"/>
      <c r="E27" s="2035"/>
      <c r="F27" s="2035"/>
      <c r="G27" s="2035"/>
      <c r="H27" s="2035"/>
      <c r="I27" s="2035"/>
      <c r="J27" s="2022"/>
      <c r="K27" s="2070"/>
      <c r="L27" s="2071"/>
      <c r="M27" s="2071"/>
      <c r="N27" s="2072"/>
      <c r="O27" s="2071"/>
      <c r="P27" s="2072"/>
      <c r="Q27" s="2022"/>
      <c r="R27" s="2022"/>
      <c r="S27" s="2022"/>
      <c r="T27" s="2022"/>
      <c r="U27" s="2022"/>
      <c r="V27" s="2022"/>
    </row>
    <row r="28" spans="1:22" ht="18" customHeight="1">
      <c r="A28" s="3169"/>
      <c r="B28" s="2028" t="s">
        <v>1818</v>
      </c>
      <c r="C28" s="2106" t="s">
        <v>4472</v>
      </c>
      <c r="D28" s="2107"/>
      <c r="E28" s="2035"/>
      <c r="F28" s="2035"/>
      <c r="G28" s="2035"/>
      <c r="H28" s="2035"/>
      <c r="I28" s="2035"/>
      <c r="J28" s="2022"/>
      <c r="K28" s="2108"/>
      <c r="L28" s="2021"/>
      <c r="M28" s="2021"/>
      <c r="N28" s="2022"/>
      <c r="O28" s="2023"/>
      <c r="P28" s="2022"/>
      <c r="Q28" s="2022"/>
      <c r="R28" s="2022"/>
      <c r="S28" s="2022"/>
      <c r="T28" s="2022"/>
      <c r="U28" s="2022"/>
      <c r="V28" s="2022"/>
    </row>
    <row r="29" spans="1:22" ht="18" customHeight="1">
      <c r="A29" s="3169"/>
      <c r="B29" s="2028" t="s">
        <v>1819</v>
      </c>
      <c r="C29" s="2109" t="s">
        <v>4473</v>
      </c>
      <c r="D29" s="2110"/>
      <c r="E29" s="2035"/>
      <c r="F29" s="2035"/>
      <c r="G29" s="2035"/>
      <c r="H29" s="2035"/>
      <c r="I29" s="2035"/>
      <c r="J29" s="2022"/>
      <c r="K29" s="2108"/>
      <c r="L29" s="2021"/>
      <c r="M29" s="2021"/>
      <c r="N29" s="2022"/>
      <c r="O29" s="2023"/>
      <c r="P29" s="2022"/>
      <c r="Q29" s="2022"/>
      <c r="R29" s="2022"/>
      <c r="S29" s="2022"/>
      <c r="T29" s="2022"/>
      <c r="U29" s="2022"/>
      <c r="V29" s="2022"/>
    </row>
    <row r="30" spans="1:22" ht="18" customHeight="1">
      <c r="A30" s="3170"/>
      <c r="B30" s="2028" t="s">
        <v>1820</v>
      </c>
      <c r="C30" s="3171" t="s">
        <v>4482</v>
      </c>
      <c r="D30" s="3172"/>
      <c r="E30" s="2035"/>
      <c r="F30" s="2035"/>
      <c r="G30" s="2035"/>
      <c r="H30" s="2035"/>
      <c r="I30" s="2035"/>
      <c r="J30" s="2022"/>
      <c r="K30" s="2108"/>
      <c r="L30" s="2021"/>
      <c r="M30" s="2021"/>
      <c r="N30" s="2022"/>
      <c r="O30" s="2023"/>
      <c r="P30" s="2022"/>
      <c r="Q30" s="2022"/>
      <c r="R30" s="2022"/>
      <c r="S30" s="2022"/>
      <c r="T30" s="2022"/>
      <c r="U30" s="2022"/>
      <c r="V30" s="2022"/>
    </row>
    <row r="31" spans="1:22" ht="18" customHeight="1">
      <c r="A31" s="3173" t="s">
        <v>1821</v>
      </c>
      <c r="B31" s="2111" t="s">
        <v>4474</v>
      </c>
      <c r="C31" s="2112" t="str">
        <f>IF(B31="现房","成新及维护状况正常否",IF(B31="在建","工程状态是否正常",IF(B31="土地","是否闲置","-")))</f>
        <v>工程状态是否正常</v>
      </c>
      <c r="D31" s="2113"/>
      <c r="E31" s="2114"/>
      <c r="F31" s="2035"/>
      <c r="G31" s="2035"/>
      <c r="H31" s="2035"/>
      <c r="I31" s="2035"/>
      <c r="J31" s="2035"/>
      <c r="K31" s="2043"/>
      <c r="L31" s="2021"/>
      <c r="M31" s="2021"/>
      <c r="N31" s="2022"/>
      <c r="O31" s="2023"/>
      <c r="P31" s="2022"/>
      <c r="Q31" s="2022"/>
      <c r="R31" s="2022"/>
      <c r="S31" s="2022"/>
      <c r="T31" s="2022"/>
      <c r="U31" s="2022"/>
      <c r="V31" s="2022"/>
    </row>
    <row r="32" spans="1:22" ht="18" customHeight="1">
      <c r="A32" s="3174"/>
      <c r="B32" s="2111"/>
      <c r="C32" s="2112" t="str">
        <f>IF(B32="现房","成新及维护状况是否正常",IF(B32="在建","工程状态是否正常",IF(B32="土地","是否闲置","-")))</f>
        <v>-</v>
      </c>
      <c r="D32" s="2113"/>
      <c r="E32" s="2114"/>
      <c r="F32" s="2035"/>
      <c r="G32" s="2035"/>
      <c r="H32" s="2035"/>
      <c r="I32" s="2035"/>
      <c r="J32" s="2035"/>
      <c r="K32" s="2044"/>
      <c r="L32" s="2021"/>
      <c r="M32" s="2021"/>
      <c r="N32" s="2022"/>
      <c r="O32" s="2023"/>
      <c r="P32" s="2022"/>
      <c r="Q32" s="2022"/>
      <c r="R32" s="2022"/>
      <c r="S32" s="2022"/>
      <c r="T32" s="2022"/>
      <c r="U32" s="2022"/>
      <c r="V32" s="2022"/>
    </row>
    <row r="33" spans="1:22" ht="18" customHeight="1">
      <c r="A33" s="3174"/>
      <c r="B33" s="2115"/>
      <c r="C33" s="2059" t="str">
        <f>IF(B33="现房","成新及维护状况是否正常",IF(B33="在建","工程状态是否正常",IF(B33="土地","是否闲置","-")))</f>
        <v>-</v>
      </c>
      <c r="D33" s="2116"/>
      <c r="E33" s="2117"/>
      <c r="F33" s="2035"/>
      <c r="G33" s="2035"/>
      <c r="H33" s="2035"/>
      <c r="I33" s="2035"/>
      <c r="J33" s="2035"/>
      <c r="K33" s="2044"/>
      <c r="L33" s="2021"/>
      <c r="M33" s="2021"/>
      <c r="N33" s="2022"/>
      <c r="O33" s="2023"/>
      <c r="P33" s="2022"/>
      <c r="Q33" s="2022"/>
      <c r="R33" s="2022"/>
      <c r="S33" s="2022"/>
      <c r="T33" s="2022"/>
      <c r="U33" s="2022"/>
      <c r="V33" s="2022"/>
    </row>
    <row r="34" spans="1:22" ht="18" customHeight="1">
      <c r="A34" s="2028" t="s">
        <v>1822</v>
      </c>
      <c r="B34" s="2118" t="s">
        <v>4475</v>
      </c>
      <c r="C34" s="2118" t="s">
        <v>4476</v>
      </c>
      <c r="D34" s="2118" t="s">
        <v>4477</v>
      </c>
      <c r="E34" s="2118" t="s">
        <v>4478</v>
      </c>
      <c r="F34" s="2118" t="s">
        <v>4479</v>
      </c>
      <c r="G34" s="2118" t="s">
        <v>4480</v>
      </c>
      <c r="H34" s="2118" t="s">
        <v>4481</v>
      </c>
      <c r="I34" s="2035"/>
      <c r="J34" s="2035"/>
      <c r="K34" s="1789">
        <f>COUNTIF(B34:H34,"——")</f>
        <v>0</v>
      </c>
      <c r="L34" s="2063" t="s">
        <v>1823</v>
      </c>
      <c r="M34" s="2063" t="s">
        <v>1824</v>
      </c>
      <c r="N34" s="2063" t="s">
        <v>1825</v>
      </c>
      <c r="O34" s="2063" t="s">
        <v>1826</v>
      </c>
      <c r="P34" s="2063" t="s">
        <v>1827</v>
      </c>
      <c r="Q34" s="2063" t="s">
        <v>1828</v>
      </c>
      <c r="R34" s="2063" t="s">
        <v>1829</v>
      </c>
      <c r="S34" s="3168" t="s">
        <v>1830</v>
      </c>
      <c r="T34" s="2119" t="str">
        <f>NUMBERSTRING(7-K34,1)&amp;"通"</f>
        <v>七通</v>
      </c>
      <c r="U34" s="2022"/>
      <c r="V34" s="2022"/>
    </row>
    <row r="35" spans="1:22" ht="18" customHeight="1">
      <c r="A35" s="2120"/>
      <c r="B35" s="3175" t="s">
        <v>1831</v>
      </c>
      <c r="C35" s="3175"/>
      <c r="D35" s="3175"/>
      <c r="E35" s="3175"/>
      <c r="F35" s="2121">
        <f>C10</f>
        <v>0</v>
      </c>
      <c r="G35" s="2035"/>
      <c r="H35" s="2035"/>
      <c r="I35" s="2035"/>
      <c r="J35" s="2035"/>
      <c r="K35" s="2063"/>
      <c r="L35" s="206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68"/>
      <c r="T35" s="48" t="str">
        <f>IF(T34="一通",L35,IF(T34="二通",M35,IF(T34="三通",N35,IF(T34="四通",O35,IF(T34="五通",P35,IF(T34="六通",Q35,R35))))))</f>
        <v>通路、通电、通讯、通上水、通下水、通热、燃气</v>
      </c>
      <c r="U35" s="2022"/>
      <c r="V35" s="2022"/>
    </row>
    <row r="36" spans="1:22" ht="18" customHeight="1">
      <c r="A36" s="2122"/>
      <c r="B36" s="2121" t="s">
        <v>1832</v>
      </c>
      <c r="C36" s="2121" t="s">
        <v>1833</v>
      </c>
      <c r="D36" s="2121" t="s">
        <v>1834</v>
      </c>
      <c r="E36" s="2121" t="s">
        <v>1835</v>
      </c>
      <c r="F36" s="2123"/>
      <c r="G36" s="2035"/>
      <c r="H36" s="2035"/>
      <c r="I36" s="2035"/>
      <c r="J36" s="2035"/>
      <c r="K36" s="2044"/>
      <c r="L36" s="2021"/>
      <c r="M36" s="2021"/>
      <c r="N36" s="2022"/>
      <c r="O36" s="2023"/>
      <c r="P36" s="2022"/>
      <c r="Q36" s="2022"/>
      <c r="R36" s="2022"/>
      <c r="S36" s="2022"/>
      <c r="T36" s="2022"/>
      <c r="U36" s="2022"/>
      <c r="V36" s="2022"/>
    </row>
    <row r="37" spans="1:22" ht="18" customHeight="1">
      <c r="A37" s="2124" t="s">
        <v>1836</v>
      </c>
      <c r="B37" s="2125" t="s">
        <v>528</v>
      </c>
      <c r="C37" s="2125" t="s">
        <v>528</v>
      </c>
      <c r="D37" s="2125" t="s">
        <v>528</v>
      </c>
      <c r="E37" s="2125"/>
      <c r="F37" s="2123"/>
      <c r="G37" s="2035"/>
      <c r="H37" s="2035"/>
      <c r="I37" s="2035"/>
      <c r="J37" s="2035"/>
      <c r="K37" s="2044"/>
      <c r="L37" s="2021"/>
      <c r="M37" s="2021"/>
      <c r="N37" s="2022"/>
      <c r="O37" s="2023"/>
      <c r="P37" s="2022"/>
      <c r="Q37" s="2022"/>
      <c r="R37" s="2022"/>
      <c r="S37" s="2022"/>
      <c r="T37" s="2022"/>
      <c r="U37" s="2022"/>
      <c r="V37" s="2022"/>
    </row>
    <row r="38" spans="1:22" ht="18" customHeight="1" thickBot="1">
      <c r="A38" s="2126" t="s">
        <v>1837</v>
      </c>
      <c r="B38" s="2127" t="s">
        <v>4483</v>
      </c>
      <c r="C38" s="2127" t="s">
        <v>4483</v>
      </c>
      <c r="D38" s="2127" t="s">
        <v>4483</v>
      </c>
      <c r="E38" s="2127"/>
      <c r="F38" s="2128"/>
      <c r="G38" s="2052"/>
      <c r="H38" s="2052"/>
      <c r="I38" s="2052"/>
      <c r="J38" s="2035"/>
      <c r="K38" s="2044"/>
      <c r="L38" s="2021"/>
      <c r="M38" s="2021"/>
      <c r="N38" s="2022"/>
      <c r="O38" s="2023"/>
      <c r="P38" s="2022"/>
      <c r="Q38" s="2022"/>
      <c r="R38" s="2022"/>
      <c r="S38" s="2022"/>
      <c r="T38" s="2022"/>
      <c r="U38" s="2022"/>
      <c r="V38" s="2022"/>
    </row>
    <row r="39" spans="1:22" s="2133" customFormat="1" ht="18" customHeight="1" thickTop="1" thickBot="1">
      <c r="A39" s="2129" t="s">
        <v>1838</v>
      </c>
      <c r="B39" s="2130"/>
      <c r="C39" s="2130"/>
      <c r="D39" s="2130"/>
      <c r="E39" s="2130"/>
      <c r="F39" s="2130"/>
      <c r="G39" s="2130"/>
      <c r="H39" s="2130"/>
      <c r="I39" s="2130"/>
      <c r="J39" s="2130"/>
      <c r="K39" s="2131"/>
      <c r="L39" s="2130"/>
      <c r="M39" s="2130"/>
      <c r="N39" s="2130"/>
      <c r="O39" s="2132"/>
      <c r="P39" s="2130"/>
      <c r="Q39" s="2130"/>
      <c r="R39" s="2130"/>
      <c r="S39" s="2130"/>
      <c r="T39" s="2130"/>
      <c r="U39" s="2130"/>
      <c r="V39" s="2130"/>
    </row>
    <row r="40" spans="1:22" ht="18" customHeight="1">
      <c r="A40" s="2022"/>
      <c r="B40" s="2022"/>
      <c r="C40" s="2022"/>
      <c r="D40" s="2022"/>
      <c r="E40" s="2022"/>
      <c r="F40" s="2022"/>
      <c r="G40" s="2022"/>
      <c r="H40" s="2022"/>
      <c r="I40" s="2134"/>
      <c r="J40" s="2072"/>
      <c r="K40" s="664"/>
      <c r="L40" s="2071"/>
      <c r="M40" s="2071"/>
      <c r="N40" s="2072"/>
      <c r="O40" s="2071"/>
      <c r="P40" s="2022"/>
      <c r="Q40" s="2022"/>
      <c r="R40" s="2022"/>
      <c r="S40" s="2022"/>
      <c r="T40" s="2022"/>
      <c r="U40" s="2022"/>
      <c r="V40" s="2022"/>
    </row>
    <row r="41" spans="1:22" ht="18" customHeight="1">
      <c r="A41" s="8" t="s">
        <v>1839</v>
      </c>
      <c r="B41" s="2135"/>
      <c r="C41" s="2136"/>
      <c r="D41" s="2022"/>
      <c r="E41" s="2022"/>
      <c r="F41" s="2022"/>
      <c r="G41" s="2022"/>
      <c r="H41" s="2022"/>
      <c r="I41" s="2023"/>
      <c r="J41" s="2022"/>
      <c r="K41" s="2108"/>
      <c r="L41" s="2021"/>
      <c r="M41" s="2021"/>
      <c r="N41" s="2022"/>
      <c r="O41" s="2023"/>
      <c r="P41" s="2022"/>
      <c r="Q41" s="2022"/>
      <c r="R41" s="2022"/>
      <c r="S41" s="2022"/>
      <c r="T41" s="2022"/>
      <c r="U41" s="2022"/>
      <c r="V41" s="2022"/>
    </row>
    <row r="42" spans="1:22" ht="18" customHeight="1">
      <c r="A42" s="2063" t="s">
        <v>1840</v>
      </c>
      <c r="B42" s="1789" t="s">
        <v>1841</v>
      </c>
      <c r="C42" s="1789" t="s">
        <v>1842</v>
      </c>
      <c r="D42" s="1789" t="s">
        <v>1843</v>
      </c>
      <c r="E42" s="1789" t="s">
        <v>1844</v>
      </c>
      <c r="F42" s="1789" t="s">
        <v>1845</v>
      </c>
      <c r="G42" s="1789" t="s">
        <v>1846</v>
      </c>
      <c r="H42" s="1789" t="s">
        <v>1847</v>
      </c>
      <c r="I42" s="1789" t="s">
        <v>1848</v>
      </c>
      <c r="J42" s="2137" t="s">
        <v>1849</v>
      </c>
      <c r="K42" s="2064" t="s">
        <v>1850</v>
      </c>
      <c r="L42" s="2064" t="s">
        <v>1851</v>
      </c>
      <c r="M42" s="2064" t="s">
        <v>1852</v>
      </c>
      <c r="N42" s="1789" t="s">
        <v>1853</v>
      </c>
      <c r="O42" s="1789" t="s">
        <v>1854</v>
      </c>
      <c r="P42" s="1789" t="s">
        <v>1855</v>
      </c>
      <c r="Q42" s="2063" t="s">
        <v>1856</v>
      </c>
      <c r="R42" s="2063" t="s">
        <v>1857</v>
      </c>
      <c r="S42" s="2022"/>
      <c r="T42" s="2022"/>
      <c r="U42" s="2022"/>
      <c r="V42" s="2022"/>
    </row>
    <row r="43" spans="1:22" s="2142" customFormat="1" ht="18" customHeight="1">
      <c r="A43" s="2138"/>
      <c r="B43" s="1268"/>
      <c r="C43" s="1268"/>
      <c r="D43" s="1268"/>
      <c r="E43" s="1268"/>
      <c r="F43" s="1268"/>
      <c r="G43" s="1268"/>
      <c r="H43" s="9"/>
      <c r="I43" s="9"/>
      <c r="J43" s="2139"/>
      <c r="K43" s="2140"/>
      <c r="L43" s="2140"/>
      <c r="M43" s="9"/>
      <c r="N43" s="1268"/>
      <c r="O43" s="9"/>
      <c r="P43" s="1268"/>
      <c r="Q43" s="1268"/>
      <c r="R43" s="1268"/>
      <c r="S43" s="2141"/>
      <c r="T43" s="2141"/>
      <c r="U43" s="2141"/>
      <c r="V43" s="2141"/>
    </row>
    <row r="44" spans="1:22" s="2142" customFormat="1" ht="18" customHeight="1">
      <c r="A44" s="2138"/>
      <c r="B44" s="2138"/>
      <c r="C44" s="1268"/>
      <c r="D44" s="1268"/>
      <c r="E44" s="1268"/>
      <c r="F44" s="1268"/>
      <c r="G44" s="1268"/>
      <c r="H44" s="9"/>
      <c r="I44" s="9"/>
      <c r="J44" s="2139"/>
      <c r="K44" s="2140"/>
      <c r="L44" s="2140"/>
      <c r="M44" s="9"/>
      <c r="N44" s="1268"/>
      <c r="O44" s="9"/>
      <c r="P44" s="1268"/>
      <c r="Q44" s="1268"/>
      <c r="R44" s="1268"/>
      <c r="S44" s="2141"/>
      <c r="T44" s="2141"/>
      <c r="U44" s="2141"/>
      <c r="V44" s="2141"/>
    </row>
    <row r="45" spans="1:22" s="2142" customFormat="1" ht="18" customHeight="1">
      <c r="A45" s="2138"/>
      <c r="B45" s="2138"/>
      <c r="C45" s="1268"/>
      <c r="D45" s="1268"/>
      <c r="E45" s="1268"/>
      <c r="F45" s="1268"/>
      <c r="G45" s="1268"/>
      <c r="H45" s="9"/>
      <c r="I45" s="9"/>
      <c r="J45" s="2139"/>
      <c r="K45" s="2140"/>
      <c r="L45" s="2140"/>
      <c r="M45" s="9"/>
      <c r="N45" s="1268"/>
      <c r="O45" s="9"/>
      <c r="P45" s="1268"/>
      <c r="Q45" s="1268"/>
      <c r="R45" s="1268"/>
      <c r="S45" s="2141"/>
      <c r="T45" s="2141"/>
      <c r="U45" s="2141"/>
      <c r="V45" s="2141"/>
    </row>
    <row r="46" spans="1:22" s="2142" customFormat="1" ht="18" customHeight="1">
      <c r="A46" s="2138"/>
      <c r="B46" s="2138"/>
      <c r="C46" s="1268"/>
      <c r="D46" s="1268"/>
      <c r="E46" s="1268"/>
      <c r="F46" s="1268"/>
      <c r="G46" s="1268"/>
      <c r="H46" s="9"/>
      <c r="I46" s="9"/>
      <c r="J46" s="2139"/>
      <c r="K46" s="2140"/>
      <c r="L46" s="2140"/>
      <c r="M46" s="9"/>
      <c r="N46" s="1268"/>
      <c r="O46" s="9"/>
      <c r="P46" s="1268"/>
      <c r="Q46" s="1268"/>
      <c r="R46" s="1268"/>
      <c r="S46" s="2141"/>
      <c r="T46" s="2141"/>
      <c r="U46" s="2141"/>
      <c r="V46" s="2141"/>
    </row>
    <row r="47" spans="1:22" s="2142" customFormat="1" ht="18" customHeight="1">
      <c r="A47" s="2138"/>
      <c r="B47" s="2138"/>
      <c r="C47" s="1268"/>
      <c r="D47" s="1268"/>
      <c r="E47" s="1268"/>
      <c r="F47" s="1268"/>
      <c r="G47" s="1268"/>
      <c r="H47" s="9"/>
      <c r="I47" s="9"/>
      <c r="J47" s="2139"/>
      <c r="K47" s="2140"/>
      <c r="L47" s="2140"/>
      <c r="M47" s="9"/>
      <c r="N47" s="1268"/>
      <c r="O47" s="9"/>
      <c r="P47" s="1268"/>
      <c r="Q47" s="1268"/>
      <c r="R47" s="1268"/>
      <c r="S47" s="2141"/>
      <c r="T47" s="2141"/>
      <c r="U47" s="2141"/>
      <c r="V47" s="2141"/>
    </row>
    <row r="48" spans="1:22" s="2142" customFormat="1" ht="18" customHeight="1">
      <c r="A48" s="2138"/>
      <c r="B48" s="2138"/>
      <c r="C48" s="1268"/>
      <c r="D48" s="1268"/>
      <c r="E48" s="1268"/>
      <c r="F48" s="1268"/>
      <c r="G48" s="1268"/>
      <c r="H48" s="9"/>
      <c r="I48" s="9"/>
      <c r="J48" s="2139"/>
      <c r="K48" s="2140"/>
      <c r="L48" s="2140"/>
      <c r="M48" s="9"/>
      <c r="N48" s="1268"/>
      <c r="O48" s="9"/>
      <c r="P48" s="1268"/>
      <c r="Q48" s="1268"/>
      <c r="R48" s="1268"/>
      <c r="S48" s="2141"/>
      <c r="T48" s="2141"/>
      <c r="U48" s="2141"/>
      <c r="V48" s="2141"/>
    </row>
    <row r="49" spans="1:22" s="2142" customFormat="1" ht="18" customHeight="1">
      <c r="A49" s="2138"/>
      <c r="B49" s="2138"/>
      <c r="C49" s="1268"/>
      <c r="D49" s="1268"/>
      <c r="E49" s="1268"/>
      <c r="F49" s="1268"/>
      <c r="G49" s="1268"/>
      <c r="H49" s="9"/>
      <c r="I49" s="9"/>
      <c r="J49" s="2139"/>
      <c r="K49" s="2140"/>
      <c r="L49" s="2140"/>
      <c r="M49" s="9"/>
      <c r="N49" s="1268"/>
      <c r="O49" s="9"/>
      <c r="P49" s="1268"/>
      <c r="Q49" s="1268"/>
      <c r="R49" s="1268"/>
      <c r="S49" s="2141"/>
      <c r="T49" s="2141"/>
      <c r="U49" s="2141"/>
      <c r="V49" s="2141"/>
    </row>
    <row r="50" spans="1:22" s="2142" customFormat="1" ht="18" customHeight="1">
      <c r="A50" s="2138"/>
      <c r="B50" s="2138"/>
      <c r="C50" s="1268"/>
      <c r="D50" s="1268"/>
      <c r="E50" s="1268"/>
      <c r="F50" s="1268"/>
      <c r="G50" s="1268"/>
      <c r="H50" s="9"/>
      <c r="I50" s="9"/>
      <c r="J50" s="2139"/>
      <c r="K50" s="2140"/>
      <c r="L50" s="2140"/>
      <c r="M50" s="9"/>
      <c r="N50" s="1268"/>
      <c r="O50" s="9"/>
      <c r="P50" s="1268"/>
      <c r="Q50" s="1268"/>
      <c r="R50" s="1268"/>
      <c r="S50" s="2141"/>
      <c r="T50" s="2141"/>
      <c r="U50" s="2141"/>
      <c r="V50" s="2141"/>
    </row>
    <row r="51" spans="1:22" s="2142" customFormat="1" ht="18" customHeight="1">
      <c r="A51" s="2138"/>
      <c r="B51" s="2138"/>
      <c r="C51" s="1268"/>
      <c r="D51" s="1268"/>
      <c r="E51" s="1268"/>
      <c r="F51" s="1268"/>
      <c r="G51" s="1268"/>
      <c r="H51" s="9"/>
      <c r="I51" s="9"/>
      <c r="J51" s="2139"/>
      <c r="K51" s="2140"/>
      <c r="L51" s="2140"/>
      <c r="M51" s="9"/>
      <c r="N51" s="1268"/>
      <c r="O51" s="9"/>
      <c r="P51" s="1268"/>
      <c r="Q51" s="1268"/>
      <c r="R51" s="1268"/>
    </row>
    <row r="52" spans="1:22" s="2142" customFormat="1" ht="18" customHeight="1">
      <c r="A52" s="10"/>
      <c r="B52" s="10"/>
      <c r="C52" s="10"/>
      <c r="D52" s="10"/>
      <c r="E52" s="10"/>
      <c r="F52" s="9"/>
      <c r="G52" s="10"/>
      <c r="H52" s="10"/>
      <c r="I52" s="10"/>
      <c r="J52" s="2143"/>
      <c r="K52" s="2140"/>
      <c r="L52" s="2140"/>
      <c r="M52" s="2140"/>
      <c r="N52" s="10"/>
      <c r="O52" s="10"/>
      <c r="P52" s="10"/>
      <c r="Q52" s="10"/>
      <c r="R52" s="10"/>
    </row>
    <row r="53" spans="1:22" s="2142" customFormat="1" ht="18" customHeight="1">
      <c r="A53" s="10"/>
      <c r="B53" s="10"/>
      <c r="C53" s="10"/>
      <c r="D53" s="10"/>
      <c r="E53" s="10"/>
      <c r="F53" s="9"/>
      <c r="G53" s="10"/>
      <c r="H53" s="10"/>
      <c r="I53" s="10"/>
      <c r="J53" s="2143"/>
      <c r="K53" s="2140"/>
      <c r="L53" s="2140"/>
      <c r="M53" s="2140"/>
      <c r="N53" s="10"/>
      <c r="O53" s="10"/>
      <c r="P53" s="10"/>
      <c r="Q53" s="10"/>
      <c r="R53" s="10"/>
    </row>
    <row r="54" spans="1:22" s="2142" customFormat="1" ht="18" customHeight="1">
      <c r="A54" s="10"/>
      <c r="B54" s="10"/>
      <c r="C54" s="10"/>
      <c r="D54" s="10"/>
      <c r="E54" s="10"/>
      <c r="F54" s="9"/>
      <c r="G54" s="10"/>
      <c r="H54" s="10"/>
      <c r="I54" s="10"/>
      <c r="J54" s="2143"/>
      <c r="K54" s="2140"/>
      <c r="L54" s="2140"/>
      <c r="M54" s="2140"/>
      <c r="N54" s="10"/>
      <c r="O54" s="10"/>
      <c r="P54" s="10"/>
      <c r="Q54" s="10"/>
      <c r="R54" s="10"/>
    </row>
    <row r="55" spans="1:22" s="2142" customFormat="1" ht="18" customHeight="1">
      <c r="A55" s="10"/>
      <c r="B55" s="10"/>
      <c r="C55" s="10"/>
      <c r="D55" s="10"/>
      <c r="E55" s="10"/>
      <c r="F55" s="9"/>
      <c r="G55" s="10"/>
      <c r="H55" s="10"/>
      <c r="I55" s="10"/>
      <c r="J55" s="2143"/>
      <c r="K55" s="2140"/>
      <c r="L55" s="2140"/>
      <c r="M55" s="2140"/>
      <c r="N55" s="10"/>
      <c r="O55" s="10"/>
      <c r="P55" s="10"/>
      <c r="Q55" s="10"/>
      <c r="R55" s="10"/>
    </row>
    <row r="56" spans="1:22" s="2142" customFormat="1" ht="18" customHeight="1">
      <c r="A56" s="10"/>
      <c r="B56" s="10"/>
      <c r="C56" s="10"/>
      <c r="D56" s="10"/>
      <c r="E56" s="10"/>
      <c r="F56" s="9"/>
      <c r="G56" s="10"/>
      <c r="H56" s="10"/>
      <c r="I56" s="10"/>
      <c r="J56" s="2143"/>
      <c r="K56" s="2140"/>
      <c r="L56" s="2140"/>
      <c r="M56" s="214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44" customWidth="1"/>
    <col min="2" max="2" width="11" style="2144" customWidth="1"/>
    <col min="3" max="3" width="10.375" style="2144" customWidth="1"/>
    <col min="4" max="4" width="9.125" style="2144" customWidth="1"/>
    <col min="5" max="6" width="10" style="2207" customWidth="1"/>
    <col min="7" max="8" width="10" style="2144" customWidth="1"/>
    <col min="9" max="9" width="10.625" style="2144" customWidth="1"/>
    <col min="10" max="10" width="9.5" style="2144" customWidth="1"/>
    <col min="11" max="11" width="11" style="2144" customWidth="1"/>
    <col min="12" max="14" width="9.5" style="2144" customWidth="1"/>
    <col min="15" max="15" width="9.875" style="2144" customWidth="1"/>
    <col min="16" max="16" width="9.75" style="2144" customWidth="1"/>
    <col min="17" max="17" width="9.375" style="2144" customWidth="1"/>
    <col min="18" max="18" width="9.25" style="2144" customWidth="1"/>
    <col min="19" max="19" width="10.875" style="2144" customWidth="1"/>
    <col min="20" max="21" width="10.75" style="2144" customWidth="1"/>
    <col min="22" max="22" width="10.875" style="2144" customWidth="1"/>
    <col min="23" max="25" width="10.75" style="2144" customWidth="1"/>
    <col min="26" max="27" width="10.75" style="2144" hidden="1" customWidth="1"/>
    <col min="28" max="28" width="10.875" style="2144" hidden="1" customWidth="1"/>
    <col min="29" max="29" width="11" style="2144" bestFit="1" customWidth="1"/>
    <col min="30" max="30" width="10" style="2144" bestFit="1" customWidth="1"/>
    <col min="31" max="31" width="9.75" style="2144" hidden="1" customWidth="1"/>
    <col min="32" max="33" width="9.5" style="2144" hidden="1" customWidth="1"/>
    <col min="34" max="34" width="9.5" style="2144" customWidth="1"/>
    <col min="35" max="35" width="9.5" style="2144" hidden="1" customWidth="1"/>
    <col min="36" max="36" width="9.5" style="2144" customWidth="1"/>
    <col min="37" max="37" width="9.5" style="2144" hidden="1" customWidth="1"/>
    <col min="38" max="38" width="9.5" style="2144" customWidth="1"/>
    <col min="39" max="39" width="9.5" style="2144" hidden="1" customWidth="1"/>
    <col min="40" max="40" width="9.5" style="2144" customWidth="1"/>
    <col min="41" max="45" width="9.5" style="2144" hidden="1" customWidth="1"/>
    <col min="46" max="46" width="9.5" style="2144" customWidth="1"/>
    <col min="47" max="47" width="18.125" style="2144" customWidth="1"/>
    <col min="48" max="50" width="9.75" style="2144" customWidth="1"/>
    <col min="51" max="55" width="10.5" style="2144" bestFit="1" customWidth="1"/>
    <col min="56" max="56" width="9.5" style="2144" bestFit="1" customWidth="1"/>
    <col min="57" max="63" width="9.125" style="2144" bestFit="1" customWidth="1"/>
    <col min="64" max="64" width="9.5" style="2144" bestFit="1" customWidth="1"/>
    <col min="65" max="65" width="9.125" style="2144" bestFit="1" customWidth="1"/>
    <col min="66" max="66" width="9.5" style="2144" bestFit="1" customWidth="1"/>
    <col min="67" max="69" width="9.125" style="2144" bestFit="1" customWidth="1"/>
    <col min="70" max="70" width="9.5" style="2144" bestFit="1" customWidth="1"/>
    <col min="71" max="71" width="9" style="2144" customWidth="1"/>
    <col min="72" max="72" width="9.125" style="2144" bestFit="1" customWidth="1"/>
    <col min="73" max="16384" width="8.875" style="2144"/>
  </cols>
  <sheetData>
    <row r="1" spans="1:72" ht="20.25">
      <c r="A1" s="2147" t="s">
        <v>1858</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48" t="s">
        <v>1859</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52" customFormat="1" ht="24">
      <c r="A2" s="11" t="s">
        <v>1860</v>
      </c>
      <c r="B2" s="11" t="s">
        <v>1861</v>
      </c>
      <c r="C2" s="11" t="s">
        <v>1862</v>
      </c>
      <c r="D2" s="2149"/>
      <c r="E2" s="2150"/>
      <c r="F2" s="2151"/>
      <c r="G2" s="2149"/>
      <c r="H2" s="2149"/>
      <c r="I2" s="2149"/>
      <c r="J2" s="2149"/>
      <c r="K2" s="2149"/>
      <c r="L2" s="2149"/>
      <c r="M2" s="2149"/>
      <c r="N2" s="2149"/>
      <c r="O2" s="2149"/>
      <c r="P2" s="2149"/>
      <c r="Q2" s="2149"/>
      <c r="R2" s="2149"/>
      <c r="S2" s="2149"/>
      <c r="T2" s="2149"/>
      <c r="U2" s="2149"/>
      <c r="V2" s="2149"/>
      <c r="W2" s="2149"/>
      <c r="X2" s="2149"/>
      <c r="Y2" s="2149"/>
      <c r="Z2" s="2149"/>
      <c r="AA2" s="2149"/>
      <c r="AB2" s="2149"/>
      <c r="AC2" s="2149"/>
      <c r="AD2" s="2149"/>
      <c r="AE2" s="2149"/>
      <c r="AF2" s="2149"/>
      <c r="AG2" s="2149"/>
      <c r="AH2" s="2149"/>
      <c r="AI2" s="2149"/>
      <c r="AJ2" s="2149"/>
      <c r="AK2" s="2149"/>
      <c r="AL2" s="2149"/>
      <c r="AM2" s="2149"/>
      <c r="AN2" s="2149"/>
      <c r="AO2" s="2149"/>
      <c r="AP2" s="2149"/>
      <c r="AQ2" s="2149"/>
      <c r="AR2" s="2149"/>
      <c r="AS2" s="2149"/>
      <c r="AT2" s="2149"/>
      <c r="AU2" s="2149"/>
      <c r="AV2" s="2149"/>
      <c r="AW2" s="2149"/>
      <c r="AX2" s="2149"/>
      <c r="AY2" s="1265" t="s">
        <v>1863</v>
      </c>
      <c r="AZ2" s="1266" t="s">
        <v>1864</v>
      </c>
      <c r="BA2" s="11" t="s">
        <v>1865</v>
      </c>
      <c r="BB2" s="2149"/>
      <c r="BC2" s="2149"/>
      <c r="BD2" s="2149"/>
      <c r="BE2" s="2149"/>
      <c r="BF2" s="2149"/>
      <c r="BG2" s="2149"/>
      <c r="BH2" s="2149"/>
      <c r="BI2" s="2149"/>
      <c r="BJ2" s="2149"/>
      <c r="BK2" s="2149"/>
      <c r="BL2" s="2149"/>
      <c r="BM2" s="2149"/>
      <c r="BN2" s="2149"/>
      <c r="BO2" s="2149"/>
      <c r="BP2" s="2149"/>
      <c r="BQ2" s="2149"/>
      <c r="BR2" s="2149"/>
      <c r="BS2" s="2149"/>
      <c r="BT2" s="2149"/>
    </row>
    <row r="3" spans="1:72" s="2152" customFormat="1" ht="12.75">
      <c r="A3" s="13">
        <f>ROUND('数据-汇总表'!E3/规证!M98*规证!C121,2)</f>
        <v>59319.7</v>
      </c>
      <c r="B3" s="14">
        <f>IF(C3="否",G5-AT5,G5)</f>
        <v>149246.95000000001</v>
      </c>
      <c r="C3" s="2153" t="s">
        <v>1866</v>
      </c>
      <c r="D3" s="2149"/>
      <c r="E3" s="2149"/>
      <c r="F3" s="2149"/>
      <c r="G3" s="2149"/>
      <c r="H3" s="2149"/>
      <c r="I3" s="2149"/>
      <c r="J3" s="2149"/>
      <c r="K3" s="2149"/>
      <c r="L3" s="2149"/>
      <c r="M3" s="2149"/>
      <c r="N3" s="2149"/>
      <c r="O3" s="2149"/>
      <c r="P3" s="2149"/>
      <c r="Q3" s="2149"/>
      <c r="R3" s="2149"/>
      <c r="S3" s="2149"/>
      <c r="T3" s="2149"/>
      <c r="U3" s="2149"/>
      <c r="V3" s="2149"/>
      <c r="W3" s="2149"/>
      <c r="X3" s="2149"/>
      <c r="Y3" s="2149"/>
      <c r="Z3" s="2149"/>
      <c r="AA3" s="2149"/>
      <c r="AB3" s="2149"/>
      <c r="AC3" s="2149"/>
      <c r="AD3" s="2149"/>
      <c r="AE3" s="2149"/>
      <c r="AF3" s="2149"/>
      <c r="AG3" s="2149"/>
      <c r="AH3" s="2149"/>
      <c r="AI3" s="2149"/>
      <c r="AJ3" s="2149"/>
      <c r="AK3" s="2149"/>
      <c r="AL3" s="2149"/>
      <c r="AM3" s="2149"/>
      <c r="AN3" s="2149"/>
      <c r="AO3" s="2149"/>
      <c r="AP3" s="2149"/>
      <c r="AQ3" s="2149"/>
      <c r="AR3" s="2149"/>
      <c r="AS3" s="2149"/>
      <c r="AT3" s="2149"/>
      <c r="AU3" s="2149"/>
      <c r="AV3" s="2149"/>
      <c r="AW3" s="2149"/>
      <c r="AX3" s="2149"/>
      <c r="AY3" s="1267"/>
      <c r="AZ3" s="1268"/>
      <c r="BA3" s="1269"/>
      <c r="BB3" s="2149"/>
      <c r="BC3" s="2149"/>
      <c r="BD3" s="2149"/>
      <c r="BE3" s="2149"/>
      <c r="BF3" s="2149"/>
      <c r="BG3" s="2149"/>
      <c r="BH3" s="2149"/>
      <c r="BI3" s="2149"/>
      <c r="BJ3" s="2149"/>
      <c r="BK3" s="2149"/>
      <c r="BL3" s="2149"/>
      <c r="BM3" s="2149"/>
      <c r="BN3" s="2149"/>
      <c r="BO3" s="2149"/>
      <c r="BP3" s="2149"/>
      <c r="BQ3" s="2149"/>
      <c r="BR3" s="2149"/>
      <c r="BS3" s="2149"/>
      <c r="BT3" s="2149"/>
    </row>
    <row r="4" spans="1:72" s="2158" customFormat="1" ht="13.5" thickBot="1">
      <c r="A4" s="2154"/>
      <c r="B4" s="2155"/>
      <c r="C4" s="2156"/>
      <c r="D4" s="2149"/>
      <c r="E4" s="2149"/>
      <c r="F4" s="2149"/>
      <c r="G4" s="2149"/>
      <c r="H4" s="2149"/>
      <c r="I4" s="2149"/>
      <c r="J4" s="2149"/>
      <c r="K4" s="2149"/>
      <c r="L4" s="2149"/>
      <c r="M4" s="2149"/>
      <c r="N4" s="2149"/>
      <c r="O4" s="2149"/>
      <c r="P4" s="2149"/>
      <c r="Q4" s="2149"/>
      <c r="R4" s="2149"/>
      <c r="S4" s="2149"/>
      <c r="T4" s="2149"/>
      <c r="U4" s="2149"/>
      <c r="V4" s="2149"/>
      <c r="W4" s="2149"/>
      <c r="X4" s="2149"/>
      <c r="Y4" s="2149"/>
      <c r="Z4" s="2149"/>
      <c r="AA4" s="2149"/>
      <c r="AB4" s="2149"/>
      <c r="AC4" s="2149"/>
      <c r="AD4" s="2149"/>
      <c r="AE4" s="2149"/>
      <c r="AF4" s="2149"/>
      <c r="AG4" s="2149"/>
      <c r="AH4" s="2149"/>
      <c r="AI4" s="2149"/>
      <c r="AJ4" s="2149"/>
      <c r="AK4" s="2149"/>
      <c r="AL4" s="2149"/>
      <c r="AM4" s="2149"/>
      <c r="AN4" s="2149"/>
      <c r="AO4" s="2149"/>
      <c r="AP4" s="2149"/>
      <c r="AQ4" s="2149"/>
      <c r="AR4" s="2149"/>
      <c r="AS4" s="2149"/>
      <c r="AT4" s="2149"/>
      <c r="AU4" s="2149"/>
      <c r="AV4" s="2149"/>
      <c r="AW4" s="2149"/>
      <c r="AX4" s="2149"/>
      <c r="AY4" s="2149"/>
      <c r="AZ4" s="2149"/>
      <c r="BA4" s="2157"/>
      <c r="BB4" s="2149"/>
      <c r="BC4" s="2149"/>
      <c r="BD4" s="2149"/>
      <c r="BE4" s="2149"/>
      <c r="BF4" s="2149"/>
      <c r="BG4" s="2149"/>
      <c r="BH4" s="2149"/>
      <c r="BI4" s="2149"/>
      <c r="BJ4" s="2149"/>
      <c r="BK4" s="2149"/>
      <c r="BL4" s="2149"/>
      <c r="BM4" s="2149"/>
      <c r="BN4" s="2149"/>
      <c r="BO4" s="2149"/>
      <c r="BP4" s="2149"/>
      <c r="BQ4" s="2149"/>
      <c r="BR4" s="2149"/>
      <c r="BS4" s="2149"/>
      <c r="BT4" s="2149"/>
    </row>
    <row r="5" spans="1:72" s="2152" customFormat="1" ht="12.75">
      <c r="A5" s="15" t="s">
        <v>1867</v>
      </c>
      <c r="B5" s="1797"/>
      <c r="C5" s="1797"/>
      <c r="D5" s="1800"/>
      <c r="E5" s="16" t="s">
        <v>1</v>
      </c>
      <c r="F5" s="16">
        <f>SUM(F13:F587)</f>
        <v>0</v>
      </c>
      <c r="G5" s="16">
        <f>SUM(G13:G587)</f>
        <v>159954.09000000003</v>
      </c>
      <c r="H5" s="16">
        <f t="shared" ref="H5:AT5" si="0">SUM(H13:H656)</f>
        <v>144619.03</v>
      </c>
      <c r="I5" s="16">
        <f t="shared" si="0"/>
        <v>32718.36</v>
      </c>
      <c r="J5" s="16">
        <f t="shared" si="0"/>
        <v>0</v>
      </c>
      <c r="K5" s="16">
        <f t="shared" si="0"/>
        <v>7640.3099999999995</v>
      </c>
      <c r="L5" s="16">
        <f t="shared" si="0"/>
        <v>0</v>
      </c>
      <c r="M5" s="16">
        <f t="shared" si="0"/>
        <v>32388.770000000004</v>
      </c>
      <c r="N5" s="16">
        <f t="shared" si="0"/>
        <v>0</v>
      </c>
      <c r="O5" s="16">
        <f t="shared" si="0"/>
        <v>263.92</v>
      </c>
      <c r="P5" s="16">
        <f t="shared" si="0"/>
        <v>0</v>
      </c>
      <c r="Q5" s="16">
        <f t="shared" si="0"/>
        <v>382.04</v>
      </c>
      <c r="R5" s="16">
        <f t="shared" si="0"/>
        <v>0</v>
      </c>
      <c r="S5" s="16">
        <f t="shared" si="0"/>
        <v>21662.76</v>
      </c>
      <c r="T5" s="16">
        <f t="shared" si="0"/>
        <v>0</v>
      </c>
      <c r="U5" s="16">
        <f t="shared" si="0"/>
        <v>41549.64</v>
      </c>
      <c r="V5" s="16">
        <f t="shared" si="0"/>
        <v>0</v>
      </c>
      <c r="W5" s="16">
        <f t="shared" si="0"/>
        <v>2186.04</v>
      </c>
      <c r="X5" s="16">
        <f t="shared" si="0"/>
        <v>0</v>
      </c>
      <c r="Y5" s="16">
        <f t="shared" si="0"/>
        <v>5827.19</v>
      </c>
      <c r="Z5" s="16">
        <f t="shared" si="0"/>
        <v>0</v>
      </c>
      <c r="AA5" s="16">
        <f t="shared" si="0"/>
        <v>0</v>
      </c>
      <c r="AB5" s="16">
        <f t="shared" si="0"/>
        <v>0</v>
      </c>
      <c r="AC5" s="16">
        <f t="shared" si="0"/>
        <v>4627.92</v>
      </c>
      <c r="AD5" s="16">
        <f t="shared" si="0"/>
        <v>1825.55</v>
      </c>
      <c r="AE5" s="16">
        <f t="shared" si="0"/>
        <v>0</v>
      </c>
      <c r="AF5" s="16">
        <f t="shared" si="0"/>
        <v>0</v>
      </c>
      <c r="AG5" s="16">
        <f t="shared" si="0"/>
        <v>0</v>
      </c>
      <c r="AH5" s="16">
        <f t="shared" si="0"/>
        <v>112.45</v>
      </c>
      <c r="AI5" s="16">
        <f t="shared" si="0"/>
        <v>0</v>
      </c>
      <c r="AJ5" s="16">
        <f t="shared" si="0"/>
        <v>66.7</v>
      </c>
      <c r="AK5" s="16">
        <f t="shared" si="0"/>
        <v>0</v>
      </c>
      <c r="AL5" s="16">
        <f t="shared" si="0"/>
        <v>582.84</v>
      </c>
      <c r="AM5" s="16">
        <f t="shared" si="0"/>
        <v>0</v>
      </c>
      <c r="AN5" s="16">
        <f t="shared" si="0"/>
        <v>2040.3799999999999</v>
      </c>
      <c r="AO5" s="16">
        <f t="shared" si="0"/>
        <v>0</v>
      </c>
      <c r="AP5" s="16">
        <f t="shared" si="0"/>
        <v>0</v>
      </c>
      <c r="AQ5" s="16">
        <f t="shared" si="0"/>
        <v>0</v>
      </c>
      <c r="AR5" s="16">
        <f t="shared" si="0"/>
        <v>0</v>
      </c>
      <c r="AS5" s="16">
        <f t="shared" si="0"/>
        <v>0</v>
      </c>
      <c r="AT5" s="16">
        <f t="shared" si="0"/>
        <v>10707.14</v>
      </c>
      <c r="AU5" s="1796"/>
      <c r="AV5" s="15" t="s">
        <v>1867</v>
      </c>
      <c r="AW5" s="1797"/>
      <c r="AX5" s="1797"/>
      <c r="AY5" s="17" t="s">
        <v>3</v>
      </c>
      <c r="AZ5" s="18">
        <f t="shared" ref="AZ5:BT5" si="1">SUM(AZ13:AZ656)</f>
        <v>149246.95000000001</v>
      </c>
      <c r="BA5" s="18">
        <f t="shared" si="1"/>
        <v>144619.03</v>
      </c>
      <c r="BB5" s="18">
        <f t="shared" si="1"/>
        <v>32718.36</v>
      </c>
      <c r="BC5" s="18">
        <f t="shared" si="1"/>
        <v>7640.3099999999995</v>
      </c>
      <c r="BD5" s="18">
        <f t="shared" si="1"/>
        <v>32388.770000000004</v>
      </c>
      <c r="BE5" s="18">
        <f t="shared" si="1"/>
        <v>263.92</v>
      </c>
      <c r="BF5" s="18">
        <f t="shared" si="1"/>
        <v>382.04</v>
      </c>
      <c r="BG5" s="18">
        <f t="shared" si="1"/>
        <v>21662.76</v>
      </c>
      <c r="BH5" s="18">
        <f t="shared" si="1"/>
        <v>41549.64</v>
      </c>
      <c r="BI5" s="18">
        <f t="shared" si="1"/>
        <v>2186.04</v>
      </c>
      <c r="BJ5" s="18">
        <f t="shared" si="1"/>
        <v>5827.19</v>
      </c>
      <c r="BK5" s="18">
        <f t="shared" si="1"/>
        <v>0</v>
      </c>
      <c r="BL5" s="18">
        <f t="shared" si="1"/>
        <v>4627.92</v>
      </c>
      <c r="BM5" s="18">
        <f t="shared" si="1"/>
        <v>1825.55</v>
      </c>
      <c r="BN5" s="18">
        <f t="shared" si="1"/>
        <v>0</v>
      </c>
      <c r="BO5" s="18">
        <f t="shared" si="1"/>
        <v>112.45</v>
      </c>
      <c r="BP5" s="18">
        <f t="shared" si="1"/>
        <v>66.7</v>
      </c>
      <c r="BQ5" s="18">
        <f t="shared" si="1"/>
        <v>582.84</v>
      </c>
      <c r="BR5" s="18">
        <f t="shared" si="1"/>
        <v>2040.3799999999999</v>
      </c>
      <c r="BS5" s="18">
        <f t="shared" si="1"/>
        <v>0</v>
      </c>
      <c r="BT5" s="19">
        <f t="shared" si="1"/>
        <v>0</v>
      </c>
    </row>
    <row r="6" spans="1:72" s="2162" customFormat="1" ht="12.75">
      <c r="A6" s="15" t="s">
        <v>1868</v>
      </c>
      <c r="B6" s="2159"/>
      <c r="C6" s="2159"/>
      <c r="D6" s="2160"/>
      <c r="E6" s="16">
        <f>H6+AC6+AT6</f>
        <v>59319.700000000004</v>
      </c>
      <c r="F6" s="16" t="s">
        <v>1</v>
      </c>
      <c r="G6" s="16" t="s">
        <v>2</v>
      </c>
      <c r="H6" s="20">
        <f>SUMIF(I$12:AB$12,"总值",I6:AB6)</f>
        <v>57480.29</v>
      </c>
      <c r="I6" s="16">
        <f t="shared" ref="I6:AB6" si="2">ROUND($A$3*I5/$B$3,2)</f>
        <v>13004.24</v>
      </c>
      <c r="J6" s="16">
        <f t="shared" si="2"/>
        <v>0</v>
      </c>
      <c r="K6" s="16">
        <f t="shared" si="2"/>
        <v>3036.72</v>
      </c>
      <c r="L6" s="16">
        <f t="shared" si="2"/>
        <v>0</v>
      </c>
      <c r="M6" s="16">
        <f t="shared" si="2"/>
        <v>12873.24</v>
      </c>
      <c r="N6" s="16">
        <f t="shared" si="2"/>
        <v>0</v>
      </c>
      <c r="O6" s="16">
        <f t="shared" si="2"/>
        <v>104.9</v>
      </c>
      <c r="P6" s="16">
        <f t="shared" si="2"/>
        <v>0</v>
      </c>
      <c r="Q6" s="16">
        <f t="shared" si="2"/>
        <v>151.85</v>
      </c>
      <c r="R6" s="16">
        <f t="shared" si="2"/>
        <v>0</v>
      </c>
      <c r="S6" s="16">
        <f t="shared" si="2"/>
        <v>8610.08</v>
      </c>
      <c r="T6" s="16">
        <f t="shared" si="2"/>
        <v>0</v>
      </c>
      <c r="U6" s="16">
        <f t="shared" si="2"/>
        <v>16514.32</v>
      </c>
      <c r="V6" s="16">
        <f t="shared" si="2"/>
        <v>0</v>
      </c>
      <c r="W6" s="16">
        <f t="shared" si="2"/>
        <v>868.86</v>
      </c>
      <c r="X6" s="16">
        <f t="shared" si="2"/>
        <v>0</v>
      </c>
      <c r="Y6" s="16">
        <f t="shared" si="2"/>
        <v>2316.08</v>
      </c>
      <c r="Z6" s="16">
        <f t="shared" si="2"/>
        <v>0</v>
      </c>
      <c r="AA6" s="16">
        <f t="shared" si="2"/>
        <v>0</v>
      </c>
      <c r="AB6" s="16">
        <f t="shared" si="2"/>
        <v>0</v>
      </c>
      <c r="AC6" s="20">
        <f>SUMIF(AD$12:AS$12,"总值",AD6:AS6)</f>
        <v>1839.41</v>
      </c>
      <c r="AD6" s="16">
        <f t="shared" ref="AD6:AS6" si="3">ROUND($A$3*AD5/$B$3,2)</f>
        <v>725.58</v>
      </c>
      <c r="AE6" s="16">
        <f t="shared" si="3"/>
        <v>0</v>
      </c>
      <c r="AF6" s="16">
        <f t="shared" si="3"/>
        <v>0</v>
      </c>
      <c r="AG6" s="16">
        <f t="shared" si="3"/>
        <v>0</v>
      </c>
      <c r="AH6" s="16">
        <f t="shared" si="3"/>
        <v>44.69</v>
      </c>
      <c r="AI6" s="16">
        <f t="shared" si="3"/>
        <v>0</v>
      </c>
      <c r="AJ6" s="16">
        <f t="shared" si="3"/>
        <v>26.51</v>
      </c>
      <c r="AK6" s="16">
        <f t="shared" si="3"/>
        <v>0</v>
      </c>
      <c r="AL6" s="16">
        <f t="shared" si="3"/>
        <v>231.66</v>
      </c>
      <c r="AM6" s="16">
        <f t="shared" si="3"/>
        <v>0</v>
      </c>
      <c r="AN6" s="16">
        <f t="shared" si="3"/>
        <v>810.97</v>
      </c>
      <c r="AO6" s="16">
        <f t="shared" si="3"/>
        <v>0</v>
      </c>
      <c r="AP6" s="16">
        <f t="shared" si="3"/>
        <v>0</v>
      </c>
      <c r="AQ6" s="16">
        <f t="shared" si="3"/>
        <v>0</v>
      </c>
      <c r="AR6" s="16">
        <f t="shared" si="3"/>
        <v>0</v>
      </c>
      <c r="AS6" s="16">
        <f t="shared" si="3"/>
        <v>0</v>
      </c>
      <c r="AT6" s="20">
        <f>IF(C3="是",ROUND($A$3*AT5/$B$3,2),0)</f>
        <v>0</v>
      </c>
      <c r="AU6" s="2161"/>
      <c r="AV6" s="15" t="s">
        <v>1868</v>
      </c>
      <c r="AW6" s="2159"/>
      <c r="AX6" s="2159"/>
      <c r="AY6" s="21">
        <f>IF(AY3&gt;0,AY3,ROUND($A$3*AZ5/$B$3,2))</f>
        <v>59319.7</v>
      </c>
      <c r="AZ6" s="16" t="s">
        <v>3</v>
      </c>
      <c r="BA6" s="16">
        <f>ROUND($AY$6*BA5/$AZ$5,2)</f>
        <v>57480.29</v>
      </c>
      <c r="BB6" s="16">
        <f>ROUND($AY$6*BB5/$AZ$5,2)</f>
        <v>13004.24</v>
      </c>
      <c r="BC6" s="16">
        <f t="shared" ref="BC6:BH6" si="4">ROUND($AY$6*BC5/$AZ$5,2)</f>
        <v>3036.72</v>
      </c>
      <c r="BD6" s="16">
        <f t="shared" si="4"/>
        <v>12873.24</v>
      </c>
      <c r="BE6" s="16">
        <f t="shared" si="4"/>
        <v>104.9</v>
      </c>
      <c r="BF6" s="16">
        <f t="shared" si="4"/>
        <v>151.85</v>
      </c>
      <c r="BG6" s="16">
        <f t="shared" si="4"/>
        <v>8610.08</v>
      </c>
      <c r="BH6" s="16">
        <f t="shared" si="4"/>
        <v>16514.32</v>
      </c>
      <c r="BI6" s="16">
        <f t="shared" ref="BI6:BT6" si="5">ROUND($AY$6*BI5/$AZ$5,2)</f>
        <v>868.86</v>
      </c>
      <c r="BJ6" s="16">
        <f t="shared" si="5"/>
        <v>2316.08</v>
      </c>
      <c r="BK6" s="16">
        <f t="shared" si="5"/>
        <v>0</v>
      </c>
      <c r="BL6" s="16">
        <f t="shared" si="5"/>
        <v>1839.41</v>
      </c>
      <c r="BM6" s="16">
        <f t="shared" si="5"/>
        <v>725.58</v>
      </c>
      <c r="BN6" s="16">
        <f t="shared" si="5"/>
        <v>0</v>
      </c>
      <c r="BO6" s="16">
        <f t="shared" si="5"/>
        <v>44.69</v>
      </c>
      <c r="BP6" s="16">
        <f t="shared" si="5"/>
        <v>26.51</v>
      </c>
      <c r="BQ6" s="16">
        <f t="shared" si="5"/>
        <v>231.66</v>
      </c>
      <c r="BR6" s="16">
        <f t="shared" si="5"/>
        <v>810.97</v>
      </c>
      <c r="BS6" s="16">
        <f t="shared" si="5"/>
        <v>0</v>
      </c>
      <c r="BT6" s="22">
        <f t="shared" si="5"/>
        <v>0</v>
      </c>
    </row>
    <row r="7" spans="1:72" s="2152" customFormat="1" ht="24.75">
      <c r="A7" s="2094" t="s">
        <v>1869</v>
      </c>
      <c r="B7" s="2094" t="s">
        <v>1870</v>
      </c>
      <c r="C7" s="2094" t="s">
        <v>1871</v>
      </c>
      <c r="D7" s="2094" t="s">
        <v>1872</v>
      </c>
      <c r="E7" s="2094" t="s">
        <v>1873</v>
      </c>
      <c r="F7" s="2094" t="s">
        <v>1874</v>
      </c>
      <c r="G7" s="2163" t="s">
        <v>1875</v>
      </c>
      <c r="H7" s="2164"/>
      <c r="I7" s="2164"/>
      <c r="J7" s="2164"/>
      <c r="K7" s="2164"/>
      <c r="L7" s="2164"/>
      <c r="M7" s="2164"/>
      <c r="N7" s="2164"/>
      <c r="O7" s="2164"/>
      <c r="P7" s="2164"/>
      <c r="Q7" s="2164"/>
      <c r="R7" s="2164"/>
      <c r="S7" s="2164"/>
      <c r="T7" s="2164"/>
      <c r="U7" s="2164"/>
      <c r="V7" s="2164"/>
      <c r="W7" s="2164"/>
      <c r="X7" s="2164"/>
      <c r="Y7" s="2164"/>
      <c r="Z7" s="2164"/>
      <c r="AA7" s="2164"/>
      <c r="AB7" s="2164"/>
      <c r="AC7" s="2164"/>
      <c r="AD7" s="2164"/>
      <c r="AE7" s="2164"/>
      <c r="AF7" s="2164"/>
      <c r="AG7" s="2164"/>
      <c r="AH7" s="2164"/>
      <c r="AI7" s="2164"/>
      <c r="AJ7" s="2164"/>
      <c r="AK7" s="2164"/>
      <c r="AL7" s="2164"/>
      <c r="AM7" s="2164"/>
      <c r="AN7" s="2164"/>
      <c r="AO7" s="2164"/>
      <c r="AP7" s="2164"/>
      <c r="AQ7" s="2164"/>
      <c r="AR7" s="2164"/>
      <c r="AS7" s="2164"/>
      <c r="AT7" s="1800"/>
      <c r="AU7" s="2164" t="s">
        <v>1876</v>
      </c>
      <c r="AV7" s="23" t="s">
        <v>1877</v>
      </c>
      <c r="AW7" s="2151" t="s">
        <v>1878</v>
      </c>
      <c r="AX7" s="23" t="s">
        <v>1871</v>
      </c>
      <c r="AY7" s="1797" t="s">
        <v>1879</v>
      </c>
      <c r="AZ7" s="2165"/>
      <c r="BA7" s="2164"/>
      <c r="BB7" s="2164"/>
      <c r="BC7" s="2164"/>
      <c r="BD7" s="2164"/>
      <c r="BE7" s="2164"/>
      <c r="BF7" s="2164"/>
      <c r="BG7" s="2164"/>
      <c r="BH7" s="2164"/>
      <c r="BI7" s="2164"/>
      <c r="BJ7" s="2164"/>
      <c r="BK7" s="2164"/>
      <c r="BL7" s="2164"/>
      <c r="BM7" s="2164"/>
      <c r="BN7" s="2164"/>
      <c r="BO7" s="2164"/>
      <c r="BP7" s="2164"/>
      <c r="BQ7" s="2164"/>
      <c r="BR7" s="2164"/>
      <c r="BS7" s="2164"/>
      <c r="BT7" s="2166"/>
    </row>
    <row r="8" spans="1:72" s="2174" customFormat="1" ht="24">
      <c r="A8" s="2167"/>
      <c r="B8" s="2167"/>
      <c r="C8" s="2167"/>
      <c r="D8" s="2167"/>
      <c r="E8" s="2167"/>
      <c r="F8" s="2167"/>
      <c r="G8" s="2168" t="s">
        <v>1880</v>
      </c>
      <c r="H8" s="2169" t="s">
        <v>1881</v>
      </c>
      <c r="I8" s="2170"/>
      <c r="J8" s="1812"/>
      <c r="K8" s="1812"/>
      <c r="L8" s="1812"/>
      <c r="M8" s="1812"/>
      <c r="N8" s="1812"/>
      <c r="O8" s="1812"/>
      <c r="P8" s="1812"/>
      <c r="Q8" s="1812"/>
      <c r="R8" s="1812"/>
      <c r="S8" s="1812"/>
      <c r="T8" s="1812"/>
      <c r="U8" s="1812"/>
      <c r="V8" s="2171"/>
      <c r="W8" s="1812"/>
      <c r="X8" s="1812"/>
      <c r="Y8" s="1812"/>
      <c r="Z8" s="1812"/>
      <c r="AA8" s="2171"/>
      <c r="AB8" s="2172"/>
      <c r="AC8" s="979" t="s">
        <v>1882</v>
      </c>
      <c r="AD8" s="2173"/>
      <c r="AE8" s="2165"/>
      <c r="AF8" s="1812"/>
      <c r="AG8" s="1812"/>
      <c r="AH8" s="1812"/>
      <c r="AI8" s="1812"/>
      <c r="AJ8" s="1812"/>
      <c r="AK8" s="1812"/>
      <c r="AL8" s="1812"/>
      <c r="AM8" s="1812"/>
      <c r="AN8" s="1812"/>
      <c r="AO8" s="1812"/>
      <c r="AP8" s="1812"/>
      <c r="AQ8" s="1812"/>
      <c r="AR8" s="1812"/>
      <c r="AS8" s="1812"/>
      <c r="AT8" s="1288" t="s">
        <v>1883</v>
      </c>
      <c r="AU8" s="2167" t="s">
        <v>1884</v>
      </c>
      <c r="AV8" s="1288"/>
      <c r="AW8" s="2150"/>
      <c r="AX8" s="1288"/>
      <c r="AY8" s="2151" t="s">
        <v>1885</v>
      </c>
      <c r="AZ8" s="1811" t="s">
        <v>1886</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74" customFormat="1" ht="12.75">
      <c r="A9" s="2167"/>
      <c r="B9" s="2167"/>
      <c r="C9" s="2167"/>
      <c r="D9" s="2167"/>
      <c r="E9" s="2167"/>
      <c r="F9" s="2167"/>
      <c r="G9" s="1288"/>
      <c r="H9" s="2175" t="s">
        <v>1887</v>
      </c>
      <c r="I9" s="2176" t="s">
        <v>3078</v>
      </c>
      <c r="J9" s="979"/>
      <c r="K9" s="2176" t="s">
        <v>3078</v>
      </c>
      <c r="L9" s="979"/>
      <c r="M9" s="2176" t="s">
        <v>3078</v>
      </c>
      <c r="N9" s="979"/>
      <c r="O9" s="2176" t="s">
        <v>3078</v>
      </c>
      <c r="P9" s="979"/>
      <c r="Q9" s="2176" t="s">
        <v>3079</v>
      </c>
      <c r="R9" s="979"/>
      <c r="S9" s="2176" t="s">
        <v>3079</v>
      </c>
      <c r="T9" s="979"/>
      <c r="U9" s="2176" t="s">
        <v>3079</v>
      </c>
      <c r="V9" s="979"/>
      <c r="W9" s="2176" t="s">
        <v>3079</v>
      </c>
      <c r="X9" s="2177"/>
      <c r="Y9" s="2176" t="s">
        <v>3079</v>
      </c>
      <c r="Z9" s="979"/>
      <c r="AA9" s="2176"/>
      <c r="AB9" s="979"/>
      <c r="AC9" s="2168" t="s">
        <v>1887</v>
      </c>
      <c r="AD9" s="15" t="s">
        <v>1888</v>
      </c>
      <c r="AE9" s="1294"/>
      <c r="AF9" s="15" t="s">
        <v>1889</v>
      </c>
      <c r="AG9" s="1294"/>
      <c r="AH9" s="15" t="s">
        <v>1888</v>
      </c>
      <c r="AI9" s="1294"/>
      <c r="AJ9" s="15" t="s">
        <v>1889</v>
      </c>
      <c r="AK9" s="1294"/>
      <c r="AL9" s="15" t="s">
        <v>1888</v>
      </c>
      <c r="AM9" s="1294"/>
      <c r="AN9" s="15" t="s">
        <v>1889</v>
      </c>
      <c r="AO9" s="1294"/>
      <c r="AP9" s="15" t="s">
        <v>1888</v>
      </c>
      <c r="AQ9" s="1294"/>
      <c r="AR9" s="15" t="s">
        <v>1889</v>
      </c>
      <c r="AS9" s="2178"/>
      <c r="AT9" s="2167"/>
      <c r="AU9" s="2167" t="s">
        <v>1890</v>
      </c>
      <c r="AV9" s="1288"/>
      <c r="AW9" s="2150"/>
      <c r="AX9" s="1288"/>
      <c r="AY9" s="28"/>
      <c r="AZ9" s="28" t="s">
        <v>1880</v>
      </c>
      <c r="BA9" s="2179" t="s">
        <v>1891</v>
      </c>
      <c r="BB9" s="2180"/>
      <c r="BC9" s="1334"/>
      <c r="BD9" s="1334"/>
      <c r="BE9" s="1334"/>
      <c r="BF9" s="1334"/>
      <c r="BG9" s="1334"/>
      <c r="BH9" s="1334"/>
      <c r="BI9" s="1334"/>
      <c r="BJ9" s="1334"/>
      <c r="BK9" s="2181"/>
      <c r="BL9" s="15" t="s">
        <v>1892</v>
      </c>
      <c r="BM9" s="1812"/>
      <c r="BN9" s="2170"/>
      <c r="BO9" s="1812"/>
      <c r="BP9" s="1812"/>
      <c r="BQ9" s="1812"/>
      <c r="BR9" s="1812"/>
      <c r="BS9" s="1812"/>
      <c r="BT9" s="26"/>
    </row>
    <row r="10" spans="1:72" s="2174" customFormat="1" ht="12.75">
      <c r="A10" s="2167"/>
      <c r="B10" s="2167"/>
      <c r="C10" s="2167"/>
      <c r="D10" s="2167"/>
      <c r="E10" s="2167"/>
      <c r="F10" s="2167"/>
      <c r="G10" s="1288"/>
      <c r="H10" s="28"/>
      <c r="I10" s="2176" t="s">
        <v>3080</v>
      </c>
      <c r="J10" s="979"/>
      <c r="K10" s="2182" t="s">
        <v>3080</v>
      </c>
      <c r="L10" s="979"/>
      <c r="M10" s="2182" t="s">
        <v>3080</v>
      </c>
      <c r="N10" s="979"/>
      <c r="O10" s="2182" t="s">
        <v>1372</v>
      </c>
      <c r="P10" s="979"/>
      <c r="Q10" s="2182" t="s">
        <v>1372</v>
      </c>
      <c r="R10" s="979"/>
      <c r="S10" s="2182" t="s">
        <v>3190</v>
      </c>
      <c r="T10" s="979"/>
      <c r="U10" s="2182" t="s">
        <v>4487</v>
      </c>
      <c r="V10" s="979"/>
      <c r="W10" s="2182" t="s">
        <v>4487</v>
      </c>
      <c r="X10" s="979"/>
      <c r="Y10" s="2182" t="s">
        <v>4487</v>
      </c>
      <c r="Z10" s="979"/>
      <c r="AA10" s="2182"/>
      <c r="AB10" s="979"/>
      <c r="AC10" s="1288"/>
      <c r="AD10" s="15" t="s">
        <v>1893</v>
      </c>
      <c r="AE10" s="2183"/>
      <c r="AF10" s="15" t="s">
        <v>1893</v>
      </c>
      <c r="AG10" s="2183"/>
      <c r="AH10" s="15" t="s">
        <v>1894</v>
      </c>
      <c r="AI10" s="2183"/>
      <c r="AJ10" s="15" t="s">
        <v>1894</v>
      </c>
      <c r="AK10" s="2183"/>
      <c r="AL10" s="15" t="s">
        <v>1895</v>
      </c>
      <c r="AM10" s="1294"/>
      <c r="AN10" s="15" t="s">
        <v>1895</v>
      </c>
      <c r="AO10" s="1294"/>
      <c r="AP10" s="15" t="s">
        <v>1896</v>
      </c>
      <c r="AQ10" s="1294"/>
      <c r="AR10" s="15" t="s">
        <v>1896</v>
      </c>
      <c r="AS10" s="1294"/>
      <c r="AT10" s="2167"/>
      <c r="AU10" s="2167"/>
      <c r="AV10" s="1288"/>
      <c r="AW10" s="2150"/>
      <c r="AX10" s="1288"/>
      <c r="AY10" s="28"/>
      <c r="AZ10" s="28"/>
      <c r="BA10" s="2184" t="s">
        <v>1887</v>
      </c>
      <c r="BB10" s="2185" t="str">
        <f>I9</f>
        <v>地上</v>
      </c>
      <c r="BC10" s="29" t="str">
        <f>K9</f>
        <v>地上</v>
      </c>
      <c r="BD10" s="29" t="str">
        <f>M9</f>
        <v>地上</v>
      </c>
      <c r="BE10" s="29" t="str">
        <f>O9</f>
        <v>地上</v>
      </c>
      <c r="BF10" s="29" t="str">
        <f>Q9</f>
        <v>地下</v>
      </c>
      <c r="BG10" s="29" t="str">
        <f>S9</f>
        <v>地下</v>
      </c>
      <c r="BH10" s="29" t="str">
        <f>U9</f>
        <v>地下</v>
      </c>
      <c r="BI10" s="29" t="str">
        <f>W9</f>
        <v>地下</v>
      </c>
      <c r="BJ10" s="29" t="str">
        <f>Y9</f>
        <v>地下</v>
      </c>
      <c r="BK10" s="29">
        <f>AA9</f>
        <v>0</v>
      </c>
      <c r="BL10" s="25" t="s">
        <v>1887</v>
      </c>
      <c r="BM10" s="1811" t="str">
        <f>AD9</f>
        <v>地上</v>
      </c>
      <c r="BN10" s="29" t="str">
        <f>AF9</f>
        <v>地下</v>
      </c>
      <c r="BO10" s="1811" t="str">
        <f>AH9</f>
        <v>地上</v>
      </c>
      <c r="BP10" s="29" t="str">
        <f>AJ9</f>
        <v>地下</v>
      </c>
      <c r="BQ10" s="1811" t="str">
        <f>AL9</f>
        <v>地上</v>
      </c>
      <c r="BR10" s="29" t="str">
        <f>AN9</f>
        <v>地下</v>
      </c>
      <c r="BS10" s="1811" t="str">
        <f>AP9</f>
        <v>地上</v>
      </c>
      <c r="BT10" s="2186" t="str">
        <f>AR9</f>
        <v>地下</v>
      </c>
    </row>
    <row r="11" spans="1:72" s="2174" customFormat="1" ht="12.75">
      <c r="A11" s="2167"/>
      <c r="B11" s="2167"/>
      <c r="C11" s="2167"/>
      <c r="D11" s="2167"/>
      <c r="E11" s="2167"/>
      <c r="F11" s="2167"/>
      <c r="G11" s="1288"/>
      <c r="H11" s="2184"/>
      <c r="I11" s="2187" t="s">
        <v>4484</v>
      </c>
      <c r="J11" s="2188"/>
      <c r="K11" s="2187" t="s">
        <v>4485</v>
      </c>
      <c r="L11" s="2188"/>
      <c r="M11" s="2187" t="s">
        <v>3211</v>
      </c>
      <c r="N11" s="2188"/>
      <c r="O11" s="2187" t="s">
        <v>4486</v>
      </c>
      <c r="P11" s="2188"/>
      <c r="Q11" s="2187" t="s">
        <v>4486</v>
      </c>
      <c r="R11" s="2188"/>
      <c r="S11" s="2187" t="s">
        <v>3190</v>
      </c>
      <c r="T11" s="2188"/>
      <c r="U11" s="2187" t="s">
        <v>4488</v>
      </c>
      <c r="V11" s="2188"/>
      <c r="W11" s="2187" t="s">
        <v>4490</v>
      </c>
      <c r="X11" s="2188"/>
      <c r="Y11" s="2187" t="s">
        <v>4492</v>
      </c>
      <c r="Z11" s="2188"/>
      <c r="AA11" s="2187"/>
      <c r="AB11" s="2188"/>
      <c r="AC11" s="1288"/>
      <c r="AD11" s="2189" t="s">
        <v>1897</v>
      </c>
      <c r="AE11" s="1813"/>
      <c r="AF11" s="2189" t="s">
        <v>1897</v>
      </c>
      <c r="AG11" s="1813"/>
      <c r="AH11" s="2189" t="s">
        <v>1898</v>
      </c>
      <c r="AI11" s="2190"/>
      <c r="AJ11" s="2189" t="s">
        <v>1898</v>
      </c>
      <c r="AK11" s="1813"/>
      <c r="AL11" s="1811"/>
      <c r="AM11" s="1813"/>
      <c r="AN11" s="1811"/>
      <c r="AO11" s="1813"/>
      <c r="AP11" s="1811"/>
      <c r="AQ11" s="1813"/>
      <c r="AR11" s="1811"/>
      <c r="AS11" s="1813"/>
      <c r="AT11" s="2150"/>
      <c r="AU11" s="2167"/>
      <c r="AV11" s="1288"/>
      <c r="AW11" s="2150"/>
      <c r="AX11" s="1288"/>
      <c r="AY11" s="28"/>
      <c r="AZ11" s="28"/>
      <c r="BA11" s="28"/>
      <c r="BB11" s="2172" t="str">
        <f>I10</f>
        <v>住宅</v>
      </c>
      <c r="BC11" s="2172" t="str">
        <f>K10</f>
        <v>住宅</v>
      </c>
      <c r="BD11" s="2172" t="str">
        <f>M10</f>
        <v>住宅</v>
      </c>
      <c r="BE11" s="2172" t="str">
        <f>O10</f>
        <v>商业</v>
      </c>
      <c r="BF11" s="2172" t="str">
        <f>Q10</f>
        <v>商业</v>
      </c>
      <c r="BG11" s="2172" t="str">
        <f>S10</f>
        <v>车库</v>
      </c>
      <c r="BH11" s="2172" t="str">
        <f>U10</f>
        <v>仓储</v>
      </c>
      <c r="BI11" s="2172" t="str">
        <f>W10</f>
        <v>仓储</v>
      </c>
      <c r="BJ11" s="2172" t="str">
        <f>Y10</f>
        <v>仓储</v>
      </c>
      <c r="BK11" s="2172">
        <f>AA10</f>
        <v>0</v>
      </c>
      <c r="BL11" s="1288"/>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191" t="str">
        <f>AR10</f>
        <v>未注明</v>
      </c>
    </row>
    <row r="12" spans="1:72" s="2152" customFormat="1" ht="12.75">
      <c r="A12" s="2192"/>
      <c r="B12" s="2192"/>
      <c r="C12" s="2192"/>
      <c r="D12" s="2192"/>
      <c r="E12" s="2192"/>
      <c r="F12" s="2192"/>
      <c r="G12" s="30"/>
      <c r="H12" s="2193"/>
      <c r="I12" s="1800"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796" t="s">
        <v>1900</v>
      </c>
      <c r="W12" s="11" t="s">
        <v>1899</v>
      </c>
      <c r="X12" s="11" t="s">
        <v>1900</v>
      </c>
      <c r="Y12" s="11" t="s">
        <v>1899</v>
      </c>
      <c r="Z12" s="11" t="s">
        <v>1900</v>
      </c>
      <c r="AA12" s="11" t="s">
        <v>1899</v>
      </c>
      <c r="AB12" s="11" t="s">
        <v>1900</v>
      </c>
      <c r="AC12" s="2194"/>
      <c r="AD12" s="1800"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192" t="s">
        <v>1900</v>
      </c>
      <c r="AT12" s="2195"/>
      <c r="AU12" s="2192"/>
      <c r="AV12" s="31"/>
      <c r="AW12" s="2151"/>
      <c r="AX12" s="31"/>
      <c r="AY12" s="2196"/>
      <c r="AZ12" s="28"/>
      <c r="BA12" s="2184"/>
      <c r="BB12" s="24" t="str">
        <f>I11</f>
        <v>合院</v>
      </c>
      <c r="BC12" s="2197" t="str">
        <f>K11</f>
        <v>洋房</v>
      </c>
      <c r="BD12" s="2197" t="str">
        <f>M11</f>
        <v>自持住宅</v>
      </c>
      <c r="BE12" s="2172" t="str">
        <f>O11</f>
        <v>底商</v>
      </c>
      <c r="BF12" s="2172" t="str">
        <f>Q11</f>
        <v>底商</v>
      </c>
      <c r="BG12" s="2172" t="str">
        <f>S11</f>
        <v>车库</v>
      </c>
      <c r="BH12" s="2172" t="str">
        <f>U11</f>
        <v>低密度配仓储</v>
      </c>
      <c r="BI12" s="2172" t="str">
        <f>W11</f>
        <v>洋房配仓储</v>
      </c>
      <c r="BJ12" s="2172" t="str">
        <f>Y11</f>
        <v>独立仓储</v>
      </c>
      <c r="BK12" s="2172">
        <f>AA11</f>
        <v>0</v>
      </c>
      <c r="BL12" s="1288"/>
      <c r="BM12" s="1811" t="str">
        <f>AD11</f>
        <v>（住宅）</v>
      </c>
      <c r="BN12" s="1811" t="str">
        <f>AF11</f>
        <v>（住宅）</v>
      </c>
      <c r="BO12" s="24" t="str">
        <f>AH11</f>
        <v>（住宅、计出让金）</v>
      </c>
      <c r="BP12" s="24" t="str">
        <f>AJ11</f>
        <v>（住宅、计出让金）</v>
      </c>
      <c r="BQ12" s="24">
        <f>AL11</f>
        <v>0</v>
      </c>
      <c r="BR12" s="24">
        <f>AN11</f>
        <v>0</v>
      </c>
      <c r="BS12" s="25">
        <f>AP11</f>
        <v>0</v>
      </c>
      <c r="BT12" s="2191">
        <f>AR11</f>
        <v>0</v>
      </c>
    </row>
    <row r="13" spans="1:72" s="2152" customFormat="1" ht="12.75">
      <c r="A13" s="1268"/>
      <c r="B13" s="1268"/>
      <c r="C13" s="1268"/>
      <c r="D13" s="2198" t="s">
        <v>4433</v>
      </c>
      <c r="E13" s="16">
        <f>IF($C$3="是",ROUND($A$3*G13/$B$3,2),ROUND($A$3*(G13-AT13)/$B$3,2))</f>
        <v>59319.7</v>
      </c>
      <c r="F13" s="32"/>
      <c r="G13" s="33">
        <f>H13+AC13+AT13</f>
        <v>159954.09000000003</v>
      </c>
      <c r="H13" s="20">
        <f>SUMIF(I$12:AB$12,"总值",I13:AB13)</f>
        <v>144619.03</v>
      </c>
      <c r="I13" s="2199">
        <f>合院清单!C1201</f>
        <v>32718.36</v>
      </c>
      <c r="J13" s="2199"/>
      <c r="K13" s="2199">
        <f>洋房清单!J66+规证!D110-规证!Q110</f>
        <v>7640.3099999999995</v>
      </c>
      <c r="L13" s="2199"/>
      <c r="M13" s="2199">
        <f>洋房清单!E65+规证!Q110</f>
        <v>32388.770000000004</v>
      </c>
      <c r="N13" s="2199"/>
      <c r="O13" s="2199">
        <f>洋房测绘!I120-Q13</f>
        <v>263.92</v>
      </c>
      <c r="P13" s="2199"/>
      <c r="Q13" s="2199">
        <v>382.04</v>
      </c>
      <c r="R13" s="2199"/>
      <c r="S13" s="2199">
        <f>合院清单!C1203</f>
        <v>21662.76</v>
      </c>
      <c r="T13" s="2199"/>
      <c r="U13" s="2199">
        <f>合院清单!C1202</f>
        <v>41549.64</v>
      </c>
      <c r="V13" s="2199"/>
      <c r="W13" s="2199">
        <f>洋房清单!J67</f>
        <v>2186.04</v>
      </c>
      <c r="X13" s="2199"/>
      <c r="Y13" s="2199">
        <f>洋房清单!J68+规证!H110</f>
        <v>5827.19</v>
      </c>
      <c r="Z13" s="2199"/>
      <c r="AA13" s="2199"/>
      <c r="AB13" s="2199"/>
      <c r="AC13" s="16">
        <f>SUMIF(AD$12:AS$12,"总值",AD13:AS13)</f>
        <v>4627.92</v>
      </c>
      <c r="AD13" s="2200">
        <f>洋房测绘!J120-'数据-基础表'!AH13+规证!F117</f>
        <v>1825.55</v>
      </c>
      <c r="AE13" s="2200"/>
      <c r="AF13" s="2200"/>
      <c r="AG13" s="2200"/>
      <c r="AH13" s="2200">
        <f>112.45</f>
        <v>112.45</v>
      </c>
      <c r="AI13" s="2200"/>
      <c r="AJ13" s="2200">
        <f>洋房测绘!K120</f>
        <v>66.7</v>
      </c>
      <c r="AK13" s="2200"/>
      <c r="AL13" s="2200">
        <f>洋房测绘!L120</f>
        <v>582.84</v>
      </c>
      <c r="AM13" s="2200"/>
      <c r="AN13" s="2200">
        <f>洋房测绘!M120+规证!I110</f>
        <v>2040.3799999999999</v>
      </c>
      <c r="AO13" s="2200"/>
      <c r="AP13" s="2200"/>
      <c r="AQ13" s="2200"/>
      <c r="AR13" s="2200"/>
      <c r="AS13" s="2200"/>
      <c r="AT13" s="2201">
        <v>10707.14</v>
      </c>
      <c r="AU13" s="2202"/>
      <c r="AV13" s="11">
        <f t="shared" ref="AV13:AX17" si="6">A13</f>
        <v>0</v>
      </c>
      <c r="AW13" s="11">
        <f t="shared" si="6"/>
        <v>0</v>
      </c>
      <c r="AX13" s="11">
        <f t="shared" si="6"/>
        <v>0</v>
      </c>
      <c r="AY13" s="1800">
        <f>ROUND($AY$6*AZ13/$AZ$5,2)</f>
        <v>59319.7</v>
      </c>
      <c r="AZ13" s="16">
        <f>BA13+BL13</f>
        <v>149246.95000000001</v>
      </c>
      <c r="BA13" s="16">
        <f>SUM(BB13:BK13)</f>
        <v>144619.03</v>
      </c>
      <c r="BB13" s="16">
        <f>IF($D13="是",I13-J13,0)</f>
        <v>32718.36</v>
      </c>
      <c r="BC13" s="16">
        <f>IF($D13="是",K13-L13,0)</f>
        <v>7640.3099999999995</v>
      </c>
      <c r="BD13" s="16">
        <f>IF($D13="是",M13-N13,0)</f>
        <v>32388.770000000004</v>
      </c>
      <c r="BE13" s="16">
        <f>IF($D13="是",O13-P13,0)</f>
        <v>263.92</v>
      </c>
      <c r="BF13" s="16">
        <f>IF($D13="是",Q13-R13,0)</f>
        <v>382.04</v>
      </c>
      <c r="BG13" s="16">
        <f>IF($D13="是",S13-T13,0)</f>
        <v>21662.76</v>
      </c>
      <c r="BH13" s="16">
        <f>IF($D13="是",U13-V13,0)</f>
        <v>41549.64</v>
      </c>
      <c r="BI13" s="16">
        <f>IF($D13="是",W13-X13,0)</f>
        <v>2186.04</v>
      </c>
      <c r="BJ13" s="16">
        <f>IF($D13="是",Y13-Z13,0)</f>
        <v>5827.19</v>
      </c>
      <c r="BK13" s="16">
        <f>IF($D13="是",AA13-AB13,0)</f>
        <v>0</v>
      </c>
      <c r="BL13" s="16">
        <f>SUM(BM13:BT13)</f>
        <v>4627.92</v>
      </c>
      <c r="BM13" s="16">
        <f>IF($D13="是",AD13-AE13,0)</f>
        <v>1825.55</v>
      </c>
      <c r="BN13" s="16">
        <f>IF($D13="是",AF13-AG13,0)</f>
        <v>0</v>
      </c>
      <c r="BO13" s="16">
        <f>IF($D13="是",AH13-AI13,0)</f>
        <v>112.45</v>
      </c>
      <c r="BP13" s="16">
        <f>IF($D13="是",AJ13-AK13,0)</f>
        <v>66.7</v>
      </c>
      <c r="BQ13" s="16">
        <f>IF($D13="是",AL13-AM13,0)</f>
        <v>582.84</v>
      </c>
      <c r="BR13" s="16">
        <f>IF($D13="是",AN13-AO13,0)</f>
        <v>2040.3799999999999</v>
      </c>
      <c r="BS13" s="16">
        <f>IF($D13="是",AP13-AQ13,0)</f>
        <v>0</v>
      </c>
      <c r="BT13" s="22">
        <f>IF($D13="是",AR13-AS13,0)</f>
        <v>0</v>
      </c>
    </row>
    <row r="14" spans="1:72" s="2152" customFormat="1" ht="12.75">
      <c r="A14" s="1268"/>
      <c r="B14" s="1268"/>
      <c r="C14" s="2138"/>
      <c r="D14" s="2198"/>
      <c r="E14" s="16">
        <f>IF($C$3="是",ROUND($A$3*G14/$B$3,2),ROUND($A$3*(G14-AT14)/$B$3,2))</f>
        <v>0</v>
      </c>
      <c r="F14" s="32"/>
      <c r="G14" s="33">
        <f>H14+AC14+AT14</f>
        <v>0</v>
      </c>
      <c r="H14" s="20">
        <f>SUMIF(I$12:AB$12,"总值",I14:AB14)</f>
        <v>0</v>
      </c>
      <c r="I14" s="2199"/>
      <c r="J14" s="2199"/>
      <c r="K14" s="2199"/>
      <c r="L14" s="2199"/>
      <c r="M14" s="2199"/>
      <c r="N14" s="2199"/>
      <c r="O14" s="2199"/>
      <c r="P14" s="2199"/>
      <c r="Q14" s="2199"/>
      <c r="R14" s="2199"/>
      <c r="S14" s="2199"/>
      <c r="T14" s="2199"/>
      <c r="U14" s="2199"/>
      <c r="V14" s="2199"/>
      <c r="W14" s="2199"/>
      <c r="X14" s="2199"/>
      <c r="Y14" s="2199"/>
      <c r="Z14" s="2199"/>
      <c r="AA14" s="2199"/>
      <c r="AB14" s="2199"/>
      <c r="AC14" s="16">
        <f>SUMIF(AD$12:AS$12,"总值",AD14:AS14)</f>
        <v>0</v>
      </c>
      <c r="AD14" s="2200"/>
      <c r="AE14" s="2200"/>
      <c r="AF14" s="2200"/>
      <c r="AG14" s="2200"/>
      <c r="AH14" s="2200"/>
      <c r="AI14" s="2200"/>
      <c r="AJ14" s="2200"/>
      <c r="AK14" s="2200"/>
      <c r="AL14" s="2200"/>
      <c r="AM14" s="2200"/>
      <c r="AN14" s="2200"/>
      <c r="AO14" s="2200"/>
      <c r="AP14" s="2200"/>
      <c r="AQ14" s="2200"/>
      <c r="AR14" s="2200"/>
      <c r="AS14" s="2200"/>
      <c r="AT14" s="2201"/>
      <c r="AU14" s="2202"/>
      <c r="AV14" s="11">
        <f t="shared" si="6"/>
        <v>0</v>
      </c>
      <c r="AW14" s="11">
        <f t="shared" si="6"/>
        <v>0</v>
      </c>
      <c r="AX14" s="11">
        <f t="shared" si="6"/>
        <v>0</v>
      </c>
      <c r="AY14" s="180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2" customFormat="1" ht="12.75">
      <c r="A15" s="1268"/>
      <c r="B15" s="1268"/>
      <c r="C15" s="2138"/>
      <c r="D15" s="2198"/>
      <c r="E15" s="16">
        <f>IF($C$3="是",ROUND($A$3*G15/$B$3,2),ROUND($A$3*(G15-AT15)/$B$3,2))</f>
        <v>0</v>
      </c>
      <c r="F15" s="32"/>
      <c r="G15" s="33">
        <f>H15+AC15+AT15</f>
        <v>0</v>
      </c>
      <c r="H15" s="20">
        <f>SUMIF(I$12:AB$12,"总值",I15:AB15)</f>
        <v>0</v>
      </c>
      <c r="I15" s="2199"/>
      <c r="J15" s="2199"/>
      <c r="K15" s="2199"/>
      <c r="L15" s="2199"/>
      <c r="M15" s="2199"/>
      <c r="N15" s="2199"/>
      <c r="O15" s="2199"/>
      <c r="P15" s="2199"/>
      <c r="Q15" s="2199"/>
      <c r="R15" s="2199"/>
      <c r="S15" s="2199"/>
      <c r="T15" s="2199"/>
      <c r="U15" s="2199"/>
      <c r="V15" s="2199"/>
      <c r="W15" s="2199"/>
      <c r="X15" s="2199"/>
      <c r="Y15" s="2199"/>
      <c r="Z15" s="2199"/>
      <c r="AA15" s="2199"/>
      <c r="AB15" s="2199"/>
      <c r="AC15" s="16">
        <f>SUMIF(AD$12:AS$12,"总值",AD15:AS15)</f>
        <v>0</v>
      </c>
      <c r="AD15" s="2200"/>
      <c r="AE15" s="2200"/>
      <c r="AF15" s="2200"/>
      <c r="AG15" s="2200"/>
      <c r="AH15" s="2200"/>
      <c r="AI15" s="2200"/>
      <c r="AJ15" s="2200"/>
      <c r="AK15" s="2200"/>
      <c r="AL15" s="2200"/>
      <c r="AM15" s="2200"/>
      <c r="AN15" s="2200"/>
      <c r="AO15" s="2200"/>
      <c r="AP15" s="2200"/>
      <c r="AQ15" s="2200"/>
      <c r="AR15" s="2200"/>
      <c r="AS15" s="2200"/>
      <c r="AT15" s="2201"/>
      <c r="AU15" s="2202"/>
      <c r="AV15" s="11">
        <f t="shared" si="6"/>
        <v>0</v>
      </c>
      <c r="AW15" s="11">
        <f t="shared" si="6"/>
        <v>0</v>
      </c>
      <c r="AX15" s="11">
        <f t="shared" si="6"/>
        <v>0</v>
      </c>
      <c r="AY15" s="180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2" customFormat="1" ht="12.75">
      <c r="A16" s="1268"/>
      <c r="B16" s="1268"/>
      <c r="C16" s="2138"/>
      <c r="D16" s="2198"/>
      <c r="E16" s="16">
        <f>IF($C$3="是",ROUND($A$3*G16/$B$3,2),ROUND($A$3*(G16-AT16)/$B$3,2))</f>
        <v>0</v>
      </c>
      <c r="F16" s="32"/>
      <c r="G16" s="33">
        <f>H16+AC16+AT16</f>
        <v>0</v>
      </c>
      <c r="H16" s="20">
        <f>SUMIF(I$12:AB$12,"总值",I16:AB16)</f>
        <v>0</v>
      </c>
      <c r="I16" s="2199"/>
      <c r="J16" s="2199"/>
      <c r="K16" s="2199"/>
      <c r="L16" s="2199"/>
      <c r="M16" s="2199"/>
      <c r="N16" s="2199"/>
      <c r="O16" s="2199"/>
      <c r="P16" s="2199"/>
      <c r="Q16" s="2199"/>
      <c r="R16" s="2199"/>
      <c r="S16" s="2199"/>
      <c r="T16" s="2199"/>
      <c r="U16" s="2199"/>
      <c r="V16" s="2199"/>
      <c r="W16" s="2199"/>
      <c r="X16" s="2199"/>
      <c r="Y16" s="2199"/>
      <c r="Z16" s="2199"/>
      <c r="AA16" s="2199"/>
      <c r="AB16" s="2199"/>
      <c r="AC16" s="16">
        <f>SUMIF(AD$12:AS$12,"总值",AD16:AS16)</f>
        <v>0</v>
      </c>
      <c r="AD16" s="2200"/>
      <c r="AE16" s="2200"/>
      <c r="AF16" s="2200"/>
      <c r="AG16" s="2200"/>
      <c r="AH16" s="2200"/>
      <c r="AI16" s="2200"/>
      <c r="AJ16" s="2200"/>
      <c r="AK16" s="2200"/>
      <c r="AL16" s="2200"/>
      <c r="AM16" s="2200"/>
      <c r="AN16" s="2200"/>
      <c r="AO16" s="2200"/>
      <c r="AP16" s="2200"/>
      <c r="AQ16" s="2200"/>
      <c r="AR16" s="2200"/>
      <c r="AS16" s="2200"/>
      <c r="AT16" s="2201"/>
      <c r="AU16" s="2202"/>
      <c r="AV16" s="11">
        <f t="shared" si="6"/>
        <v>0</v>
      </c>
      <c r="AW16" s="11">
        <f t="shared" si="6"/>
        <v>0</v>
      </c>
      <c r="AX16" s="11">
        <f t="shared" si="6"/>
        <v>0</v>
      </c>
      <c r="AY16" s="180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2" customFormat="1" ht="12.75">
      <c r="A17" s="1268"/>
      <c r="B17" s="1268"/>
      <c r="C17" s="2138"/>
      <c r="D17" s="2198"/>
      <c r="E17" s="16">
        <f>IF($C$3="是",ROUND($A$3*G17/$B$3,2),ROUND($A$3*(G17-AT17)/$B$3,2))</f>
        <v>0</v>
      </c>
      <c r="F17" s="32"/>
      <c r="G17" s="33">
        <f>H17+AC17+AT17</f>
        <v>0</v>
      </c>
      <c r="H17" s="20">
        <f>SUMIF(I$12:AB$12,"总值",I17:AB17)</f>
        <v>0</v>
      </c>
      <c r="I17" s="2199"/>
      <c r="J17" s="2199"/>
      <c r="K17" s="2199"/>
      <c r="L17" s="2199"/>
      <c r="M17" s="2199"/>
      <c r="N17" s="2199"/>
      <c r="O17" s="2199"/>
      <c r="P17" s="2199"/>
      <c r="Q17" s="2199"/>
      <c r="R17" s="2199"/>
      <c r="S17" s="2199"/>
      <c r="T17" s="2199"/>
      <c r="U17" s="2199"/>
      <c r="V17" s="2199"/>
      <c r="W17" s="2199"/>
      <c r="X17" s="2199"/>
      <c r="Y17" s="2199"/>
      <c r="Z17" s="2199"/>
      <c r="AA17" s="2199"/>
      <c r="AB17" s="2199"/>
      <c r="AC17" s="16">
        <f>SUMIF(AD$12:AS$12,"总值",AD17:AS17)</f>
        <v>0</v>
      </c>
      <c r="AD17" s="2200"/>
      <c r="AE17" s="2200"/>
      <c r="AF17" s="2200"/>
      <c r="AG17" s="2200"/>
      <c r="AH17" s="2200"/>
      <c r="AI17" s="2200"/>
      <c r="AJ17" s="2200"/>
      <c r="AK17" s="2200"/>
      <c r="AL17" s="2200"/>
      <c r="AM17" s="2200"/>
      <c r="AN17" s="2200"/>
      <c r="AO17" s="2200"/>
      <c r="AP17" s="2200"/>
      <c r="AQ17" s="2200"/>
      <c r="AR17" s="2200"/>
      <c r="AS17" s="2200"/>
      <c r="AT17" s="2201"/>
      <c r="AU17" s="2202"/>
      <c r="AV17" s="11">
        <f t="shared" si="6"/>
        <v>0</v>
      </c>
      <c r="AW17" s="11">
        <f t="shared" si="6"/>
        <v>0</v>
      </c>
      <c r="AX17" s="11">
        <f t="shared" si="6"/>
        <v>0</v>
      </c>
      <c r="AY17" s="180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4"/>
      <c r="AV18" s="1789">
        <f t="shared" ref="AV18:AV112" si="11">A18</f>
        <v>0</v>
      </c>
      <c r="AW18" s="1789">
        <f t="shared" ref="AW18:AW112" si="12">B18</f>
        <v>0</v>
      </c>
      <c r="AX18" s="178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4"/>
      <c r="AV19" s="1789">
        <f t="shared" si="11"/>
        <v>0</v>
      </c>
      <c r="AW19" s="1789">
        <f t="shared" si="12"/>
        <v>0</v>
      </c>
      <c r="AX19" s="178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4"/>
      <c r="AV20" s="1789">
        <f t="shared" si="11"/>
        <v>0</v>
      </c>
      <c r="AW20" s="1789">
        <f t="shared" si="12"/>
        <v>0</v>
      </c>
      <c r="AX20" s="178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4"/>
      <c r="AV21" s="1789">
        <f t="shared" si="11"/>
        <v>0</v>
      </c>
      <c r="AW21" s="1789">
        <f t="shared" si="12"/>
        <v>0</v>
      </c>
      <c r="AX21" s="178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4"/>
      <c r="AV22" s="1789">
        <f t="shared" si="11"/>
        <v>0</v>
      </c>
      <c r="AW22" s="1789">
        <f t="shared" si="12"/>
        <v>0</v>
      </c>
      <c r="AX22" s="178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4"/>
      <c r="AV23" s="1789">
        <f t="shared" si="11"/>
        <v>0</v>
      </c>
      <c r="AW23" s="1789">
        <f t="shared" si="12"/>
        <v>0</v>
      </c>
      <c r="AX23" s="178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4"/>
      <c r="AV24" s="1789">
        <f t="shared" si="11"/>
        <v>0</v>
      </c>
      <c r="AW24" s="1789">
        <f t="shared" si="12"/>
        <v>0</v>
      </c>
      <c r="AX24" s="178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4"/>
      <c r="AV25" s="1789">
        <f t="shared" si="11"/>
        <v>0</v>
      </c>
      <c r="AW25" s="1789">
        <f t="shared" si="12"/>
        <v>0</v>
      </c>
      <c r="AX25" s="178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4"/>
      <c r="AV26" s="1789">
        <f t="shared" si="11"/>
        <v>0</v>
      </c>
      <c r="AW26" s="1789">
        <f t="shared" si="12"/>
        <v>0</v>
      </c>
      <c r="AX26" s="178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4"/>
      <c r="AV27" s="1789">
        <f t="shared" si="11"/>
        <v>0</v>
      </c>
      <c r="AW27" s="1789">
        <f t="shared" si="12"/>
        <v>0</v>
      </c>
      <c r="AX27" s="178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4"/>
      <c r="AV28" s="1789">
        <f t="shared" si="11"/>
        <v>0</v>
      </c>
      <c r="AW28" s="1789">
        <f t="shared" si="12"/>
        <v>0</v>
      </c>
      <c r="AX28" s="178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4"/>
      <c r="AV29" s="1789">
        <f t="shared" si="11"/>
        <v>0</v>
      </c>
      <c r="AW29" s="1789">
        <f t="shared" si="12"/>
        <v>0</v>
      </c>
      <c r="AX29" s="178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4"/>
      <c r="AV30" s="1789">
        <f t="shared" si="11"/>
        <v>0</v>
      </c>
      <c r="AW30" s="1789">
        <f t="shared" si="12"/>
        <v>0</v>
      </c>
      <c r="AX30" s="178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4"/>
      <c r="AV31" s="1789">
        <f t="shared" si="11"/>
        <v>0</v>
      </c>
      <c r="AW31" s="1789">
        <f t="shared" si="12"/>
        <v>0</v>
      </c>
      <c r="AX31" s="178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4"/>
      <c r="AV32" s="1789">
        <f t="shared" si="11"/>
        <v>0</v>
      </c>
      <c r="AW32" s="1789">
        <f t="shared" si="12"/>
        <v>0</v>
      </c>
      <c r="AX32" s="178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4"/>
      <c r="AV33" s="1789">
        <f t="shared" si="11"/>
        <v>0</v>
      </c>
      <c r="AW33" s="1789">
        <f t="shared" si="12"/>
        <v>0</v>
      </c>
      <c r="AX33" s="178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4"/>
      <c r="AV34" s="1789">
        <f t="shared" si="11"/>
        <v>0</v>
      </c>
      <c r="AW34" s="1789">
        <f t="shared" si="12"/>
        <v>0</v>
      </c>
      <c r="AX34" s="178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4"/>
      <c r="AV35" s="1789">
        <f t="shared" si="11"/>
        <v>0</v>
      </c>
      <c r="AW35" s="1789">
        <f t="shared" si="12"/>
        <v>0</v>
      </c>
      <c r="AX35" s="178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4"/>
      <c r="AV36" s="1789">
        <f t="shared" si="11"/>
        <v>0</v>
      </c>
      <c r="AW36" s="1789">
        <f t="shared" si="12"/>
        <v>0</v>
      </c>
      <c r="AX36" s="178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4"/>
      <c r="AV37" s="1789">
        <f t="shared" si="11"/>
        <v>0</v>
      </c>
      <c r="AW37" s="1789">
        <f t="shared" si="12"/>
        <v>0</v>
      </c>
      <c r="AX37" s="178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4"/>
      <c r="AV38" s="1789">
        <f t="shared" si="11"/>
        <v>0</v>
      </c>
      <c r="AW38" s="1789">
        <f t="shared" si="12"/>
        <v>0</v>
      </c>
      <c r="AX38" s="178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4"/>
      <c r="AV39" s="1789">
        <f t="shared" si="11"/>
        <v>0</v>
      </c>
      <c r="AW39" s="1789">
        <f t="shared" si="12"/>
        <v>0</v>
      </c>
      <c r="AX39" s="178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4"/>
      <c r="AV40" s="1789">
        <f t="shared" si="11"/>
        <v>0</v>
      </c>
      <c r="AW40" s="1789">
        <f t="shared" si="12"/>
        <v>0</v>
      </c>
      <c r="AX40" s="178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4"/>
      <c r="AV41" s="1789">
        <f t="shared" si="11"/>
        <v>0</v>
      </c>
      <c r="AW41" s="1789">
        <f t="shared" si="12"/>
        <v>0</v>
      </c>
      <c r="AX41" s="178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4"/>
      <c r="AV42" s="1789">
        <f t="shared" si="11"/>
        <v>0</v>
      </c>
      <c r="AW42" s="1789">
        <f t="shared" si="12"/>
        <v>0</v>
      </c>
      <c r="AX42" s="178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4"/>
      <c r="AV43" s="1789">
        <f t="shared" si="11"/>
        <v>0</v>
      </c>
      <c r="AW43" s="1789">
        <f t="shared" si="12"/>
        <v>0</v>
      </c>
      <c r="AX43" s="178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4"/>
      <c r="AV44" s="1789">
        <f t="shared" si="11"/>
        <v>0</v>
      </c>
      <c r="AW44" s="1789">
        <f t="shared" si="12"/>
        <v>0</v>
      </c>
      <c r="AX44" s="178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4"/>
      <c r="AV45" s="1789">
        <f t="shared" si="11"/>
        <v>0</v>
      </c>
      <c r="AW45" s="1789">
        <f t="shared" si="12"/>
        <v>0</v>
      </c>
      <c r="AX45" s="178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4"/>
      <c r="AV46" s="1789">
        <f t="shared" si="11"/>
        <v>0</v>
      </c>
      <c r="AW46" s="1789">
        <f t="shared" si="12"/>
        <v>0</v>
      </c>
      <c r="AX46" s="178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4"/>
      <c r="AV47" s="1789">
        <f t="shared" si="11"/>
        <v>0</v>
      </c>
      <c r="AW47" s="1789">
        <f t="shared" si="12"/>
        <v>0</v>
      </c>
      <c r="AX47" s="178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4"/>
      <c r="AV48" s="1789">
        <f t="shared" si="11"/>
        <v>0</v>
      </c>
      <c r="AW48" s="1789">
        <f t="shared" si="12"/>
        <v>0</v>
      </c>
      <c r="AX48" s="178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4"/>
      <c r="AV49" s="1789">
        <f t="shared" si="11"/>
        <v>0</v>
      </c>
      <c r="AW49" s="1789">
        <f t="shared" si="12"/>
        <v>0</v>
      </c>
      <c r="AX49" s="178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4"/>
      <c r="AV50" s="1789">
        <f t="shared" si="11"/>
        <v>0</v>
      </c>
      <c r="AW50" s="1789">
        <f t="shared" si="12"/>
        <v>0</v>
      </c>
      <c r="AX50" s="178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4"/>
      <c r="AV51" s="1789">
        <f t="shared" si="11"/>
        <v>0</v>
      </c>
      <c r="AW51" s="1789">
        <f t="shared" si="12"/>
        <v>0</v>
      </c>
      <c r="AX51" s="178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4"/>
      <c r="AV52" s="1789">
        <f t="shared" si="11"/>
        <v>0</v>
      </c>
      <c r="AW52" s="1789">
        <f t="shared" si="12"/>
        <v>0</v>
      </c>
      <c r="AX52" s="178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4"/>
      <c r="AV53" s="1789">
        <f t="shared" si="11"/>
        <v>0</v>
      </c>
      <c r="AW53" s="1789">
        <f t="shared" si="12"/>
        <v>0</v>
      </c>
      <c r="AX53" s="178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4"/>
      <c r="AV54" s="1789">
        <f t="shared" si="11"/>
        <v>0</v>
      </c>
      <c r="AW54" s="1789">
        <f t="shared" si="12"/>
        <v>0</v>
      </c>
      <c r="AX54" s="178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4"/>
      <c r="AV55" s="1789">
        <f t="shared" si="11"/>
        <v>0</v>
      </c>
      <c r="AW55" s="1789">
        <f t="shared" si="12"/>
        <v>0</v>
      </c>
      <c r="AX55" s="178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4"/>
      <c r="AV56" s="1789">
        <f t="shared" si="11"/>
        <v>0</v>
      </c>
      <c r="AW56" s="1789">
        <f t="shared" si="12"/>
        <v>0</v>
      </c>
      <c r="AX56" s="178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4"/>
      <c r="AV57" s="1789">
        <f t="shared" si="11"/>
        <v>0</v>
      </c>
      <c r="AW57" s="1789">
        <f t="shared" si="12"/>
        <v>0</v>
      </c>
      <c r="AX57" s="178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4"/>
      <c r="AV58" s="1789">
        <f t="shared" si="11"/>
        <v>0</v>
      </c>
      <c r="AW58" s="1789">
        <f t="shared" si="12"/>
        <v>0</v>
      </c>
      <c r="AX58" s="178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4"/>
      <c r="AV59" s="1789">
        <f t="shared" si="11"/>
        <v>0</v>
      </c>
      <c r="AW59" s="1789">
        <f t="shared" si="12"/>
        <v>0</v>
      </c>
      <c r="AX59" s="178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4"/>
      <c r="AV60" s="1789">
        <f t="shared" si="11"/>
        <v>0</v>
      </c>
      <c r="AW60" s="1789">
        <f t="shared" si="12"/>
        <v>0</v>
      </c>
      <c r="AX60" s="178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4"/>
      <c r="AV61" s="1789">
        <f t="shared" si="11"/>
        <v>0</v>
      </c>
      <c r="AW61" s="1789">
        <f t="shared" si="12"/>
        <v>0</v>
      </c>
      <c r="AX61" s="178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4"/>
      <c r="AV62" s="1789">
        <f t="shared" si="11"/>
        <v>0</v>
      </c>
      <c r="AW62" s="1789">
        <f t="shared" si="12"/>
        <v>0</v>
      </c>
      <c r="AX62" s="178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4"/>
      <c r="AV63" s="1789">
        <f t="shared" si="11"/>
        <v>0</v>
      </c>
      <c r="AW63" s="1789">
        <f t="shared" si="12"/>
        <v>0</v>
      </c>
      <c r="AX63" s="178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4"/>
      <c r="AV64" s="1789">
        <f t="shared" si="11"/>
        <v>0</v>
      </c>
      <c r="AW64" s="1789">
        <f t="shared" si="12"/>
        <v>0</v>
      </c>
      <c r="AX64" s="178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4"/>
      <c r="AV65" s="1789">
        <f t="shared" si="11"/>
        <v>0</v>
      </c>
      <c r="AW65" s="1789">
        <f t="shared" si="12"/>
        <v>0</v>
      </c>
      <c r="AX65" s="178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4"/>
      <c r="AV66" s="1789">
        <f t="shared" si="11"/>
        <v>0</v>
      </c>
      <c r="AW66" s="1789">
        <f t="shared" si="12"/>
        <v>0</v>
      </c>
      <c r="AX66" s="178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4"/>
      <c r="AV67" s="1789">
        <f t="shared" si="11"/>
        <v>0</v>
      </c>
      <c r="AW67" s="1789">
        <f t="shared" si="12"/>
        <v>0</v>
      </c>
      <c r="AX67" s="178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4"/>
      <c r="AV68" s="1789">
        <f t="shared" si="11"/>
        <v>0</v>
      </c>
      <c r="AW68" s="1789">
        <f t="shared" si="12"/>
        <v>0</v>
      </c>
      <c r="AX68" s="178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4"/>
      <c r="AV69" s="1789">
        <f t="shared" si="11"/>
        <v>0</v>
      </c>
      <c r="AW69" s="1789">
        <f t="shared" si="12"/>
        <v>0</v>
      </c>
      <c r="AX69" s="178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4"/>
      <c r="AV70" s="1789">
        <f t="shared" si="11"/>
        <v>0</v>
      </c>
      <c r="AW70" s="1789">
        <f t="shared" si="12"/>
        <v>0</v>
      </c>
      <c r="AX70" s="178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4"/>
      <c r="AV71" s="1789">
        <f t="shared" si="11"/>
        <v>0</v>
      </c>
      <c r="AW71" s="1789">
        <f t="shared" si="12"/>
        <v>0</v>
      </c>
      <c r="AX71" s="178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4"/>
      <c r="AV72" s="1789">
        <f t="shared" si="11"/>
        <v>0</v>
      </c>
      <c r="AW72" s="1789">
        <f t="shared" si="12"/>
        <v>0</v>
      </c>
      <c r="AX72" s="178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4"/>
      <c r="AV73" s="1789">
        <f t="shared" si="11"/>
        <v>0</v>
      </c>
      <c r="AW73" s="1789">
        <f t="shared" si="12"/>
        <v>0</v>
      </c>
      <c r="AX73" s="178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4"/>
      <c r="AV74" s="1789">
        <f t="shared" si="11"/>
        <v>0</v>
      </c>
      <c r="AW74" s="1789">
        <f t="shared" si="12"/>
        <v>0</v>
      </c>
      <c r="AX74" s="178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4"/>
      <c r="AV75" s="1789">
        <f t="shared" si="11"/>
        <v>0</v>
      </c>
      <c r="AW75" s="1789">
        <f t="shared" si="12"/>
        <v>0</v>
      </c>
      <c r="AX75" s="178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4"/>
      <c r="AV76" s="1789">
        <f t="shared" si="11"/>
        <v>0</v>
      </c>
      <c r="AW76" s="1789">
        <f t="shared" si="12"/>
        <v>0</v>
      </c>
      <c r="AX76" s="178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4"/>
      <c r="AV77" s="1789">
        <f t="shared" si="11"/>
        <v>0</v>
      </c>
      <c r="AW77" s="1789">
        <f t="shared" si="12"/>
        <v>0</v>
      </c>
      <c r="AX77" s="178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4"/>
      <c r="AV78" s="1789">
        <f t="shared" si="11"/>
        <v>0</v>
      </c>
      <c r="AW78" s="1789">
        <f t="shared" si="12"/>
        <v>0</v>
      </c>
      <c r="AX78" s="178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4"/>
      <c r="AV79" s="1789">
        <f t="shared" si="11"/>
        <v>0</v>
      </c>
      <c r="AW79" s="1789">
        <f t="shared" si="12"/>
        <v>0</v>
      </c>
      <c r="AX79" s="178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4"/>
      <c r="AV80" s="1789">
        <f t="shared" si="11"/>
        <v>0</v>
      </c>
      <c r="AW80" s="1789">
        <f t="shared" si="12"/>
        <v>0</v>
      </c>
      <c r="AX80" s="178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4"/>
      <c r="AV81" s="1789">
        <f t="shared" si="11"/>
        <v>0</v>
      </c>
      <c r="AW81" s="1789">
        <f t="shared" si="12"/>
        <v>0</v>
      </c>
      <c r="AX81" s="178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4"/>
      <c r="AV82" s="1789">
        <f t="shared" si="11"/>
        <v>0</v>
      </c>
      <c r="AW82" s="1789">
        <f t="shared" si="12"/>
        <v>0</v>
      </c>
      <c r="AX82" s="178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4"/>
      <c r="AV83" s="1789">
        <f t="shared" si="11"/>
        <v>0</v>
      </c>
      <c r="AW83" s="1789">
        <f t="shared" si="12"/>
        <v>0</v>
      </c>
      <c r="AX83" s="178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4"/>
      <c r="AV84" s="1789">
        <f t="shared" si="11"/>
        <v>0</v>
      </c>
      <c r="AW84" s="1789">
        <f t="shared" si="12"/>
        <v>0</v>
      </c>
      <c r="AX84" s="178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4"/>
      <c r="AV85" s="1789">
        <f t="shared" si="11"/>
        <v>0</v>
      </c>
      <c r="AW85" s="1789">
        <f t="shared" si="12"/>
        <v>0</v>
      </c>
      <c r="AX85" s="178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4"/>
      <c r="AV86" s="1789">
        <f t="shared" si="11"/>
        <v>0</v>
      </c>
      <c r="AW86" s="1789">
        <f t="shared" si="12"/>
        <v>0</v>
      </c>
      <c r="AX86" s="178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4"/>
      <c r="AV87" s="1789">
        <f t="shared" si="11"/>
        <v>0</v>
      </c>
      <c r="AW87" s="1789">
        <f t="shared" si="12"/>
        <v>0</v>
      </c>
      <c r="AX87" s="178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4"/>
      <c r="AV88" s="1789">
        <f t="shared" si="11"/>
        <v>0</v>
      </c>
      <c r="AW88" s="1789">
        <f t="shared" si="12"/>
        <v>0</v>
      </c>
      <c r="AX88" s="178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4"/>
      <c r="AV89" s="1789">
        <f t="shared" si="11"/>
        <v>0</v>
      </c>
      <c r="AW89" s="1789">
        <f t="shared" si="12"/>
        <v>0</v>
      </c>
      <c r="AX89" s="178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4"/>
      <c r="AV90" s="1789">
        <f t="shared" si="11"/>
        <v>0</v>
      </c>
      <c r="AW90" s="1789">
        <f t="shared" si="12"/>
        <v>0</v>
      </c>
      <c r="AX90" s="178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4"/>
      <c r="AV91" s="1789">
        <f t="shared" si="11"/>
        <v>0</v>
      </c>
      <c r="AW91" s="1789">
        <f t="shared" si="12"/>
        <v>0</v>
      </c>
      <c r="AX91" s="178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4"/>
      <c r="AV92" s="1789">
        <f t="shared" si="11"/>
        <v>0</v>
      </c>
      <c r="AW92" s="1789">
        <f t="shared" si="12"/>
        <v>0</v>
      </c>
      <c r="AX92" s="178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4"/>
      <c r="AV93" s="1789">
        <f t="shared" si="11"/>
        <v>0</v>
      </c>
      <c r="AW93" s="1789">
        <f t="shared" si="12"/>
        <v>0</v>
      </c>
      <c r="AX93" s="178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4"/>
      <c r="AV94" s="1789">
        <f t="shared" si="11"/>
        <v>0</v>
      </c>
      <c r="AW94" s="1789">
        <f t="shared" si="12"/>
        <v>0</v>
      </c>
      <c r="AX94" s="178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4"/>
      <c r="AV95" s="1789">
        <f t="shared" si="11"/>
        <v>0</v>
      </c>
      <c r="AW95" s="1789">
        <f t="shared" si="12"/>
        <v>0</v>
      </c>
      <c r="AX95" s="178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4"/>
      <c r="AV96" s="1789">
        <f t="shared" si="11"/>
        <v>0</v>
      </c>
      <c r="AW96" s="1789">
        <f t="shared" si="12"/>
        <v>0</v>
      </c>
      <c r="AX96" s="178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4"/>
      <c r="AV97" s="1789">
        <f t="shared" si="11"/>
        <v>0</v>
      </c>
      <c r="AW97" s="1789">
        <f t="shared" si="12"/>
        <v>0</v>
      </c>
      <c r="AX97" s="178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4"/>
      <c r="AV98" s="1789">
        <f t="shared" si="11"/>
        <v>0</v>
      </c>
      <c r="AW98" s="1789">
        <f t="shared" si="12"/>
        <v>0</v>
      </c>
      <c r="AX98" s="178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4"/>
      <c r="AV99" s="1789">
        <f t="shared" si="11"/>
        <v>0</v>
      </c>
      <c r="AW99" s="1789">
        <f t="shared" si="12"/>
        <v>0</v>
      </c>
      <c r="AX99" s="178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4"/>
      <c r="AV100" s="1789">
        <f t="shared" si="11"/>
        <v>0</v>
      </c>
      <c r="AW100" s="1789">
        <f t="shared" si="12"/>
        <v>0</v>
      </c>
      <c r="AX100" s="178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4"/>
      <c r="AV101" s="1789">
        <f t="shared" si="11"/>
        <v>0</v>
      </c>
      <c r="AW101" s="1789">
        <f t="shared" si="12"/>
        <v>0</v>
      </c>
      <c r="AX101" s="178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4"/>
      <c r="AV102" s="1789">
        <f t="shared" si="11"/>
        <v>0</v>
      </c>
      <c r="AW102" s="1789">
        <f t="shared" si="12"/>
        <v>0</v>
      </c>
      <c r="AX102" s="178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4"/>
      <c r="AV103" s="1789">
        <f t="shared" si="11"/>
        <v>0</v>
      </c>
      <c r="AW103" s="1789">
        <f t="shared" si="12"/>
        <v>0</v>
      </c>
      <c r="AX103" s="178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4"/>
      <c r="AV104" s="1789">
        <f t="shared" si="11"/>
        <v>0</v>
      </c>
      <c r="AW104" s="1789">
        <f t="shared" si="12"/>
        <v>0</v>
      </c>
      <c r="AX104" s="178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4"/>
      <c r="AV105" s="1789">
        <f t="shared" si="11"/>
        <v>0</v>
      </c>
      <c r="AW105" s="1789">
        <f t="shared" si="12"/>
        <v>0</v>
      </c>
      <c r="AX105" s="178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4"/>
      <c r="AV106" s="1789">
        <f t="shared" si="11"/>
        <v>0</v>
      </c>
      <c r="AW106" s="1789">
        <f t="shared" si="12"/>
        <v>0</v>
      </c>
      <c r="AX106" s="178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4"/>
      <c r="AV107" s="1789">
        <f t="shared" si="11"/>
        <v>0</v>
      </c>
      <c r="AW107" s="1789">
        <f t="shared" si="12"/>
        <v>0</v>
      </c>
      <c r="AX107" s="178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4"/>
      <c r="AV108" s="1789">
        <f t="shared" si="11"/>
        <v>0</v>
      </c>
      <c r="AW108" s="1789">
        <f t="shared" si="12"/>
        <v>0</v>
      </c>
      <c r="AX108" s="178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4"/>
      <c r="AV109" s="1789">
        <f t="shared" si="11"/>
        <v>0</v>
      </c>
      <c r="AW109" s="1789">
        <f t="shared" si="12"/>
        <v>0</v>
      </c>
      <c r="AX109" s="178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9"/>
      <c r="AV110" s="1789">
        <f t="shared" si="11"/>
        <v>0</v>
      </c>
      <c r="AW110" s="1789">
        <f t="shared" si="12"/>
        <v>0</v>
      </c>
      <c r="AX110" s="178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9"/>
      <c r="AV111" s="1789">
        <f t="shared" si="11"/>
        <v>0</v>
      </c>
      <c r="AW111" s="1789">
        <f t="shared" si="12"/>
        <v>0</v>
      </c>
      <c r="AX111" s="178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9"/>
      <c r="AV112" s="1789">
        <f t="shared" si="11"/>
        <v>0</v>
      </c>
      <c r="AW112" s="1789">
        <f t="shared" si="12"/>
        <v>0</v>
      </c>
      <c r="AX112" s="178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4"/>
      <c r="AV113" s="1789">
        <f t="shared" ref="AV113:AV144" si="62">A113</f>
        <v>0</v>
      </c>
      <c r="AW113" s="1789">
        <f t="shared" ref="AW113:AW144" si="63">B113</f>
        <v>0</v>
      </c>
      <c r="AX113" s="17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4"/>
      <c r="AV114" s="1789">
        <f t="shared" si="62"/>
        <v>0</v>
      </c>
      <c r="AW114" s="1789">
        <f t="shared" si="63"/>
        <v>0</v>
      </c>
      <c r="AX114" s="17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4"/>
      <c r="AV115" s="1789">
        <f t="shared" si="62"/>
        <v>0</v>
      </c>
      <c r="AW115" s="1789">
        <f t="shared" si="63"/>
        <v>0</v>
      </c>
      <c r="AX115" s="17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4"/>
      <c r="AV116" s="1789">
        <f t="shared" si="62"/>
        <v>0</v>
      </c>
      <c r="AW116" s="1789">
        <f t="shared" si="63"/>
        <v>0</v>
      </c>
      <c r="AX116" s="17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4"/>
      <c r="AV117" s="1789">
        <f t="shared" si="62"/>
        <v>0</v>
      </c>
      <c r="AW117" s="1789">
        <f t="shared" si="63"/>
        <v>0</v>
      </c>
      <c r="AX117" s="17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4"/>
      <c r="AV118" s="1789">
        <f t="shared" si="62"/>
        <v>0</v>
      </c>
      <c r="AW118" s="1789">
        <f t="shared" si="63"/>
        <v>0</v>
      </c>
      <c r="AX118" s="17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4"/>
      <c r="AV119" s="1789">
        <f t="shared" si="62"/>
        <v>0</v>
      </c>
      <c r="AW119" s="1789">
        <f t="shared" si="63"/>
        <v>0</v>
      </c>
      <c r="AX119" s="17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4"/>
      <c r="AV120" s="1789">
        <f t="shared" si="62"/>
        <v>0</v>
      </c>
      <c r="AW120" s="1789">
        <f t="shared" si="63"/>
        <v>0</v>
      </c>
      <c r="AX120" s="17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4"/>
      <c r="AV121" s="1789">
        <f t="shared" si="62"/>
        <v>0</v>
      </c>
      <c r="AW121" s="1789">
        <f t="shared" si="63"/>
        <v>0</v>
      </c>
      <c r="AX121" s="17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4"/>
      <c r="AV122" s="1789">
        <f t="shared" si="62"/>
        <v>0</v>
      </c>
      <c r="AW122" s="1789">
        <f t="shared" si="63"/>
        <v>0</v>
      </c>
      <c r="AX122" s="17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4"/>
      <c r="AV123" s="1789">
        <f t="shared" si="62"/>
        <v>0</v>
      </c>
      <c r="AW123" s="1789">
        <f t="shared" si="63"/>
        <v>0</v>
      </c>
      <c r="AX123" s="17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4"/>
      <c r="AV124" s="1789">
        <f t="shared" si="62"/>
        <v>0</v>
      </c>
      <c r="AW124" s="1789">
        <f t="shared" si="63"/>
        <v>0</v>
      </c>
      <c r="AX124" s="17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4"/>
      <c r="AV125" s="1789">
        <f t="shared" si="62"/>
        <v>0</v>
      </c>
      <c r="AW125" s="1789">
        <f t="shared" si="63"/>
        <v>0</v>
      </c>
      <c r="AX125" s="17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4"/>
      <c r="AV126" s="1789">
        <f t="shared" si="62"/>
        <v>0</v>
      </c>
      <c r="AW126" s="1789">
        <f t="shared" si="63"/>
        <v>0</v>
      </c>
      <c r="AX126" s="17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4"/>
      <c r="AV127" s="1789">
        <f t="shared" si="62"/>
        <v>0</v>
      </c>
      <c r="AW127" s="1789">
        <f t="shared" si="63"/>
        <v>0</v>
      </c>
      <c r="AX127" s="17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4"/>
      <c r="AV128" s="1789">
        <f t="shared" si="62"/>
        <v>0</v>
      </c>
      <c r="AW128" s="1789">
        <f t="shared" si="63"/>
        <v>0</v>
      </c>
      <c r="AX128" s="17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4"/>
      <c r="AV129" s="1789">
        <f t="shared" si="62"/>
        <v>0</v>
      </c>
      <c r="AW129" s="1789">
        <f t="shared" si="63"/>
        <v>0</v>
      </c>
      <c r="AX129" s="17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4"/>
      <c r="AV130" s="1789">
        <f t="shared" si="62"/>
        <v>0</v>
      </c>
      <c r="AW130" s="1789">
        <f t="shared" si="63"/>
        <v>0</v>
      </c>
      <c r="AX130" s="17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4"/>
      <c r="AV131" s="1789">
        <f t="shared" si="62"/>
        <v>0</v>
      </c>
      <c r="AW131" s="1789">
        <f t="shared" si="63"/>
        <v>0</v>
      </c>
      <c r="AX131" s="17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4"/>
      <c r="AV132" s="1789">
        <f t="shared" si="62"/>
        <v>0</v>
      </c>
      <c r="AW132" s="1789">
        <f t="shared" si="63"/>
        <v>0</v>
      </c>
      <c r="AX132" s="17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4"/>
      <c r="AV133" s="1789">
        <f t="shared" si="62"/>
        <v>0</v>
      </c>
      <c r="AW133" s="1789">
        <f t="shared" si="63"/>
        <v>0</v>
      </c>
      <c r="AX133" s="17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4"/>
      <c r="AV134" s="1789">
        <f t="shared" si="62"/>
        <v>0</v>
      </c>
      <c r="AW134" s="1789">
        <f t="shared" si="63"/>
        <v>0</v>
      </c>
      <c r="AX134" s="17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4"/>
      <c r="AV135" s="1789">
        <f t="shared" si="62"/>
        <v>0</v>
      </c>
      <c r="AW135" s="1789">
        <f t="shared" si="63"/>
        <v>0</v>
      </c>
      <c r="AX135" s="17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4"/>
      <c r="AV136" s="1789">
        <f t="shared" si="62"/>
        <v>0</v>
      </c>
      <c r="AW136" s="1789">
        <f t="shared" si="63"/>
        <v>0</v>
      </c>
      <c r="AX136" s="17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4"/>
      <c r="AV137" s="1789">
        <f t="shared" si="62"/>
        <v>0</v>
      </c>
      <c r="AW137" s="1789">
        <f t="shared" si="63"/>
        <v>0</v>
      </c>
      <c r="AX137" s="17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4"/>
      <c r="AV138" s="1789">
        <f t="shared" si="62"/>
        <v>0</v>
      </c>
      <c r="AW138" s="1789">
        <f t="shared" si="63"/>
        <v>0</v>
      </c>
      <c r="AX138" s="17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4"/>
      <c r="AV139" s="1789">
        <f t="shared" si="62"/>
        <v>0</v>
      </c>
      <c r="AW139" s="1789">
        <f t="shared" si="63"/>
        <v>0</v>
      </c>
      <c r="AX139" s="17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4"/>
      <c r="AV140" s="1789">
        <f t="shared" si="62"/>
        <v>0</v>
      </c>
      <c r="AW140" s="1789">
        <f t="shared" si="63"/>
        <v>0</v>
      </c>
      <c r="AX140" s="17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4"/>
      <c r="AV141" s="1789">
        <f t="shared" si="62"/>
        <v>0</v>
      </c>
      <c r="AW141" s="1789">
        <f t="shared" si="63"/>
        <v>0</v>
      </c>
      <c r="AX141" s="17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4"/>
      <c r="AV142" s="1789">
        <f t="shared" si="62"/>
        <v>0</v>
      </c>
      <c r="AW142" s="1789">
        <f t="shared" si="63"/>
        <v>0</v>
      </c>
      <c r="AX142" s="17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4"/>
      <c r="AV143" s="1789">
        <f t="shared" si="62"/>
        <v>0</v>
      </c>
      <c r="AW143" s="1789">
        <f t="shared" si="63"/>
        <v>0</v>
      </c>
      <c r="AX143" s="17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4"/>
      <c r="AV144" s="1789">
        <f t="shared" si="62"/>
        <v>0</v>
      </c>
      <c r="AW144" s="1789">
        <f t="shared" si="63"/>
        <v>0</v>
      </c>
      <c r="AX144" s="17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4"/>
      <c r="AV145" s="1789">
        <f t="shared" ref="AV145:AV176" si="91">A145</f>
        <v>0</v>
      </c>
      <c r="AW145" s="1789">
        <f t="shared" ref="AW145:AW176" si="92">B145</f>
        <v>0</v>
      </c>
      <c r="AX145" s="17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4"/>
      <c r="AV146" s="1789">
        <f t="shared" si="91"/>
        <v>0</v>
      </c>
      <c r="AW146" s="1789">
        <f t="shared" si="92"/>
        <v>0</v>
      </c>
      <c r="AX146" s="17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4"/>
      <c r="AV147" s="1789">
        <f t="shared" si="91"/>
        <v>0</v>
      </c>
      <c r="AW147" s="1789">
        <f t="shared" si="92"/>
        <v>0</v>
      </c>
      <c r="AX147" s="17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4"/>
      <c r="AV148" s="1789">
        <f t="shared" si="91"/>
        <v>0</v>
      </c>
      <c r="AW148" s="1789">
        <f t="shared" si="92"/>
        <v>0</v>
      </c>
      <c r="AX148" s="17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4"/>
      <c r="AV149" s="1789">
        <f t="shared" si="91"/>
        <v>0</v>
      </c>
      <c r="AW149" s="1789">
        <f t="shared" si="92"/>
        <v>0</v>
      </c>
      <c r="AX149" s="17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4"/>
      <c r="AV150" s="1789">
        <f t="shared" si="91"/>
        <v>0</v>
      </c>
      <c r="AW150" s="1789">
        <f t="shared" si="92"/>
        <v>0</v>
      </c>
      <c r="AX150" s="17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4"/>
      <c r="AV151" s="1789">
        <f t="shared" si="91"/>
        <v>0</v>
      </c>
      <c r="AW151" s="1789">
        <f t="shared" si="92"/>
        <v>0</v>
      </c>
      <c r="AX151" s="17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4"/>
      <c r="AV152" s="1789">
        <f t="shared" si="91"/>
        <v>0</v>
      </c>
      <c r="AW152" s="1789">
        <f t="shared" si="92"/>
        <v>0</v>
      </c>
      <c r="AX152" s="17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4"/>
      <c r="AV153" s="1789">
        <f t="shared" si="91"/>
        <v>0</v>
      </c>
      <c r="AW153" s="1789">
        <f t="shared" si="92"/>
        <v>0</v>
      </c>
      <c r="AX153" s="17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4"/>
      <c r="AV154" s="1789">
        <f t="shared" si="91"/>
        <v>0</v>
      </c>
      <c r="AW154" s="1789">
        <f t="shared" si="92"/>
        <v>0</v>
      </c>
      <c r="AX154" s="17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4"/>
      <c r="AV155" s="1789">
        <f t="shared" si="91"/>
        <v>0</v>
      </c>
      <c r="AW155" s="1789">
        <f t="shared" si="92"/>
        <v>0</v>
      </c>
      <c r="AX155" s="17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4"/>
      <c r="AV156" s="1789">
        <f t="shared" si="91"/>
        <v>0</v>
      </c>
      <c r="AW156" s="1789">
        <f t="shared" si="92"/>
        <v>0</v>
      </c>
      <c r="AX156" s="17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4"/>
      <c r="AV157" s="1789">
        <f t="shared" si="91"/>
        <v>0</v>
      </c>
      <c r="AW157" s="1789">
        <f t="shared" si="92"/>
        <v>0</v>
      </c>
      <c r="AX157" s="17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4"/>
      <c r="AV158" s="1789">
        <f t="shared" si="91"/>
        <v>0</v>
      </c>
      <c r="AW158" s="1789">
        <f t="shared" si="92"/>
        <v>0</v>
      </c>
      <c r="AX158" s="17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4"/>
      <c r="AV159" s="1789">
        <f t="shared" si="91"/>
        <v>0</v>
      </c>
      <c r="AW159" s="1789">
        <f t="shared" si="92"/>
        <v>0</v>
      </c>
      <c r="AX159" s="17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4"/>
      <c r="AV160" s="1789">
        <f t="shared" si="91"/>
        <v>0</v>
      </c>
      <c r="AW160" s="1789">
        <f t="shared" si="92"/>
        <v>0</v>
      </c>
      <c r="AX160" s="17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4"/>
      <c r="AV161" s="1789">
        <f t="shared" si="91"/>
        <v>0</v>
      </c>
      <c r="AW161" s="1789">
        <f t="shared" si="92"/>
        <v>0</v>
      </c>
      <c r="AX161" s="17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4"/>
      <c r="AV162" s="1789">
        <f t="shared" si="91"/>
        <v>0</v>
      </c>
      <c r="AW162" s="1789">
        <f t="shared" si="92"/>
        <v>0</v>
      </c>
      <c r="AX162" s="17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4"/>
      <c r="AV163" s="1789">
        <f t="shared" si="91"/>
        <v>0</v>
      </c>
      <c r="AW163" s="1789">
        <f t="shared" si="92"/>
        <v>0</v>
      </c>
      <c r="AX163" s="17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4"/>
      <c r="AV164" s="1789">
        <f t="shared" si="91"/>
        <v>0</v>
      </c>
      <c r="AW164" s="1789">
        <f t="shared" si="92"/>
        <v>0</v>
      </c>
      <c r="AX164" s="17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4"/>
      <c r="AV165" s="1789">
        <f t="shared" si="91"/>
        <v>0</v>
      </c>
      <c r="AW165" s="1789">
        <f t="shared" si="92"/>
        <v>0</v>
      </c>
      <c r="AX165" s="17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4"/>
      <c r="AV166" s="1789">
        <f t="shared" si="91"/>
        <v>0</v>
      </c>
      <c r="AW166" s="1789">
        <f t="shared" si="92"/>
        <v>0</v>
      </c>
      <c r="AX166" s="17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4"/>
      <c r="AV167" s="1789">
        <f t="shared" si="91"/>
        <v>0</v>
      </c>
      <c r="AW167" s="1789">
        <f t="shared" si="92"/>
        <v>0</v>
      </c>
      <c r="AX167" s="17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4"/>
      <c r="AV168" s="1789">
        <f t="shared" si="91"/>
        <v>0</v>
      </c>
      <c r="AW168" s="1789">
        <f t="shared" si="92"/>
        <v>0</v>
      </c>
      <c r="AX168" s="17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4"/>
      <c r="AV169" s="1789">
        <f t="shared" si="91"/>
        <v>0</v>
      </c>
      <c r="AW169" s="1789">
        <f t="shared" si="92"/>
        <v>0</v>
      </c>
      <c r="AX169" s="17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4"/>
      <c r="AV170" s="1789">
        <f t="shared" si="91"/>
        <v>0</v>
      </c>
      <c r="AW170" s="1789">
        <f t="shared" si="92"/>
        <v>0</v>
      </c>
      <c r="AX170" s="17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4"/>
      <c r="AV171" s="1789">
        <f t="shared" si="91"/>
        <v>0</v>
      </c>
      <c r="AW171" s="1789">
        <f t="shared" si="92"/>
        <v>0</v>
      </c>
      <c r="AX171" s="17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4"/>
      <c r="AV172" s="1789">
        <f t="shared" si="91"/>
        <v>0</v>
      </c>
      <c r="AW172" s="1789">
        <f t="shared" si="92"/>
        <v>0</v>
      </c>
      <c r="AX172" s="17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4"/>
      <c r="AV173" s="1789">
        <f t="shared" si="91"/>
        <v>0</v>
      </c>
      <c r="AW173" s="1789">
        <f t="shared" si="92"/>
        <v>0</v>
      </c>
      <c r="AX173" s="17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4"/>
      <c r="AV174" s="1789">
        <f t="shared" si="91"/>
        <v>0</v>
      </c>
      <c r="AW174" s="1789">
        <f t="shared" si="92"/>
        <v>0</v>
      </c>
      <c r="AX174" s="17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4"/>
      <c r="AV175" s="1789">
        <f t="shared" si="91"/>
        <v>0</v>
      </c>
      <c r="AW175" s="1789">
        <f t="shared" si="92"/>
        <v>0</v>
      </c>
      <c r="AX175" s="17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4"/>
      <c r="AV176" s="1789">
        <f t="shared" si="91"/>
        <v>0</v>
      </c>
      <c r="AW176" s="1789">
        <f t="shared" si="92"/>
        <v>0</v>
      </c>
      <c r="AX176" s="17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4"/>
      <c r="AV177" s="1789">
        <f t="shared" ref="AV177:AV207" si="120">A177</f>
        <v>0</v>
      </c>
      <c r="AW177" s="1789">
        <f t="shared" ref="AW177:AW207" si="121">B177</f>
        <v>0</v>
      </c>
      <c r="AX177" s="17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4"/>
      <c r="AV178" s="1789">
        <f t="shared" si="120"/>
        <v>0</v>
      </c>
      <c r="AW178" s="1789">
        <f t="shared" si="121"/>
        <v>0</v>
      </c>
      <c r="AX178" s="17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4"/>
      <c r="AV179" s="1789">
        <f t="shared" si="120"/>
        <v>0</v>
      </c>
      <c r="AW179" s="1789">
        <f t="shared" si="121"/>
        <v>0</v>
      </c>
      <c r="AX179" s="17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4"/>
      <c r="AV180" s="1789">
        <f t="shared" si="120"/>
        <v>0</v>
      </c>
      <c r="AW180" s="1789">
        <f t="shared" si="121"/>
        <v>0</v>
      </c>
      <c r="AX180" s="17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4"/>
      <c r="AV181" s="1789">
        <f t="shared" si="120"/>
        <v>0</v>
      </c>
      <c r="AW181" s="1789">
        <f t="shared" si="121"/>
        <v>0</v>
      </c>
      <c r="AX181" s="17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4"/>
      <c r="AV182" s="1789">
        <f t="shared" si="120"/>
        <v>0</v>
      </c>
      <c r="AW182" s="1789">
        <f t="shared" si="121"/>
        <v>0</v>
      </c>
      <c r="AX182" s="17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4"/>
      <c r="AV183" s="1789">
        <f t="shared" si="120"/>
        <v>0</v>
      </c>
      <c r="AW183" s="1789">
        <f t="shared" si="121"/>
        <v>0</v>
      </c>
      <c r="AX183" s="17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4"/>
      <c r="AV184" s="1789">
        <f t="shared" si="120"/>
        <v>0</v>
      </c>
      <c r="AW184" s="1789">
        <f t="shared" si="121"/>
        <v>0</v>
      </c>
      <c r="AX184" s="17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4"/>
      <c r="AV185" s="1789">
        <f t="shared" si="120"/>
        <v>0</v>
      </c>
      <c r="AW185" s="1789">
        <f t="shared" si="121"/>
        <v>0</v>
      </c>
      <c r="AX185" s="17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4"/>
      <c r="AV186" s="1789">
        <f t="shared" si="120"/>
        <v>0</v>
      </c>
      <c r="AW186" s="1789">
        <f t="shared" si="121"/>
        <v>0</v>
      </c>
      <c r="AX186" s="17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4"/>
      <c r="AV187" s="1789">
        <f t="shared" si="120"/>
        <v>0</v>
      </c>
      <c r="AW187" s="1789">
        <f t="shared" si="121"/>
        <v>0</v>
      </c>
      <c r="AX187" s="17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4"/>
      <c r="AV188" s="1789">
        <f t="shared" si="120"/>
        <v>0</v>
      </c>
      <c r="AW188" s="1789">
        <f t="shared" si="121"/>
        <v>0</v>
      </c>
      <c r="AX188" s="17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4"/>
      <c r="AV189" s="1789">
        <f t="shared" si="120"/>
        <v>0</v>
      </c>
      <c r="AW189" s="1789">
        <f t="shared" si="121"/>
        <v>0</v>
      </c>
      <c r="AX189" s="17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4"/>
      <c r="AV190" s="1789">
        <f t="shared" si="120"/>
        <v>0</v>
      </c>
      <c r="AW190" s="1789">
        <f t="shared" si="121"/>
        <v>0</v>
      </c>
      <c r="AX190" s="17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4"/>
      <c r="AV191" s="1789">
        <f t="shared" si="120"/>
        <v>0</v>
      </c>
      <c r="AW191" s="1789">
        <f t="shared" si="121"/>
        <v>0</v>
      </c>
      <c r="AX191" s="17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4"/>
      <c r="AV192" s="1789">
        <f t="shared" si="120"/>
        <v>0</v>
      </c>
      <c r="AW192" s="1789">
        <f t="shared" si="121"/>
        <v>0</v>
      </c>
      <c r="AX192" s="17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4"/>
      <c r="AV193" s="1789">
        <f t="shared" si="120"/>
        <v>0</v>
      </c>
      <c r="AW193" s="1789">
        <f t="shared" si="121"/>
        <v>0</v>
      </c>
      <c r="AX193" s="17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4"/>
      <c r="AV194" s="1789">
        <f t="shared" si="120"/>
        <v>0</v>
      </c>
      <c r="AW194" s="1789">
        <f t="shared" si="121"/>
        <v>0</v>
      </c>
      <c r="AX194" s="17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4"/>
      <c r="AV195" s="1789">
        <f t="shared" si="120"/>
        <v>0</v>
      </c>
      <c r="AW195" s="1789">
        <f t="shared" si="121"/>
        <v>0</v>
      </c>
      <c r="AX195" s="17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4"/>
      <c r="AV196" s="1789">
        <f t="shared" si="120"/>
        <v>0</v>
      </c>
      <c r="AW196" s="1789">
        <f t="shared" si="121"/>
        <v>0</v>
      </c>
      <c r="AX196" s="17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4"/>
      <c r="AV197" s="1789">
        <f t="shared" si="120"/>
        <v>0</v>
      </c>
      <c r="AW197" s="1789">
        <f t="shared" si="121"/>
        <v>0</v>
      </c>
      <c r="AX197" s="17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4"/>
      <c r="AV198" s="1789">
        <f t="shared" si="120"/>
        <v>0</v>
      </c>
      <c r="AW198" s="1789">
        <f t="shared" si="121"/>
        <v>0</v>
      </c>
      <c r="AX198" s="17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4"/>
      <c r="AV199" s="1789">
        <f t="shared" si="120"/>
        <v>0</v>
      </c>
      <c r="AW199" s="1789">
        <f t="shared" si="121"/>
        <v>0</v>
      </c>
      <c r="AX199" s="17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4"/>
      <c r="AV200" s="1789">
        <f t="shared" si="120"/>
        <v>0</v>
      </c>
      <c r="AW200" s="1789">
        <f t="shared" si="121"/>
        <v>0</v>
      </c>
      <c r="AX200" s="17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4"/>
      <c r="AV201" s="1789">
        <f t="shared" si="120"/>
        <v>0</v>
      </c>
      <c r="AW201" s="1789">
        <f t="shared" si="121"/>
        <v>0</v>
      </c>
      <c r="AX201" s="17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4"/>
      <c r="AV202" s="1789">
        <f t="shared" si="120"/>
        <v>0</v>
      </c>
      <c r="AW202" s="1789">
        <f t="shared" si="121"/>
        <v>0</v>
      </c>
      <c r="AX202" s="17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4"/>
      <c r="AV203" s="1789">
        <f t="shared" si="120"/>
        <v>0</v>
      </c>
      <c r="AW203" s="1789">
        <f t="shared" si="121"/>
        <v>0</v>
      </c>
      <c r="AX203" s="17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4"/>
      <c r="AV204" s="1789">
        <f t="shared" si="120"/>
        <v>0</v>
      </c>
      <c r="AW204" s="1789">
        <f t="shared" si="121"/>
        <v>0</v>
      </c>
      <c r="AX204" s="17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9"/>
      <c r="AV205" s="1789">
        <f t="shared" si="120"/>
        <v>0</v>
      </c>
      <c r="AW205" s="1789">
        <f t="shared" si="121"/>
        <v>0</v>
      </c>
      <c r="AX205" s="17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9"/>
      <c r="AV206" s="1789">
        <f t="shared" si="120"/>
        <v>0</v>
      </c>
      <c r="AW206" s="1789">
        <f t="shared" si="121"/>
        <v>0</v>
      </c>
      <c r="AX206" s="17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9"/>
      <c r="AV207" s="1789">
        <f t="shared" si="120"/>
        <v>0</v>
      </c>
      <c r="AW207" s="1789">
        <f t="shared" si="121"/>
        <v>0</v>
      </c>
      <c r="AX207" s="17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4"/>
      <c r="AV208" s="1789">
        <f t="shared" ref="AV208:AV302" si="127">A208</f>
        <v>0</v>
      </c>
      <c r="AW208" s="1789">
        <f t="shared" ref="AW208:AW302" si="128">B208</f>
        <v>0</v>
      </c>
      <c r="AX208" s="17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4"/>
      <c r="AV209" s="1789">
        <f t="shared" si="127"/>
        <v>0</v>
      </c>
      <c r="AW209" s="1789">
        <f t="shared" si="128"/>
        <v>0</v>
      </c>
      <c r="AX209" s="17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4"/>
      <c r="AV210" s="1789">
        <f t="shared" si="127"/>
        <v>0</v>
      </c>
      <c r="AW210" s="1789">
        <f t="shared" si="128"/>
        <v>0</v>
      </c>
      <c r="AX210" s="17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4"/>
      <c r="AV211" s="1789">
        <f t="shared" si="127"/>
        <v>0</v>
      </c>
      <c r="AW211" s="1789">
        <f t="shared" si="128"/>
        <v>0</v>
      </c>
      <c r="AX211" s="17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4"/>
      <c r="AV212" s="1789">
        <f t="shared" si="127"/>
        <v>0</v>
      </c>
      <c r="AW212" s="1789">
        <f t="shared" si="128"/>
        <v>0</v>
      </c>
      <c r="AX212" s="17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4"/>
      <c r="AV213" s="1789">
        <f t="shared" si="127"/>
        <v>0</v>
      </c>
      <c r="AW213" s="1789">
        <f t="shared" si="128"/>
        <v>0</v>
      </c>
      <c r="AX213" s="17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4"/>
      <c r="AV214" s="1789">
        <f t="shared" si="127"/>
        <v>0</v>
      </c>
      <c r="AW214" s="1789">
        <f t="shared" si="128"/>
        <v>0</v>
      </c>
      <c r="AX214" s="17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4"/>
      <c r="AV215" s="1789">
        <f t="shared" si="127"/>
        <v>0</v>
      </c>
      <c r="AW215" s="1789">
        <f t="shared" si="128"/>
        <v>0</v>
      </c>
      <c r="AX215" s="17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4"/>
      <c r="AV216" s="1789">
        <f t="shared" si="127"/>
        <v>0</v>
      </c>
      <c r="AW216" s="1789">
        <f t="shared" si="128"/>
        <v>0</v>
      </c>
      <c r="AX216" s="17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4"/>
      <c r="AV217" s="1789">
        <f t="shared" si="127"/>
        <v>0</v>
      </c>
      <c r="AW217" s="1789">
        <f t="shared" si="128"/>
        <v>0</v>
      </c>
      <c r="AX217" s="17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4"/>
      <c r="AV218" s="1789">
        <f t="shared" si="127"/>
        <v>0</v>
      </c>
      <c r="AW218" s="1789">
        <f t="shared" si="128"/>
        <v>0</v>
      </c>
      <c r="AX218" s="17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4"/>
      <c r="AV219" s="1789">
        <f t="shared" si="127"/>
        <v>0</v>
      </c>
      <c r="AW219" s="1789">
        <f t="shared" si="128"/>
        <v>0</v>
      </c>
      <c r="AX219" s="17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4"/>
      <c r="AV220" s="1789">
        <f t="shared" si="127"/>
        <v>0</v>
      </c>
      <c r="AW220" s="1789">
        <f t="shared" si="128"/>
        <v>0</v>
      </c>
      <c r="AX220" s="17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4"/>
      <c r="AV221" s="1789">
        <f t="shared" si="127"/>
        <v>0</v>
      </c>
      <c r="AW221" s="1789">
        <f t="shared" si="128"/>
        <v>0</v>
      </c>
      <c r="AX221" s="17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4"/>
      <c r="AV222" s="1789">
        <f t="shared" si="127"/>
        <v>0</v>
      </c>
      <c r="AW222" s="1789">
        <f t="shared" si="128"/>
        <v>0</v>
      </c>
      <c r="AX222" s="17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4"/>
      <c r="AV223" s="1789">
        <f t="shared" si="127"/>
        <v>0</v>
      </c>
      <c r="AW223" s="1789">
        <f t="shared" si="128"/>
        <v>0</v>
      </c>
      <c r="AX223" s="17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4"/>
      <c r="AV224" s="1789">
        <f t="shared" si="127"/>
        <v>0</v>
      </c>
      <c r="AW224" s="1789">
        <f t="shared" si="128"/>
        <v>0</v>
      </c>
      <c r="AX224" s="17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4"/>
      <c r="AV225" s="1789">
        <f t="shared" si="127"/>
        <v>0</v>
      </c>
      <c r="AW225" s="1789">
        <f t="shared" si="128"/>
        <v>0</v>
      </c>
      <c r="AX225" s="17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4"/>
      <c r="AV226" s="1789">
        <f t="shared" si="127"/>
        <v>0</v>
      </c>
      <c r="AW226" s="1789">
        <f t="shared" si="128"/>
        <v>0</v>
      </c>
      <c r="AX226" s="17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4"/>
      <c r="AV227" s="1789">
        <f t="shared" si="127"/>
        <v>0</v>
      </c>
      <c r="AW227" s="1789">
        <f t="shared" si="128"/>
        <v>0</v>
      </c>
      <c r="AX227" s="17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4"/>
      <c r="AV228" s="1789">
        <f t="shared" si="127"/>
        <v>0</v>
      </c>
      <c r="AW228" s="1789">
        <f t="shared" si="128"/>
        <v>0</v>
      </c>
      <c r="AX228" s="17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4"/>
      <c r="AV229" s="1789">
        <f t="shared" si="127"/>
        <v>0</v>
      </c>
      <c r="AW229" s="1789">
        <f t="shared" si="128"/>
        <v>0</v>
      </c>
      <c r="AX229" s="17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4"/>
      <c r="AV230" s="1789">
        <f t="shared" si="127"/>
        <v>0</v>
      </c>
      <c r="AW230" s="1789">
        <f t="shared" si="128"/>
        <v>0</v>
      </c>
      <c r="AX230" s="17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4"/>
      <c r="AV231" s="1789">
        <f t="shared" si="127"/>
        <v>0</v>
      </c>
      <c r="AW231" s="1789">
        <f t="shared" si="128"/>
        <v>0</v>
      </c>
      <c r="AX231" s="17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4"/>
      <c r="AV232" s="1789">
        <f t="shared" si="127"/>
        <v>0</v>
      </c>
      <c r="AW232" s="1789">
        <f t="shared" si="128"/>
        <v>0</v>
      </c>
      <c r="AX232" s="17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4"/>
      <c r="AV233" s="1789">
        <f t="shared" si="127"/>
        <v>0</v>
      </c>
      <c r="AW233" s="1789">
        <f t="shared" si="128"/>
        <v>0</v>
      </c>
      <c r="AX233" s="17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4"/>
      <c r="AV234" s="1789">
        <f t="shared" si="127"/>
        <v>0</v>
      </c>
      <c r="AW234" s="1789">
        <f t="shared" si="128"/>
        <v>0</v>
      </c>
      <c r="AX234" s="17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4"/>
      <c r="AV235" s="1789">
        <f t="shared" si="127"/>
        <v>0</v>
      </c>
      <c r="AW235" s="1789">
        <f t="shared" si="128"/>
        <v>0</v>
      </c>
      <c r="AX235" s="17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4"/>
      <c r="AV236" s="1789">
        <f t="shared" si="127"/>
        <v>0</v>
      </c>
      <c r="AW236" s="1789">
        <f t="shared" si="128"/>
        <v>0</v>
      </c>
      <c r="AX236" s="17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4"/>
      <c r="AV237" s="1789">
        <f t="shared" si="127"/>
        <v>0</v>
      </c>
      <c r="AW237" s="1789">
        <f t="shared" si="128"/>
        <v>0</v>
      </c>
      <c r="AX237" s="17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4"/>
      <c r="AV238" s="1789">
        <f t="shared" si="127"/>
        <v>0</v>
      </c>
      <c r="AW238" s="1789">
        <f t="shared" si="128"/>
        <v>0</v>
      </c>
      <c r="AX238" s="17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4"/>
      <c r="AV239" s="1789">
        <f t="shared" si="127"/>
        <v>0</v>
      </c>
      <c r="AW239" s="1789">
        <f t="shared" si="128"/>
        <v>0</v>
      </c>
      <c r="AX239" s="17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4"/>
      <c r="AV240" s="1789">
        <f t="shared" si="127"/>
        <v>0</v>
      </c>
      <c r="AW240" s="1789">
        <f t="shared" si="128"/>
        <v>0</v>
      </c>
      <c r="AX240" s="17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4"/>
      <c r="AV241" s="1789">
        <f t="shared" si="127"/>
        <v>0</v>
      </c>
      <c r="AW241" s="1789">
        <f t="shared" si="128"/>
        <v>0</v>
      </c>
      <c r="AX241" s="17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4"/>
      <c r="AV242" s="1789">
        <f t="shared" si="127"/>
        <v>0</v>
      </c>
      <c r="AW242" s="1789">
        <f t="shared" si="128"/>
        <v>0</v>
      </c>
      <c r="AX242" s="17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4"/>
      <c r="AV243" s="1789">
        <f t="shared" si="127"/>
        <v>0</v>
      </c>
      <c r="AW243" s="1789">
        <f t="shared" si="128"/>
        <v>0</v>
      </c>
      <c r="AX243" s="17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4"/>
      <c r="AV244" s="1789">
        <f t="shared" si="127"/>
        <v>0</v>
      </c>
      <c r="AW244" s="1789">
        <f t="shared" si="128"/>
        <v>0</v>
      </c>
      <c r="AX244" s="17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4"/>
      <c r="AV245" s="1789">
        <f t="shared" si="127"/>
        <v>0</v>
      </c>
      <c r="AW245" s="1789">
        <f t="shared" si="128"/>
        <v>0</v>
      </c>
      <c r="AX245" s="17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4"/>
      <c r="AV246" s="1789">
        <f t="shared" si="127"/>
        <v>0</v>
      </c>
      <c r="AW246" s="1789">
        <f t="shared" si="128"/>
        <v>0</v>
      </c>
      <c r="AX246" s="17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4"/>
      <c r="AV247" s="1789">
        <f t="shared" si="127"/>
        <v>0</v>
      </c>
      <c r="AW247" s="1789">
        <f t="shared" si="128"/>
        <v>0</v>
      </c>
      <c r="AX247" s="17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4"/>
      <c r="AV248" s="1789">
        <f t="shared" si="127"/>
        <v>0</v>
      </c>
      <c r="AW248" s="1789">
        <f t="shared" si="128"/>
        <v>0</v>
      </c>
      <c r="AX248" s="17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4"/>
      <c r="AV249" s="1789">
        <f t="shared" si="127"/>
        <v>0</v>
      </c>
      <c r="AW249" s="1789">
        <f t="shared" si="128"/>
        <v>0</v>
      </c>
      <c r="AX249" s="17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4"/>
      <c r="AV250" s="1789">
        <f t="shared" si="127"/>
        <v>0</v>
      </c>
      <c r="AW250" s="1789">
        <f t="shared" si="128"/>
        <v>0</v>
      </c>
      <c r="AX250" s="17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4"/>
      <c r="AV251" s="1789">
        <f t="shared" si="127"/>
        <v>0</v>
      </c>
      <c r="AW251" s="1789">
        <f t="shared" si="128"/>
        <v>0</v>
      </c>
      <c r="AX251" s="17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4"/>
      <c r="AV252" s="1789">
        <f t="shared" si="127"/>
        <v>0</v>
      </c>
      <c r="AW252" s="1789">
        <f t="shared" si="128"/>
        <v>0</v>
      </c>
      <c r="AX252" s="17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4"/>
      <c r="AV253" s="1789">
        <f t="shared" si="127"/>
        <v>0</v>
      </c>
      <c r="AW253" s="1789">
        <f t="shared" si="128"/>
        <v>0</v>
      </c>
      <c r="AX253" s="17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4"/>
      <c r="AV254" s="1789">
        <f t="shared" si="127"/>
        <v>0</v>
      </c>
      <c r="AW254" s="1789">
        <f t="shared" si="128"/>
        <v>0</v>
      </c>
      <c r="AX254" s="17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4"/>
      <c r="AV255" s="1789">
        <f t="shared" si="127"/>
        <v>0</v>
      </c>
      <c r="AW255" s="1789">
        <f t="shared" si="128"/>
        <v>0</v>
      </c>
      <c r="AX255" s="17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4"/>
      <c r="AV256" s="1789">
        <f t="shared" si="127"/>
        <v>0</v>
      </c>
      <c r="AW256" s="1789">
        <f t="shared" si="128"/>
        <v>0</v>
      </c>
      <c r="AX256" s="17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4"/>
      <c r="AV257" s="1789">
        <f t="shared" si="127"/>
        <v>0</v>
      </c>
      <c r="AW257" s="1789">
        <f t="shared" si="128"/>
        <v>0</v>
      </c>
      <c r="AX257" s="17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4"/>
      <c r="AV258" s="1789">
        <f t="shared" si="127"/>
        <v>0</v>
      </c>
      <c r="AW258" s="1789">
        <f t="shared" si="128"/>
        <v>0</v>
      </c>
      <c r="AX258" s="17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4"/>
      <c r="AV259" s="1789">
        <f t="shared" si="127"/>
        <v>0</v>
      </c>
      <c r="AW259" s="1789">
        <f t="shared" si="128"/>
        <v>0</v>
      </c>
      <c r="AX259" s="17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4"/>
      <c r="AV260" s="1789">
        <f t="shared" si="127"/>
        <v>0</v>
      </c>
      <c r="AW260" s="1789">
        <f t="shared" si="128"/>
        <v>0</v>
      </c>
      <c r="AX260" s="17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4"/>
      <c r="AV261" s="1789">
        <f t="shared" si="127"/>
        <v>0</v>
      </c>
      <c r="AW261" s="1789">
        <f t="shared" si="128"/>
        <v>0</v>
      </c>
      <c r="AX261" s="17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4"/>
      <c r="AV262" s="1789">
        <f t="shared" si="127"/>
        <v>0</v>
      </c>
      <c r="AW262" s="1789">
        <f t="shared" si="128"/>
        <v>0</v>
      </c>
      <c r="AX262" s="17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4"/>
      <c r="AV263" s="1789">
        <f t="shared" si="127"/>
        <v>0</v>
      </c>
      <c r="AW263" s="1789">
        <f t="shared" si="128"/>
        <v>0</v>
      </c>
      <c r="AX263" s="17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4"/>
      <c r="AV264" s="1789">
        <f t="shared" si="127"/>
        <v>0</v>
      </c>
      <c r="AW264" s="1789">
        <f t="shared" si="128"/>
        <v>0</v>
      </c>
      <c r="AX264" s="17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4"/>
      <c r="AV265" s="1789">
        <f t="shared" si="127"/>
        <v>0</v>
      </c>
      <c r="AW265" s="1789">
        <f t="shared" si="128"/>
        <v>0</v>
      </c>
      <c r="AX265" s="17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4"/>
      <c r="AV266" s="1789">
        <f t="shared" si="127"/>
        <v>0</v>
      </c>
      <c r="AW266" s="1789">
        <f t="shared" si="128"/>
        <v>0</v>
      </c>
      <c r="AX266" s="17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4"/>
      <c r="AV267" s="1789">
        <f t="shared" si="127"/>
        <v>0</v>
      </c>
      <c r="AW267" s="1789">
        <f t="shared" si="128"/>
        <v>0</v>
      </c>
      <c r="AX267" s="17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4"/>
      <c r="AV268" s="1789">
        <f t="shared" si="127"/>
        <v>0</v>
      </c>
      <c r="AW268" s="1789">
        <f t="shared" si="128"/>
        <v>0</v>
      </c>
      <c r="AX268" s="17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4"/>
      <c r="AV269" s="1789">
        <f t="shared" si="127"/>
        <v>0</v>
      </c>
      <c r="AW269" s="1789">
        <f t="shared" si="128"/>
        <v>0</v>
      </c>
      <c r="AX269" s="17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4"/>
      <c r="AV270" s="1789">
        <f t="shared" si="127"/>
        <v>0</v>
      </c>
      <c r="AW270" s="1789">
        <f t="shared" si="128"/>
        <v>0</v>
      </c>
      <c r="AX270" s="17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4"/>
      <c r="AV271" s="1789">
        <f t="shared" si="127"/>
        <v>0</v>
      </c>
      <c r="AW271" s="1789">
        <f t="shared" si="128"/>
        <v>0</v>
      </c>
      <c r="AX271" s="17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4"/>
      <c r="AV272" s="1789">
        <f t="shared" si="127"/>
        <v>0</v>
      </c>
      <c r="AW272" s="1789">
        <f t="shared" si="128"/>
        <v>0</v>
      </c>
      <c r="AX272" s="17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4"/>
      <c r="AV273" s="1789">
        <f t="shared" si="127"/>
        <v>0</v>
      </c>
      <c r="AW273" s="1789">
        <f t="shared" si="128"/>
        <v>0</v>
      </c>
      <c r="AX273" s="17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4"/>
      <c r="AV274" s="1789">
        <f t="shared" si="127"/>
        <v>0</v>
      </c>
      <c r="AW274" s="1789">
        <f t="shared" si="128"/>
        <v>0</v>
      </c>
      <c r="AX274" s="17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4"/>
      <c r="AV275" s="1789">
        <f t="shared" si="127"/>
        <v>0</v>
      </c>
      <c r="AW275" s="1789">
        <f t="shared" si="128"/>
        <v>0</v>
      </c>
      <c r="AX275" s="17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4"/>
      <c r="AV276" s="1789">
        <f t="shared" si="127"/>
        <v>0</v>
      </c>
      <c r="AW276" s="1789">
        <f t="shared" si="128"/>
        <v>0</v>
      </c>
      <c r="AX276" s="17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4"/>
      <c r="AV277" s="1789">
        <f t="shared" si="127"/>
        <v>0</v>
      </c>
      <c r="AW277" s="1789">
        <f t="shared" si="128"/>
        <v>0</v>
      </c>
      <c r="AX277" s="17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4"/>
      <c r="AV278" s="1789">
        <f t="shared" si="127"/>
        <v>0</v>
      </c>
      <c r="AW278" s="1789">
        <f t="shared" si="128"/>
        <v>0</v>
      </c>
      <c r="AX278" s="17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4"/>
      <c r="AV279" s="1789">
        <f t="shared" si="127"/>
        <v>0</v>
      </c>
      <c r="AW279" s="1789">
        <f t="shared" si="128"/>
        <v>0</v>
      </c>
      <c r="AX279" s="17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4"/>
      <c r="AV280" s="1789">
        <f t="shared" si="127"/>
        <v>0</v>
      </c>
      <c r="AW280" s="1789">
        <f t="shared" si="128"/>
        <v>0</v>
      </c>
      <c r="AX280" s="17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4"/>
      <c r="AV281" s="1789">
        <f t="shared" si="127"/>
        <v>0</v>
      </c>
      <c r="AW281" s="1789">
        <f t="shared" si="128"/>
        <v>0</v>
      </c>
      <c r="AX281" s="17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4"/>
      <c r="AV282" s="1789">
        <f t="shared" si="127"/>
        <v>0</v>
      </c>
      <c r="AW282" s="1789">
        <f t="shared" si="128"/>
        <v>0</v>
      </c>
      <c r="AX282" s="17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4"/>
      <c r="AV283" s="1789">
        <f t="shared" si="127"/>
        <v>0</v>
      </c>
      <c r="AW283" s="1789">
        <f t="shared" si="128"/>
        <v>0</v>
      </c>
      <c r="AX283" s="17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4"/>
      <c r="AV284" s="1789">
        <f t="shared" si="127"/>
        <v>0</v>
      </c>
      <c r="AW284" s="1789">
        <f t="shared" si="128"/>
        <v>0</v>
      </c>
      <c r="AX284" s="17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4"/>
      <c r="AV285" s="1789">
        <f t="shared" si="127"/>
        <v>0</v>
      </c>
      <c r="AW285" s="1789">
        <f t="shared" si="128"/>
        <v>0</v>
      </c>
      <c r="AX285" s="17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4"/>
      <c r="AV286" s="1789">
        <f t="shared" si="127"/>
        <v>0</v>
      </c>
      <c r="AW286" s="1789">
        <f t="shared" si="128"/>
        <v>0</v>
      </c>
      <c r="AX286" s="17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4"/>
      <c r="AV287" s="1789">
        <f t="shared" si="127"/>
        <v>0</v>
      </c>
      <c r="AW287" s="1789">
        <f t="shared" si="128"/>
        <v>0</v>
      </c>
      <c r="AX287" s="17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4"/>
      <c r="AV288" s="1789">
        <f t="shared" si="127"/>
        <v>0</v>
      </c>
      <c r="AW288" s="1789">
        <f t="shared" si="128"/>
        <v>0</v>
      </c>
      <c r="AX288" s="17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4"/>
      <c r="AV289" s="1789">
        <f t="shared" si="127"/>
        <v>0</v>
      </c>
      <c r="AW289" s="1789">
        <f t="shared" si="128"/>
        <v>0</v>
      </c>
      <c r="AX289" s="17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4"/>
      <c r="AV290" s="1789">
        <f t="shared" si="127"/>
        <v>0</v>
      </c>
      <c r="AW290" s="1789">
        <f t="shared" si="128"/>
        <v>0</v>
      </c>
      <c r="AX290" s="17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4"/>
      <c r="AV291" s="1789">
        <f t="shared" si="127"/>
        <v>0</v>
      </c>
      <c r="AW291" s="1789">
        <f t="shared" si="128"/>
        <v>0</v>
      </c>
      <c r="AX291" s="17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4"/>
      <c r="AV292" s="1789">
        <f t="shared" si="127"/>
        <v>0</v>
      </c>
      <c r="AW292" s="1789">
        <f t="shared" si="128"/>
        <v>0</v>
      </c>
      <c r="AX292" s="17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4"/>
      <c r="AV293" s="1789">
        <f t="shared" si="127"/>
        <v>0</v>
      </c>
      <c r="AW293" s="1789">
        <f t="shared" si="128"/>
        <v>0</v>
      </c>
      <c r="AX293" s="17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4"/>
      <c r="AV294" s="1789">
        <f t="shared" si="127"/>
        <v>0</v>
      </c>
      <c r="AW294" s="1789">
        <f t="shared" si="128"/>
        <v>0</v>
      </c>
      <c r="AX294" s="17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4"/>
      <c r="AV295" s="1789">
        <f t="shared" si="127"/>
        <v>0</v>
      </c>
      <c r="AW295" s="1789">
        <f t="shared" si="128"/>
        <v>0</v>
      </c>
      <c r="AX295" s="17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4"/>
      <c r="AV296" s="1789">
        <f t="shared" si="127"/>
        <v>0</v>
      </c>
      <c r="AW296" s="1789">
        <f t="shared" si="128"/>
        <v>0</v>
      </c>
      <c r="AX296" s="17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4"/>
      <c r="AV297" s="1789">
        <f t="shared" si="127"/>
        <v>0</v>
      </c>
      <c r="AW297" s="1789">
        <f t="shared" si="128"/>
        <v>0</v>
      </c>
      <c r="AX297" s="17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4"/>
      <c r="AV298" s="1789">
        <f t="shared" si="127"/>
        <v>0</v>
      </c>
      <c r="AW298" s="1789">
        <f t="shared" si="128"/>
        <v>0</v>
      </c>
      <c r="AX298" s="17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4"/>
      <c r="AV299" s="1789">
        <f t="shared" si="127"/>
        <v>0</v>
      </c>
      <c r="AW299" s="1789">
        <f t="shared" si="128"/>
        <v>0</v>
      </c>
      <c r="AX299" s="17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9"/>
      <c r="AV300" s="1789">
        <f t="shared" si="127"/>
        <v>0</v>
      </c>
      <c r="AW300" s="1789">
        <f t="shared" si="128"/>
        <v>0</v>
      </c>
      <c r="AX300" s="17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9"/>
      <c r="AV301" s="1789">
        <f t="shared" si="127"/>
        <v>0</v>
      </c>
      <c r="AW301" s="1789">
        <f t="shared" si="128"/>
        <v>0</v>
      </c>
      <c r="AX301" s="17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9"/>
      <c r="AV302" s="1789">
        <f t="shared" si="127"/>
        <v>0</v>
      </c>
      <c r="AW302" s="1789">
        <f t="shared" si="128"/>
        <v>0</v>
      </c>
      <c r="AX302" s="17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4"/>
      <c r="AV303" s="1789">
        <f t="shared" ref="AV303:AV334" si="178">A303</f>
        <v>0</v>
      </c>
      <c r="AW303" s="1789">
        <f t="shared" ref="AW303:AW334" si="179">B303</f>
        <v>0</v>
      </c>
      <c r="AX303" s="17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4"/>
      <c r="AV304" s="1789">
        <f t="shared" si="178"/>
        <v>0</v>
      </c>
      <c r="AW304" s="1789">
        <f t="shared" si="179"/>
        <v>0</v>
      </c>
      <c r="AX304" s="17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4"/>
      <c r="AV305" s="1789">
        <f t="shared" si="178"/>
        <v>0</v>
      </c>
      <c r="AW305" s="1789">
        <f t="shared" si="179"/>
        <v>0</v>
      </c>
      <c r="AX305" s="17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4"/>
      <c r="AV306" s="1789">
        <f t="shared" si="178"/>
        <v>0</v>
      </c>
      <c r="AW306" s="1789">
        <f t="shared" si="179"/>
        <v>0</v>
      </c>
      <c r="AX306" s="17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4"/>
      <c r="AV307" s="1789">
        <f t="shared" si="178"/>
        <v>0</v>
      </c>
      <c r="AW307" s="1789">
        <f t="shared" si="179"/>
        <v>0</v>
      </c>
      <c r="AX307" s="17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4"/>
      <c r="AV308" s="1789">
        <f t="shared" si="178"/>
        <v>0</v>
      </c>
      <c r="AW308" s="1789">
        <f t="shared" si="179"/>
        <v>0</v>
      </c>
      <c r="AX308" s="17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4"/>
      <c r="AV309" s="1789">
        <f t="shared" si="178"/>
        <v>0</v>
      </c>
      <c r="AW309" s="1789">
        <f t="shared" si="179"/>
        <v>0</v>
      </c>
      <c r="AX309" s="17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4"/>
      <c r="AV310" s="1789">
        <f t="shared" si="178"/>
        <v>0</v>
      </c>
      <c r="AW310" s="1789">
        <f t="shared" si="179"/>
        <v>0</v>
      </c>
      <c r="AX310" s="17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4"/>
      <c r="AV311" s="1789">
        <f t="shared" si="178"/>
        <v>0</v>
      </c>
      <c r="AW311" s="1789">
        <f t="shared" si="179"/>
        <v>0</v>
      </c>
      <c r="AX311" s="17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4"/>
      <c r="AV312" s="1789">
        <f t="shared" si="178"/>
        <v>0</v>
      </c>
      <c r="AW312" s="1789">
        <f t="shared" si="179"/>
        <v>0</v>
      </c>
      <c r="AX312" s="17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4"/>
      <c r="AV313" s="1789">
        <f t="shared" si="178"/>
        <v>0</v>
      </c>
      <c r="AW313" s="1789">
        <f t="shared" si="179"/>
        <v>0</v>
      </c>
      <c r="AX313" s="17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4"/>
      <c r="AV314" s="1789">
        <f t="shared" si="178"/>
        <v>0</v>
      </c>
      <c r="AW314" s="1789">
        <f t="shared" si="179"/>
        <v>0</v>
      </c>
      <c r="AX314" s="17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4"/>
      <c r="AV315" s="1789">
        <f t="shared" si="178"/>
        <v>0</v>
      </c>
      <c r="AW315" s="1789">
        <f t="shared" si="179"/>
        <v>0</v>
      </c>
      <c r="AX315" s="17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4"/>
      <c r="AV316" s="1789">
        <f t="shared" si="178"/>
        <v>0</v>
      </c>
      <c r="AW316" s="1789">
        <f t="shared" si="179"/>
        <v>0</v>
      </c>
      <c r="AX316" s="17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4"/>
      <c r="AV317" s="1789">
        <f t="shared" si="178"/>
        <v>0</v>
      </c>
      <c r="AW317" s="1789">
        <f t="shared" si="179"/>
        <v>0</v>
      </c>
      <c r="AX317" s="17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4"/>
      <c r="AV318" s="1789">
        <f t="shared" si="178"/>
        <v>0</v>
      </c>
      <c r="AW318" s="1789">
        <f t="shared" si="179"/>
        <v>0</v>
      </c>
      <c r="AX318" s="17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4"/>
      <c r="AV319" s="1789">
        <f t="shared" si="178"/>
        <v>0</v>
      </c>
      <c r="AW319" s="1789">
        <f t="shared" si="179"/>
        <v>0</v>
      </c>
      <c r="AX319" s="17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4"/>
      <c r="AV320" s="1789">
        <f t="shared" si="178"/>
        <v>0</v>
      </c>
      <c r="AW320" s="1789">
        <f t="shared" si="179"/>
        <v>0</v>
      </c>
      <c r="AX320" s="17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4"/>
      <c r="AV321" s="1789">
        <f t="shared" si="178"/>
        <v>0</v>
      </c>
      <c r="AW321" s="1789">
        <f t="shared" si="179"/>
        <v>0</v>
      </c>
      <c r="AX321" s="17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4"/>
      <c r="AV322" s="1789">
        <f t="shared" si="178"/>
        <v>0</v>
      </c>
      <c r="AW322" s="1789">
        <f t="shared" si="179"/>
        <v>0</v>
      </c>
      <c r="AX322" s="17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4"/>
      <c r="AV323" s="1789">
        <f t="shared" si="178"/>
        <v>0</v>
      </c>
      <c r="AW323" s="1789">
        <f t="shared" si="179"/>
        <v>0</v>
      </c>
      <c r="AX323" s="17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4"/>
      <c r="AV324" s="1789">
        <f t="shared" si="178"/>
        <v>0</v>
      </c>
      <c r="AW324" s="1789">
        <f t="shared" si="179"/>
        <v>0</v>
      </c>
      <c r="AX324" s="17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4"/>
      <c r="AV325" s="1789">
        <f t="shared" si="178"/>
        <v>0</v>
      </c>
      <c r="AW325" s="1789">
        <f t="shared" si="179"/>
        <v>0</v>
      </c>
      <c r="AX325" s="17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4"/>
      <c r="AV326" s="1789">
        <f t="shared" si="178"/>
        <v>0</v>
      </c>
      <c r="AW326" s="1789">
        <f t="shared" si="179"/>
        <v>0</v>
      </c>
      <c r="AX326" s="17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4"/>
      <c r="AV327" s="1789">
        <f t="shared" si="178"/>
        <v>0</v>
      </c>
      <c r="AW327" s="1789">
        <f t="shared" si="179"/>
        <v>0</v>
      </c>
      <c r="AX327" s="17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4"/>
      <c r="AV328" s="1789">
        <f t="shared" si="178"/>
        <v>0</v>
      </c>
      <c r="AW328" s="1789">
        <f t="shared" si="179"/>
        <v>0</v>
      </c>
      <c r="AX328" s="17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4"/>
      <c r="AV329" s="1789">
        <f t="shared" si="178"/>
        <v>0</v>
      </c>
      <c r="AW329" s="1789">
        <f t="shared" si="179"/>
        <v>0</v>
      </c>
      <c r="AX329" s="17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4"/>
      <c r="AV330" s="1789">
        <f t="shared" si="178"/>
        <v>0</v>
      </c>
      <c r="AW330" s="1789">
        <f t="shared" si="179"/>
        <v>0</v>
      </c>
      <c r="AX330" s="17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4"/>
      <c r="AV331" s="1789">
        <f t="shared" si="178"/>
        <v>0</v>
      </c>
      <c r="AW331" s="1789">
        <f t="shared" si="179"/>
        <v>0</v>
      </c>
      <c r="AX331" s="17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4"/>
      <c r="AV332" s="1789">
        <f t="shared" si="178"/>
        <v>0</v>
      </c>
      <c r="AW332" s="1789">
        <f t="shared" si="179"/>
        <v>0</v>
      </c>
      <c r="AX332" s="17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4"/>
      <c r="AV333" s="1789">
        <f t="shared" si="178"/>
        <v>0</v>
      </c>
      <c r="AW333" s="1789">
        <f t="shared" si="179"/>
        <v>0</v>
      </c>
      <c r="AX333" s="17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4"/>
      <c r="AV334" s="1789">
        <f t="shared" si="178"/>
        <v>0</v>
      </c>
      <c r="AW334" s="1789">
        <f t="shared" si="179"/>
        <v>0</v>
      </c>
      <c r="AX334" s="17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4"/>
      <c r="AV335" s="1789">
        <f t="shared" ref="AV335:AV366" si="207">A335</f>
        <v>0</v>
      </c>
      <c r="AW335" s="1789">
        <f t="shared" ref="AW335:AW366" si="208">B335</f>
        <v>0</v>
      </c>
      <c r="AX335" s="17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4"/>
      <c r="AV336" s="1789">
        <f t="shared" si="207"/>
        <v>0</v>
      </c>
      <c r="AW336" s="1789">
        <f t="shared" si="208"/>
        <v>0</v>
      </c>
      <c r="AX336" s="17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4"/>
      <c r="AV337" s="1789">
        <f t="shared" si="207"/>
        <v>0</v>
      </c>
      <c r="AW337" s="1789">
        <f t="shared" si="208"/>
        <v>0</v>
      </c>
      <c r="AX337" s="17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4"/>
      <c r="AV338" s="1789">
        <f t="shared" si="207"/>
        <v>0</v>
      </c>
      <c r="AW338" s="1789">
        <f t="shared" si="208"/>
        <v>0</v>
      </c>
      <c r="AX338" s="17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4"/>
      <c r="AV339" s="1789">
        <f t="shared" si="207"/>
        <v>0</v>
      </c>
      <c r="AW339" s="1789">
        <f t="shared" si="208"/>
        <v>0</v>
      </c>
      <c r="AX339" s="17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4"/>
      <c r="AV340" s="1789">
        <f t="shared" si="207"/>
        <v>0</v>
      </c>
      <c r="AW340" s="1789">
        <f t="shared" si="208"/>
        <v>0</v>
      </c>
      <c r="AX340" s="17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4"/>
      <c r="AV341" s="1789">
        <f t="shared" si="207"/>
        <v>0</v>
      </c>
      <c r="AW341" s="1789">
        <f t="shared" si="208"/>
        <v>0</v>
      </c>
      <c r="AX341" s="17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4"/>
      <c r="AV342" s="1789">
        <f t="shared" si="207"/>
        <v>0</v>
      </c>
      <c r="AW342" s="1789">
        <f t="shared" si="208"/>
        <v>0</v>
      </c>
      <c r="AX342" s="17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4"/>
      <c r="AV343" s="1789">
        <f t="shared" si="207"/>
        <v>0</v>
      </c>
      <c r="AW343" s="1789">
        <f t="shared" si="208"/>
        <v>0</v>
      </c>
      <c r="AX343" s="17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4"/>
      <c r="AV344" s="1789">
        <f t="shared" si="207"/>
        <v>0</v>
      </c>
      <c r="AW344" s="1789">
        <f t="shared" si="208"/>
        <v>0</v>
      </c>
      <c r="AX344" s="17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4"/>
      <c r="AV345" s="1789">
        <f t="shared" si="207"/>
        <v>0</v>
      </c>
      <c r="AW345" s="1789">
        <f t="shared" si="208"/>
        <v>0</v>
      </c>
      <c r="AX345" s="17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4"/>
      <c r="AV346" s="1789">
        <f t="shared" si="207"/>
        <v>0</v>
      </c>
      <c r="AW346" s="1789">
        <f t="shared" si="208"/>
        <v>0</v>
      </c>
      <c r="AX346" s="17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4"/>
      <c r="AV347" s="1789">
        <f t="shared" si="207"/>
        <v>0</v>
      </c>
      <c r="AW347" s="1789">
        <f t="shared" si="208"/>
        <v>0</v>
      </c>
      <c r="AX347" s="17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4"/>
      <c r="AV348" s="1789">
        <f t="shared" si="207"/>
        <v>0</v>
      </c>
      <c r="AW348" s="1789">
        <f t="shared" si="208"/>
        <v>0</v>
      </c>
      <c r="AX348" s="17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4"/>
      <c r="AV349" s="1789">
        <f t="shared" si="207"/>
        <v>0</v>
      </c>
      <c r="AW349" s="1789">
        <f t="shared" si="208"/>
        <v>0</v>
      </c>
      <c r="AX349" s="17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4"/>
      <c r="AV350" s="1789">
        <f t="shared" si="207"/>
        <v>0</v>
      </c>
      <c r="AW350" s="1789">
        <f t="shared" si="208"/>
        <v>0</v>
      </c>
      <c r="AX350" s="17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4"/>
      <c r="AV351" s="1789">
        <f t="shared" si="207"/>
        <v>0</v>
      </c>
      <c r="AW351" s="1789">
        <f t="shared" si="208"/>
        <v>0</v>
      </c>
      <c r="AX351" s="17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4"/>
      <c r="AV352" s="1789">
        <f t="shared" si="207"/>
        <v>0</v>
      </c>
      <c r="AW352" s="1789">
        <f t="shared" si="208"/>
        <v>0</v>
      </c>
      <c r="AX352" s="17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4"/>
      <c r="AV353" s="1789">
        <f t="shared" si="207"/>
        <v>0</v>
      </c>
      <c r="AW353" s="1789">
        <f t="shared" si="208"/>
        <v>0</v>
      </c>
      <c r="AX353" s="17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4"/>
      <c r="AV354" s="1789">
        <f t="shared" si="207"/>
        <v>0</v>
      </c>
      <c r="AW354" s="1789">
        <f t="shared" si="208"/>
        <v>0</v>
      </c>
      <c r="AX354" s="17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4"/>
      <c r="AV355" s="1789">
        <f t="shared" si="207"/>
        <v>0</v>
      </c>
      <c r="AW355" s="1789">
        <f t="shared" si="208"/>
        <v>0</v>
      </c>
      <c r="AX355" s="17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4"/>
      <c r="AV356" s="1789">
        <f t="shared" si="207"/>
        <v>0</v>
      </c>
      <c r="AW356" s="1789">
        <f t="shared" si="208"/>
        <v>0</v>
      </c>
      <c r="AX356" s="17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4"/>
      <c r="AV357" s="1789">
        <f t="shared" si="207"/>
        <v>0</v>
      </c>
      <c r="AW357" s="1789">
        <f t="shared" si="208"/>
        <v>0</v>
      </c>
      <c r="AX357" s="17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4"/>
      <c r="AV358" s="1789">
        <f t="shared" si="207"/>
        <v>0</v>
      </c>
      <c r="AW358" s="1789">
        <f t="shared" si="208"/>
        <v>0</v>
      </c>
      <c r="AX358" s="17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4"/>
      <c r="AV359" s="1789">
        <f t="shared" si="207"/>
        <v>0</v>
      </c>
      <c r="AW359" s="1789">
        <f t="shared" si="208"/>
        <v>0</v>
      </c>
      <c r="AX359" s="17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4"/>
      <c r="AV360" s="1789">
        <f t="shared" si="207"/>
        <v>0</v>
      </c>
      <c r="AW360" s="1789">
        <f t="shared" si="208"/>
        <v>0</v>
      </c>
      <c r="AX360" s="17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4"/>
      <c r="AV361" s="1789">
        <f t="shared" si="207"/>
        <v>0</v>
      </c>
      <c r="AW361" s="1789">
        <f t="shared" si="208"/>
        <v>0</v>
      </c>
      <c r="AX361" s="17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4"/>
      <c r="AV362" s="1789">
        <f t="shared" si="207"/>
        <v>0</v>
      </c>
      <c r="AW362" s="1789">
        <f t="shared" si="208"/>
        <v>0</v>
      </c>
      <c r="AX362" s="17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4"/>
      <c r="AV363" s="1789">
        <f t="shared" si="207"/>
        <v>0</v>
      </c>
      <c r="AW363" s="1789">
        <f t="shared" si="208"/>
        <v>0</v>
      </c>
      <c r="AX363" s="17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4"/>
      <c r="AV364" s="1789">
        <f t="shared" si="207"/>
        <v>0</v>
      </c>
      <c r="AW364" s="1789">
        <f t="shared" si="208"/>
        <v>0</v>
      </c>
      <c r="AX364" s="17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4"/>
      <c r="AV365" s="1789">
        <f t="shared" si="207"/>
        <v>0</v>
      </c>
      <c r="AW365" s="1789">
        <f t="shared" si="208"/>
        <v>0</v>
      </c>
      <c r="AX365" s="17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4"/>
      <c r="AV366" s="1789">
        <f t="shared" si="207"/>
        <v>0</v>
      </c>
      <c r="AW366" s="1789">
        <f t="shared" si="208"/>
        <v>0</v>
      </c>
      <c r="AX366" s="17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4"/>
      <c r="AV367" s="1789">
        <f t="shared" ref="AV367:AV397" si="236">A367</f>
        <v>0</v>
      </c>
      <c r="AW367" s="1789">
        <f t="shared" ref="AW367:AW397" si="237">B367</f>
        <v>0</v>
      </c>
      <c r="AX367" s="17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4"/>
      <c r="AV368" s="1789">
        <f t="shared" si="236"/>
        <v>0</v>
      </c>
      <c r="AW368" s="1789">
        <f t="shared" si="237"/>
        <v>0</v>
      </c>
      <c r="AX368" s="17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4"/>
      <c r="AV369" s="1789">
        <f t="shared" si="236"/>
        <v>0</v>
      </c>
      <c r="AW369" s="1789">
        <f t="shared" si="237"/>
        <v>0</v>
      </c>
      <c r="AX369" s="17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4"/>
      <c r="AV370" s="1789">
        <f t="shared" si="236"/>
        <v>0</v>
      </c>
      <c r="AW370" s="1789">
        <f t="shared" si="237"/>
        <v>0</v>
      </c>
      <c r="AX370" s="17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4"/>
      <c r="AV371" s="1789">
        <f t="shared" si="236"/>
        <v>0</v>
      </c>
      <c r="AW371" s="1789">
        <f t="shared" si="237"/>
        <v>0</v>
      </c>
      <c r="AX371" s="17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4"/>
      <c r="AV372" s="1789">
        <f t="shared" si="236"/>
        <v>0</v>
      </c>
      <c r="AW372" s="1789">
        <f t="shared" si="237"/>
        <v>0</v>
      </c>
      <c r="AX372" s="17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4"/>
      <c r="AV373" s="1789">
        <f t="shared" si="236"/>
        <v>0</v>
      </c>
      <c r="AW373" s="1789">
        <f t="shared" si="237"/>
        <v>0</v>
      </c>
      <c r="AX373" s="17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4"/>
      <c r="AV374" s="1789">
        <f t="shared" si="236"/>
        <v>0</v>
      </c>
      <c r="AW374" s="1789">
        <f t="shared" si="237"/>
        <v>0</v>
      </c>
      <c r="AX374" s="17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4"/>
      <c r="AV375" s="1789">
        <f t="shared" si="236"/>
        <v>0</v>
      </c>
      <c r="AW375" s="1789">
        <f t="shared" si="237"/>
        <v>0</v>
      </c>
      <c r="AX375" s="17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4"/>
      <c r="AV376" s="1789">
        <f t="shared" si="236"/>
        <v>0</v>
      </c>
      <c r="AW376" s="1789">
        <f t="shared" si="237"/>
        <v>0</v>
      </c>
      <c r="AX376" s="17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4"/>
      <c r="AV377" s="1789">
        <f t="shared" si="236"/>
        <v>0</v>
      </c>
      <c r="AW377" s="1789">
        <f t="shared" si="237"/>
        <v>0</v>
      </c>
      <c r="AX377" s="17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4"/>
      <c r="AV378" s="1789">
        <f t="shared" si="236"/>
        <v>0</v>
      </c>
      <c r="AW378" s="1789">
        <f t="shared" si="237"/>
        <v>0</v>
      </c>
      <c r="AX378" s="17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4"/>
      <c r="AV379" s="1789">
        <f t="shared" si="236"/>
        <v>0</v>
      </c>
      <c r="AW379" s="1789">
        <f t="shared" si="237"/>
        <v>0</v>
      </c>
      <c r="AX379" s="17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4"/>
      <c r="AV380" s="1789">
        <f t="shared" si="236"/>
        <v>0</v>
      </c>
      <c r="AW380" s="1789">
        <f t="shared" si="237"/>
        <v>0</v>
      </c>
      <c r="AX380" s="17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4"/>
      <c r="AV381" s="1789">
        <f t="shared" si="236"/>
        <v>0</v>
      </c>
      <c r="AW381" s="1789">
        <f t="shared" si="237"/>
        <v>0</v>
      </c>
      <c r="AX381" s="17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4"/>
      <c r="AV382" s="1789">
        <f t="shared" si="236"/>
        <v>0</v>
      </c>
      <c r="AW382" s="1789">
        <f t="shared" si="237"/>
        <v>0</v>
      </c>
      <c r="AX382" s="17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4"/>
      <c r="AV383" s="1789">
        <f t="shared" si="236"/>
        <v>0</v>
      </c>
      <c r="AW383" s="1789">
        <f t="shared" si="237"/>
        <v>0</v>
      </c>
      <c r="AX383" s="17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4"/>
      <c r="AV384" s="1789">
        <f t="shared" si="236"/>
        <v>0</v>
      </c>
      <c r="AW384" s="1789">
        <f t="shared" si="237"/>
        <v>0</v>
      </c>
      <c r="AX384" s="17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4"/>
      <c r="AV385" s="1789">
        <f t="shared" si="236"/>
        <v>0</v>
      </c>
      <c r="AW385" s="1789">
        <f t="shared" si="237"/>
        <v>0</v>
      </c>
      <c r="AX385" s="17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4"/>
      <c r="AV386" s="1789">
        <f t="shared" si="236"/>
        <v>0</v>
      </c>
      <c r="AW386" s="1789">
        <f t="shared" si="237"/>
        <v>0</v>
      </c>
      <c r="AX386" s="17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4"/>
      <c r="AV387" s="1789">
        <f t="shared" si="236"/>
        <v>0</v>
      </c>
      <c r="AW387" s="1789">
        <f t="shared" si="237"/>
        <v>0</v>
      </c>
      <c r="AX387" s="17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4"/>
      <c r="AV388" s="1789">
        <f t="shared" si="236"/>
        <v>0</v>
      </c>
      <c r="AW388" s="1789">
        <f t="shared" si="237"/>
        <v>0</v>
      </c>
      <c r="AX388" s="17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4"/>
      <c r="AV389" s="1789">
        <f t="shared" si="236"/>
        <v>0</v>
      </c>
      <c r="AW389" s="1789">
        <f t="shared" si="237"/>
        <v>0</v>
      </c>
      <c r="AX389" s="17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4"/>
      <c r="AV390" s="1789">
        <f t="shared" si="236"/>
        <v>0</v>
      </c>
      <c r="AW390" s="1789">
        <f t="shared" si="237"/>
        <v>0</v>
      </c>
      <c r="AX390" s="17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4"/>
      <c r="AV391" s="1789">
        <f t="shared" si="236"/>
        <v>0</v>
      </c>
      <c r="AW391" s="1789">
        <f t="shared" si="237"/>
        <v>0</v>
      </c>
      <c r="AX391" s="17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4"/>
      <c r="AV392" s="1789">
        <f t="shared" si="236"/>
        <v>0</v>
      </c>
      <c r="AW392" s="1789">
        <f t="shared" si="237"/>
        <v>0</v>
      </c>
      <c r="AX392" s="17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4"/>
      <c r="AV393" s="1789">
        <f t="shared" si="236"/>
        <v>0</v>
      </c>
      <c r="AW393" s="1789">
        <f t="shared" si="237"/>
        <v>0</v>
      </c>
      <c r="AX393" s="17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4"/>
      <c r="AV394" s="1789">
        <f t="shared" si="236"/>
        <v>0</v>
      </c>
      <c r="AW394" s="1789">
        <f t="shared" si="237"/>
        <v>0</v>
      </c>
      <c r="AX394" s="17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9"/>
      <c r="AV395" s="1789">
        <f t="shared" si="236"/>
        <v>0</v>
      </c>
      <c r="AW395" s="1789">
        <f t="shared" si="237"/>
        <v>0</v>
      </c>
      <c r="AX395" s="17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9"/>
      <c r="AV396" s="1789">
        <f t="shared" si="236"/>
        <v>0</v>
      </c>
      <c r="AW396" s="1789">
        <f t="shared" si="237"/>
        <v>0</v>
      </c>
      <c r="AX396" s="17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9"/>
      <c r="AV397" s="1789">
        <f t="shared" si="236"/>
        <v>0</v>
      </c>
      <c r="AW397" s="1789">
        <f t="shared" si="237"/>
        <v>0</v>
      </c>
      <c r="AX397" s="17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4"/>
      <c r="AV398" s="1789">
        <f t="shared" ref="AV398:AV492" si="243">A398</f>
        <v>0</v>
      </c>
      <c r="AW398" s="1789">
        <f t="shared" ref="AW398:AW492" si="244">B398</f>
        <v>0</v>
      </c>
      <c r="AX398" s="17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4"/>
      <c r="AV399" s="1789">
        <f t="shared" si="243"/>
        <v>0</v>
      </c>
      <c r="AW399" s="1789">
        <f t="shared" si="244"/>
        <v>0</v>
      </c>
      <c r="AX399" s="17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4"/>
      <c r="AV400" s="1789">
        <f t="shared" si="243"/>
        <v>0</v>
      </c>
      <c r="AW400" s="1789">
        <f t="shared" si="244"/>
        <v>0</v>
      </c>
      <c r="AX400" s="17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4"/>
      <c r="AV401" s="1789">
        <f t="shared" si="243"/>
        <v>0</v>
      </c>
      <c r="AW401" s="1789">
        <f t="shared" si="244"/>
        <v>0</v>
      </c>
      <c r="AX401" s="17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4"/>
      <c r="AV402" s="1789">
        <f t="shared" si="243"/>
        <v>0</v>
      </c>
      <c r="AW402" s="1789">
        <f t="shared" si="244"/>
        <v>0</v>
      </c>
      <c r="AX402" s="17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4"/>
      <c r="AV403" s="1789">
        <f t="shared" si="243"/>
        <v>0</v>
      </c>
      <c r="AW403" s="1789">
        <f t="shared" si="244"/>
        <v>0</v>
      </c>
      <c r="AX403" s="17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4"/>
      <c r="AV404" s="1789">
        <f t="shared" si="243"/>
        <v>0</v>
      </c>
      <c r="AW404" s="1789">
        <f t="shared" si="244"/>
        <v>0</v>
      </c>
      <c r="AX404" s="17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4"/>
      <c r="AV405" s="1789">
        <f t="shared" si="243"/>
        <v>0</v>
      </c>
      <c r="AW405" s="1789">
        <f t="shared" si="244"/>
        <v>0</v>
      </c>
      <c r="AX405" s="17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4"/>
      <c r="AV406" s="1789">
        <f t="shared" si="243"/>
        <v>0</v>
      </c>
      <c r="AW406" s="1789">
        <f t="shared" si="244"/>
        <v>0</v>
      </c>
      <c r="AX406" s="17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4"/>
      <c r="AV407" s="1789">
        <f t="shared" si="243"/>
        <v>0</v>
      </c>
      <c r="AW407" s="1789">
        <f t="shared" si="244"/>
        <v>0</v>
      </c>
      <c r="AX407" s="17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4"/>
      <c r="AV408" s="1789">
        <f t="shared" si="243"/>
        <v>0</v>
      </c>
      <c r="AW408" s="1789">
        <f t="shared" si="244"/>
        <v>0</v>
      </c>
      <c r="AX408" s="17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4"/>
      <c r="AV409" s="1789">
        <f t="shared" si="243"/>
        <v>0</v>
      </c>
      <c r="AW409" s="1789">
        <f t="shared" si="244"/>
        <v>0</v>
      </c>
      <c r="AX409" s="17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4"/>
      <c r="AV410" s="1789">
        <f t="shared" si="243"/>
        <v>0</v>
      </c>
      <c r="AW410" s="1789">
        <f t="shared" si="244"/>
        <v>0</v>
      </c>
      <c r="AX410" s="17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4"/>
      <c r="AV411" s="1789">
        <f t="shared" si="243"/>
        <v>0</v>
      </c>
      <c r="AW411" s="1789">
        <f t="shared" si="244"/>
        <v>0</v>
      </c>
      <c r="AX411" s="17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4"/>
      <c r="AV412" s="1789">
        <f t="shared" si="243"/>
        <v>0</v>
      </c>
      <c r="AW412" s="1789">
        <f t="shared" si="244"/>
        <v>0</v>
      </c>
      <c r="AX412" s="17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4"/>
      <c r="AV413" s="1789">
        <f t="shared" si="243"/>
        <v>0</v>
      </c>
      <c r="AW413" s="1789">
        <f t="shared" si="244"/>
        <v>0</v>
      </c>
      <c r="AX413" s="17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4"/>
      <c r="AV414" s="1789">
        <f t="shared" si="243"/>
        <v>0</v>
      </c>
      <c r="AW414" s="1789">
        <f t="shared" si="244"/>
        <v>0</v>
      </c>
      <c r="AX414" s="17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4"/>
      <c r="AV415" s="1789">
        <f t="shared" si="243"/>
        <v>0</v>
      </c>
      <c r="AW415" s="1789">
        <f t="shared" si="244"/>
        <v>0</v>
      </c>
      <c r="AX415" s="17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4"/>
      <c r="AV416" s="1789">
        <f t="shared" si="243"/>
        <v>0</v>
      </c>
      <c r="AW416" s="1789">
        <f t="shared" si="244"/>
        <v>0</v>
      </c>
      <c r="AX416" s="17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4"/>
      <c r="AV417" s="1789">
        <f t="shared" si="243"/>
        <v>0</v>
      </c>
      <c r="AW417" s="1789">
        <f t="shared" si="244"/>
        <v>0</v>
      </c>
      <c r="AX417" s="17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4"/>
      <c r="AV418" s="1789">
        <f t="shared" si="243"/>
        <v>0</v>
      </c>
      <c r="AW418" s="1789">
        <f t="shared" si="244"/>
        <v>0</v>
      </c>
      <c r="AX418" s="17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4"/>
      <c r="AV419" s="1789">
        <f t="shared" si="243"/>
        <v>0</v>
      </c>
      <c r="AW419" s="1789">
        <f t="shared" si="244"/>
        <v>0</v>
      </c>
      <c r="AX419" s="17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4"/>
      <c r="AV420" s="1789">
        <f t="shared" si="243"/>
        <v>0</v>
      </c>
      <c r="AW420" s="1789">
        <f t="shared" si="244"/>
        <v>0</v>
      </c>
      <c r="AX420" s="17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4"/>
      <c r="AV421" s="1789">
        <f t="shared" si="243"/>
        <v>0</v>
      </c>
      <c r="AW421" s="1789">
        <f t="shared" si="244"/>
        <v>0</v>
      </c>
      <c r="AX421" s="17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4"/>
      <c r="AV422" s="1789">
        <f t="shared" si="243"/>
        <v>0</v>
      </c>
      <c r="AW422" s="1789">
        <f t="shared" si="244"/>
        <v>0</v>
      </c>
      <c r="AX422" s="17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4"/>
      <c r="AV423" s="1789">
        <f t="shared" si="243"/>
        <v>0</v>
      </c>
      <c r="AW423" s="1789">
        <f t="shared" si="244"/>
        <v>0</v>
      </c>
      <c r="AX423" s="17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4"/>
      <c r="AV424" s="1789">
        <f t="shared" si="243"/>
        <v>0</v>
      </c>
      <c r="AW424" s="1789">
        <f t="shared" si="244"/>
        <v>0</v>
      </c>
      <c r="AX424" s="17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4"/>
      <c r="AV425" s="1789">
        <f t="shared" si="243"/>
        <v>0</v>
      </c>
      <c r="AW425" s="1789">
        <f t="shared" si="244"/>
        <v>0</v>
      </c>
      <c r="AX425" s="17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4"/>
      <c r="AV426" s="1789">
        <f t="shared" si="243"/>
        <v>0</v>
      </c>
      <c r="AW426" s="1789">
        <f t="shared" si="244"/>
        <v>0</v>
      </c>
      <c r="AX426" s="17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4"/>
      <c r="AV427" s="1789">
        <f t="shared" si="243"/>
        <v>0</v>
      </c>
      <c r="AW427" s="1789">
        <f t="shared" si="244"/>
        <v>0</v>
      </c>
      <c r="AX427" s="17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4"/>
      <c r="AV428" s="1789">
        <f t="shared" si="243"/>
        <v>0</v>
      </c>
      <c r="AW428" s="1789">
        <f t="shared" si="244"/>
        <v>0</v>
      </c>
      <c r="AX428" s="17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4"/>
      <c r="AV429" s="1789">
        <f t="shared" si="243"/>
        <v>0</v>
      </c>
      <c r="AW429" s="1789">
        <f t="shared" si="244"/>
        <v>0</v>
      </c>
      <c r="AX429" s="17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4"/>
      <c r="AV430" s="1789">
        <f t="shared" si="243"/>
        <v>0</v>
      </c>
      <c r="AW430" s="1789">
        <f t="shared" si="244"/>
        <v>0</v>
      </c>
      <c r="AX430" s="17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4"/>
      <c r="AV431" s="1789">
        <f t="shared" si="243"/>
        <v>0</v>
      </c>
      <c r="AW431" s="1789">
        <f t="shared" si="244"/>
        <v>0</v>
      </c>
      <c r="AX431" s="17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4"/>
      <c r="AV432" s="1789">
        <f t="shared" si="243"/>
        <v>0</v>
      </c>
      <c r="AW432" s="1789">
        <f t="shared" si="244"/>
        <v>0</v>
      </c>
      <c r="AX432" s="17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4"/>
      <c r="AV433" s="1789">
        <f t="shared" si="243"/>
        <v>0</v>
      </c>
      <c r="AW433" s="1789">
        <f t="shared" si="244"/>
        <v>0</v>
      </c>
      <c r="AX433" s="17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4"/>
      <c r="AV434" s="1789">
        <f t="shared" si="243"/>
        <v>0</v>
      </c>
      <c r="AW434" s="1789">
        <f t="shared" si="244"/>
        <v>0</v>
      </c>
      <c r="AX434" s="17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4"/>
      <c r="AV435" s="1789">
        <f t="shared" si="243"/>
        <v>0</v>
      </c>
      <c r="AW435" s="1789">
        <f t="shared" si="244"/>
        <v>0</v>
      </c>
      <c r="AX435" s="17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4"/>
      <c r="AV436" s="1789">
        <f t="shared" si="243"/>
        <v>0</v>
      </c>
      <c r="AW436" s="1789">
        <f t="shared" si="244"/>
        <v>0</v>
      </c>
      <c r="AX436" s="17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4"/>
      <c r="AV437" s="1789">
        <f t="shared" si="243"/>
        <v>0</v>
      </c>
      <c r="AW437" s="1789">
        <f t="shared" si="244"/>
        <v>0</v>
      </c>
      <c r="AX437" s="17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4"/>
      <c r="AV438" s="1789">
        <f t="shared" si="243"/>
        <v>0</v>
      </c>
      <c r="AW438" s="1789">
        <f t="shared" si="244"/>
        <v>0</v>
      </c>
      <c r="AX438" s="17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4"/>
      <c r="AV439" s="1789">
        <f t="shared" si="243"/>
        <v>0</v>
      </c>
      <c r="AW439" s="1789">
        <f t="shared" si="244"/>
        <v>0</v>
      </c>
      <c r="AX439" s="17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4"/>
      <c r="AV440" s="1789">
        <f t="shared" si="243"/>
        <v>0</v>
      </c>
      <c r="AW440" s="1789">
        <f t="shared" si="244"/>
        <v>0</v>
      </c>
      <c r="AX440" s="17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4"/>
      <c r="AV441" s="1789">
        <f t="shared" si="243"/>
        <v>0</v>
      </c>
      <c r="AW441" s="1789">
        <f t="shared" si="244"/>
        <v>0</v>
      </c>
      <c r="AX441" s="17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4"/>
      <c r="AV442" s="1789">
        <f t="shared" si="243"/>
        <v>0</v>
      </c>
      <c r="AW442" s="1789">
        <f t="shared" si="244"/>
        <v>0</v>
      </c>
      <c r="AX442" s="17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4"/>
      <c r="AV443" s="1789">
        <f t="shared" si="243"/>
        <v>0</v>
      </c>
      <c r="AW443" s="1789">
        <f t="shared" si="244"/>
        <v>0</v>
      </c>
      <c r="AX443" s="17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4"/>
      <c r="AV444" s="1789">
        <f t="shared" si="243"/>
        <v>0</v>
      </c>
      <c r="AW444" s="1789">
        <f t="shared" si="244"/>
        <v>0</v>
      </c>
      <c r="AX444" s="17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4"/>
      <c r="AV445" s="1789">
        <f t="shared" si="243"/>
        <v>0</v>
      </c>
      <c r="AW445" s="1789">
        <f t="shared" si="244"/>
        <v>0</v>
      </c>
      <c r="AX445" s="17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4"/>
      <c r="AV446" s="1789">
        <f t="shared" si="243"/>
        <v>0</v>
      </c>
      <c r="AW446" s="1789">
        <f t="shared" si="244"/>
        <v>0</v>
      </c>
      <c r="AX446" s="17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4"/>
      <c r="AV447" s="1789">
        <f t="shared" si="243"/>
        <v>0</v>
      </c>
      <c r="AW447" s="1789">
        <f t="shared" si="244"/>
        <v>0</v>
      </c>
      <c r="AX447" s="17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4"/>
      <c r="AV448" s="1789">
        <f t="shared" si="243"/>
        <v>0</v>
      </c>
      <c r="AW448" s="1789">
        <f t="shared" si="244"/>
        <v>0</v>
      </c>
      <c r="AX448" s="17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4"/>
      <c r="AV449" s="1789">
        <f t="shared" si="243"/>
        <v>0</v>
      </c>
      <c r="AW449" s="1789">
        <f t="shared" si="244"/>
        <v>0</v>
      </c>
      <c r="AX449" s="17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4"/>
      <c r="AV450" s="1789">
        <f t="shared" si="243"/>
        <v>0</v>
      </c>
      <c r="AW450" s="1789">
        <f t="shared" si="244"/>
        <v>0</v>
      </c>
      <c r="AX450" s="17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4"/>
      <c r="AV451" s="1789">
        <f t="shared" si="243"/>
        <v>0</v>
      </c>
      <c r="AW451" s="1789">
        <f t="shared" si="244"/>
        <v>0</v>
      </c>
      <c r="AX451" s="17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4"/>
      <c r="AV452" s="1789">
        <f t="shared" si="243"/>
        <v>0</v>
      </c>
      <c r="AW452" s="1789">
        <f t="shared" si="244"/>
        <v>0</v>
      </c>
      <c r="AX452" s="17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4"/>
      <c r="AV453" s="1789">
        <f t="shared" si="243"/>
        <v>0</v>
      </c>
      <c r="AW453" s="1789">
        <f t="shared" si="244"/>
        <v>0</v>
      </c>
      <c r="AX453" s="17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4"/>
      <c r="AV454" s="1789">
        <f t="shared" si="243"/>
        <v>0</v>
      </c>
      <c r="AW454" s="1789">
        <f t="shared" si="244"/>
        <v>0</v>
      </c>
      <c r="AX454" s="17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4"/>
      <c r="AV455" s="1789">
        <f t="shared" si="243"/>
        <v>0</v>
      </c>
      <c r="AW455" s="1789">
        <f t="shared" si="244"/>
        <v>0</v>
      </c>
      <c r="AX455" s="17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4"/>
      <c r="AV456" s="1789">
        <f t="shared" si="243"/>
        <v>0</v>
      </c>
      <c r="AW456" s="1789">
        <f t="shared" si="244"/>
        <v>0</v>
      </c>
      <c r="AX456" s="17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4"/>
      <c r="AV457" s="1789">
        <f t="shared" si="243"/>
        <v>0</v>
      </c>
      <c r="AW457" s="1789">
        <f t="shared" si="244"/>
        <v>0</v>
      </c>
      <c r="AX457" s="17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4"/>
      <c r="AV458" s="1789">
        <f t="shared" si="243"/>
        <v>0</v>
      </c>
      <c r="AW458" s="1789">
        <f t="shared" si="244"/>
        <v>0</v>
      </c>
      <c r="AX458" s="17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4"/>
      <c r="AV459" s="1789">
        <f t="shared" si="243"/>
        <v>0</v>
      </c>
      <c r="AW459" s="1789">
        <f t="shared" si="244"/>
        <v>0</v>
      </c>
      <c r="AX459" s="17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4"/>
      <c r="AV460" s="1789">
        <f t="shared" si="243"/>
        <v>0</v>
      </c>
      <c r="AW460" s="1789">
        <f t="shared" si="244"/>
        <v>0</v>
      </c>
      <c r="AX460" s="17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4"/>
      <c r="AV461" s="1789">
        <f t="shared" si="243"/>
        <v>0</v>
      </c>
      <c r="AW461" s="1789">
        <f t="shared" si="244"/>
        <v>0</v>
      </c>
      <c r="AX461" s="17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4"/>
      <c r="AV462" s="1789">
        <f t="shared" si="243"/>
        <v>0</v>
      </c>
      <c r="AW462" s="1789">
        <f t="shared" si="244"/>
        <v>0</v>
      </c>
      <c r="AX462" s="17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4"/>
      <c r="AV463" s="1789">
        <f t="shared" si="243"/>
        <v>0</v>
      </c>
      <c r="AW463" s="1789">
        <f t="shared" si="244"/>
        <v>0</v>
      </c>
      <c r="AX463" s="17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4"/>
      <c r="AV464" s="1789">
        <f t="shared" si="243"/>
        <v>0</v>
      </c>
      <c r="AW464" s="1789">
        <f t="shared" si="244"/>
        <v>0</v>
      </c>
      <c r="AX464" s="17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4"/>
      <c r="AV465" s="1789">
        <f t="shared" si="243"/>
        <v>0</v>
      </c>
      <c r="AW465" s="1789">
        <f t="shared" si="244"/>
        <v>0</v>
      </c>
      <c r="AX465" s="17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4"/>
      <c r="AV466" s="1789">
        <f t="shared" si="243"/>
        <v>0</v>
      </c>
      <c r="AW466" s="1789">
        <f t="shared" si="244"/>
        <v>0</v>
      </c>
      <c r="AX466" s="17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4"/>
      <c r="AV467" s="1789">
        <f t="shared" si="243"/>
        <v>0</v>
      </c>
      <c r="AW467" s="1789">
        <f t="shared" si="244"/>
        <v>0</v>
      </c>
      <c r="AX467" s="17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4"/>
      <c r="AV468" s="1789">
        <f t="shared" si="243"/>
        <v>0</v>
      </c>
      <c r="AW468" s="1789">
        <f t="shared" si="244"/>
        <v>0</v>
      </c>
      <c r="AX468" s="17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4"/>
      <c r="AV469" s="1789">
        <f t="shared" si="243"/>
        <v>0</v>
      </c>
      <c r="AW469" s="1789">
        <f t="shared" si="244"/>
        <v>0</v>
      </c>
      <c r="AX469" s="17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4"/>
      <c r="AV470" s="1789">
        <f t="shared" si="243"/>
        <v>0</v>
      </c>
      <c r="AW470" s="1789">
        <f t="shared" si="244"/>
        <v>0</v>
      </c>
      <c r="AX470" s="17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4"/>
      <c r="AV471" s="1789">
        <f t="shared" si="243"/>
        <v>0</v>
      </c>
      <c r="AW471" s="1789">
        <f t="shared" si="244"/>
        <v>0</v>
      </c>
      <c r="AX471" s="17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4"/>
      <c r="AV472" s="1789">
        <f t="shared" si="243"/>
        <v>0</v>
      </c>
      <c r="AW472" s="1789">
        <f t="shared" si="244"/>
        <v>0</v>
      </c>
      <c r="AX472" s="17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4"/>
      <c r="AV473" s="1789">
        <f t="shared" si="243"/>
        <v>0</v>
      </c>
      <c r="AW473" s="1789">
        <f t="shared" si="244"/>
        <v>0</v>
      </c>
      <c r="AX473" s="17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4"/>
      <c r="AV474" s="1789">
        <f t="shared" si="243"/>
        <v>0</v>
      </c>
      <c r="AW474" s="1789">
        <f t="shared" si="244"/>
        <v>0</v>
      </c>
      <c r="AX474" s="17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4"/>
      <c r="AV475" s="1789">
        <f t="shared" si="243"/>
        <v>0</v>
      </c>
      <c r="AW475" s="1789">
        <f t="shared" si="244"/>
        <v>0</v>
      </c>
      <c r="AX475" s="17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4"/>
      <c r="AV476" s="1789">
        <f t="shared" si="243"/>
        <v>0</v>
      </c>
      <c r="AW476" s="1789">
        <f t="shared" si="244"/>
        <v>0</v>
      </c>
      <c r="AX476" s="17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4"/>
      <c r="AV477" s="1789">
        <f t="shared" si="243"/>
        <v>0</v>
      </c>
      <c r="AW477" s="1789">
        <f t="shared" si="244"/>
        <v>0</v>
      </c>
      <c r="AX477" s="17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4"/>
      <c r="AV478" s="1789">
        <f t="shared" si="243"/>
        <v>0</v>
      </c>
      <c r="AW478" s="1789">
        <f t="shared" si="244"/>
        <v>0</v>
      </c>
      <c r="AX478" s="17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4"/>
      <c r="AV479" s="1789">
        <f t="shared" si="243"/>
        <v>0</v>
      </c>
      <c r="AW479" s="1789">
        <f t="shared" si="244"/>
        <v>0</v>
      </c>
      <c r="AX479" s="17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4"/>
      <c r="AV480" s="1789">
        <f t="shared" si="243"/>
        <v>0</v>
      </c>
      <c r="AW480" s="1789">
        <f t="shared" si="244"/>
        <v>0</v>
      </c>
      <c r="AX480" s="17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4"/>
      <c r="AV481" s="1789">
        <f t="shared" si="243"/>
        <v>0</v>
      </c>
      <c r="AW481" s="1789">
        <f t="shared" si="244"/>
        <v>0</v>
      </c>
      <c r="AX481" s="17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4"/>
      <c r="AV482" s="1789">
        <f t="shared" si="243"/>
        <v>0</v>
      </c>
      <c r="AW482" s="1789">
        <f t="shared" si="244"/>
        <v>0</v>
      </c>
      <c r="AX482" s="17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4"/>
      <c r="AV483" s="1789">
        <f t="shared" si="243"/>
        <v>0</v>
      </c>
      <c r="AW483" s="1789">
        <f t="shared" si="244"/>
        <v>0</v>
      </c>
      <c r="AX483" s="17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4"/>
      <c r="AV484" s="1789">
        <f t="shared" si="243"/>
        <v>0</v>
      </c>
      <c r="AW484" s="1789">
        <f t="shared" si="244"/>
        <v>0</v>
      </c>
      <c r="AX484" s="17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4"/>
      <c r="AV485" s="1789">
        <f t="shared" si="243"/>
        <v>0</v>
      </c>
      <c r="AW485" s="1789">
        <f t="shared" si="244"/>
        <v>0</v>
      </c>
      <c r="AX485" s="17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4"/>
      <c r="AV486" s="1789">
        <f t="shared" si="243"/>
        <v>0</v>
      </c>
      <c r="AW486" s="1789">
        <f t="shared" si="244"/>
        <v>0</v>
      </c>
      <c r="AX486" s="17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4"/>
      <c r="AV487" s="1789">
        <f t="shared" si="243"/>
        <v>0</v>
      </c>
      <c r="AW487" s="1789">
        <f t="shared" si="244"/>
        <v>0</v>
      </c>
      <c r="AX487" s="17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4"/>
      <c r="AV488" s="1789">
        <f t="shared" si="243"/>
        <v>0</v>
      </c>
      <c r="AW488" s="1789">
        <f t="shared" si="244"/>
        <v>0</v>
      </c>
      <c r="AX488" s="17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4"/>
      <c r="AV489" s="1789">
        <f t="shared" si="243"/>
        <v>0</v>
      </c>
      <c r="AW489" s="1789">
        <f t="shared" si="244"/>
        <v>0</v>
      </c>
      <c r="AX489" s="17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9"/>
      <c r="AV490" s="1789">
        <f t="shared" si="243"/>
        <v>0</v>
      </c>
      <c r="AW490" s="1789">
        <f t="shared" si="244"/>
        <v>0</v>
      </c>
      <c r="AX490" s="17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9"/>
      <c r="AV491" s="1789">
        <f t="shared" si="243"/>
        <v>0</v>
      </c>
      <c r="AW491" s="1789">
        <f t="shared" si="244"/>
        <v>0</v>
      </c>
      <c r="AX491" s="17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9"/>
      <c r="AV492" s="1789">
        <f t="shared" si="243"/>
        <v>0</v>
      </c>
      <c r="AW492" s="1789">
        <f t="shared" si="244"/>
        <v>0</v>
      </c>
      <c r="AX492" s="17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4"/>
      <c r="AV493" s="1789">
        <f t="shared" ref="AV493:AV520" si="294">A493</f>
        <v>0</v>
      </c>
      <c r="AW493" s="1789">
        <f t="shared" ref="AW493:AW520" si="295">B493</f>
        <v>0</v>
      </c>
      <c r="AX493" s="17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4"/>
      <c r="AV494" s="1789">
        <f t="shared" si="294"/>
        <v>0</v>
      </c>
      <c r="AW494" s="1789">
        <f t="shared" si="295"/>
        <v>0</v>
      </c>
      <c r="AX494" s="17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4"/>
      <c r="AV495" s="1789">
        <f t="shared" si="294"/>
        <v>0</v>
      </c>
      <c r="AW495" s="1789">
        <f t="shared" si="295"/>
        <v>0</v>
      </c>
      <c r="AX495" s="17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4"/>
      <c r="AV496" s="1789">
        <f t="shared" si="294"/>
        <v>0</v>
      </c>
      <c r="AW496" s="1789">
        <f t="shared" si="295"/>
        <v>0</v>
      </c>
      <c r="AX496" s="17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4"/>
      <c r="AV497" s="1789">
        <f t="shared" si="294"/>
        <v>0</v>
      </c>
      <c r="AW497" s="1789">
        <f t="shared" si="295"/>
        <v>0</v>
      </c>
      <c r="AX497" s="17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4"/>
      <c r="AV498" s="1789">
        <f t="shared" si="294"/>
        <v>0</v>
      </c>
      <c r="AW498" s="1789">
        <f t="shared" si="295"/>
        <v>0</v>
      </c>
      <c r="AX498" s="17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4"/>
      <c r="AV499" s="1789">
        <f t="shared" si="294"/>
        <v>0</v>
      </c>
      <c r="AW499" s="1789">
        <f t="shared" si="295"/>
        <v>0</v>
      </c>
      <c r="AX499" s="17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4"/>
      <c r="AV500" s="1789">
        <f t="shared" si="294"/>
        <v>0</v>
      </c>
      <c r="AW500" s="1789">
        <f t="shared" si="295"/>
        <v>0</v>
      </c>
      <c r="AX500" s="17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4"/>
      <c r="AV501" s="1789">
        <f t="shared" si="294"/>
        <v>0</v>
      </c>
      <c r="AW501" s="1789">
        <f t="shared" si="295"/>
        <v>0</v>
      </c>
      <c r="AX501" s="17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4"/>
      <c r="AV502" s="1789">
        <f t="shared" si="294"/>
        <v>0</v>
      </c>
      <c r="AW502" s="1789">
        <f t="shared" si="295"/>
        <v>0</v>
      </c>
      <c r="AX502" s="17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4"/>
      <c r="AV503" s="1789">
        <f t="shared" si="294"/>
        <v>0</v>
      </c>
      <c r="AW503" s="1789">
        <f t="shared" si="295"/>
        <v>0</v>
      </c>
      <c r="AX503" s="17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4"/>
      <c r="AV504" s="1789">
        <f t="shared" si="294"/>
        <v>0</v>
      </c>
      <c r="AW504" s="1789">
        <f t="shared" si="295"/>
        <v>0</v>
      </c>
      <c r="AX504" s="17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4"/>
      <c r="AV505" s="1789">
        <f t="shared" si="294"/>
        <v>0</v>
      </c>
      <c r="AW505" s="1789">
        <f t="shared" si="295"/>
        <v>0</v>
      </c>
      <c r="AX505" s="17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4"/>
      <c r="AV506" s="1789">
        <f t="shared" si="294"/>
        <v>0</v>
      </c>
      <c r="AW506" s="1789">
        <f t="shared" si="295"/>
        <v>0</v>
      </c>
      <c r="AX506" s="17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4"/>
      <c r="AV507" s="1789">
        <f t="shared" si="294"/>
        <v>0</v>
      </c>
      <c r="AW507" s="1789">
        <f t="shared" si="295"/>
        <v>0</v>
      </c>
      <c r="AX507" s="17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4"/>
      <c r="AV508" s="1789">
        <f t="shared" si="294"/>
        <v>0</v>
      </c>
      <c r="AW508" s="1789">
        <f t="shared" si="295"/>
        <v>0</v>
      </c>
      <c r="AX508" s="17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4"/>
      <c r="AV509" s="1789">
        <f t="shared" si="294"/>
        <v>0</v>
      </c>
      <c r="AW509" s="1789">
        <f t="shared" si="295"/>
        <v>0</v>
      </c>
      <c r="AX509" s="17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4"/>
      <c r="AV510" s="1789">
        <f t="shared" si="294"/>
        <v>0</v>
      </c>
      <c r="AW510" s="1789">
        <f t="shared" si="295"/>
        <v>0</v>
      </c>
      <c r="AX510" s="17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4"/>
      <c r="AV511" s="1789">
        <f t="shared" si="294"/>
        <v>0</v>
      </c>
      <c r="AW511" s="1789">
        <f t="shared" si="295"/>
        <v>0</v>
      </c>
      <c r="AX511" s="17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4"/>
      <c r="AV512" s="1789">
        <f t="shared" si="294"/>
        <v>0</v>
      </c>
      <c r="AW512" s="1789">
        <f t="shared" si="295"/>
        <v>0</v>
      </c>
      <c r="AX512" s="17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4"/>
      <c r="AV513" s="1789">
        <f t="shared" si="294"/>
        <v>0</v>
      </c>
      <c r="AW513" s="1789">
        <f t="shared" si="295"/>
        <v>0</v>
      </c>
      <c r="AX513" s="17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4"/>
      <c r="AV514" s="1789">
        <f t="shared" si="294"/>
        <v>0</v>
      </c>
      <c r="AW514" s="1789">
        <f t="shared" si="295"/>
        <v>0</v>
      </c>
      <c r="AX514" s="17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4"/>
      <c r="AV515" s="1789">
        <f t="shared" si="294"/>
        <v>0</v>
      </c>
      <c r="AW515" s="1789">
        <f t="shared" si="295"/>
        <v>0</v>
      </c>
      <c r="AX515" s="17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4"/>
      <c r="AV516" s="1789">
        <f t="shared" si="294"/>
        <v>0</v>
      </c>
      <c r="AW516" s="1789">
        <f t="shared" si="295"/>
        <v>0</v>
      </c>
      <c r="AX516" s="17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4"/>
      <c r="AV517" s="1789">
        <f t="shared" si="294"/>
        <v>0</v>
      </c>
      <c r="AW517" s="1789">
        <f t="shared" si="295"/>
        <v>0</v>
      </c>
      <c r="AX517" s="17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4"/>
      <c r="AV518" s="1789">
        <f t="shared" si="294"/>
        <v>0</v>
      </c>
      <c r="AW518" s="1789">
        <f t="shared" si="295"/>
        <v>0</v>
      </c>
      <c r="AX518" s="17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4"/>
      <c r="AV519" s="1789">
        <f t="shared" si="294"/>
        <v>0</v>
      </c>
      <c r="AW519" s="1789">
        <f t="shared" si="295"/>
        <v>0</v>
      </c>
      <c r="AX519" s="17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4"/>
      <c r="AV520" s="1789">
        <f t="shared" si="294"/>
        <v>0</v>
      </c>
      <c r="AW520" s="1789">
        <f t="shared" si="295"/>
        <v>0</v>
      </c>
      <c r="AX520" s="17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4"/>
      <c r="AV521" s="1789">
        <f t="shared" ref="AV521:AV552" si="298">A521</f>
        <v>0</v>
      </c>
      <c r="AW521" s="1789">
        <f t="shared" ref="AW521:AW552" si="299">B521</f>
        <v>0</v>
      </c>
      <c r="AX521" s="17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4"/>
      <c r="AV522" s="1789">
        <f t="shared" si="298"/>
        <v>0</v>
      </c>
      <c r="AW522" s="1789">
        <f t="shared" si="299"/>
        <v>0</v>
      </c>
      <c r="AX522" s="17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4"/>
      <c r="AV523" s="1789">
        <f t="shared" si="298"/>
        <v>0</v>
      </c>
      <c r="AW523" s="1789">
        <f t="shared" si="299"/>
        <v>0</v>
      </c>
      <c r="AX523" s="17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4"/>
      <c r="AV524" s="1789">
        <f t="shared" si="298"/>
        <v>0</v>
      </c>
      <c r="AW524" s="1789">
        <f t="shared" si="299"/>
        <v>0</v>
      </c>
      <c r="AX524" s="17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4"/>
      <c r="AV525" s="1789">
        <f t="shared" si="298"/>
        <v>0</v>
      </c>
      <c r="AW525" s="1789">
        <f t="shared" si="299"/>
        <v>0</v>
      </c>
      <c r="AX525" s="17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4"/>
      <c r="AV526" s="1789">
        <f t="shared" si="298"/>
        <v>0</v>
      </c>
      <c r="AW526" s="1789">
        <f t="shared" si="299"/>
        <v>0</v>
      </c>
      <c r="AX526" s="17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4"/>
      <c r="AV527" s="1789">
        <f t="shared" si="298"/>
        <v>0</v>
      </c>
      <c r="AW527" s="1789">
        <f t="shared" si="299"/>
        <v>0</v>
      </c>
      <c r="AX527" s="17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4"/>
      <c r="AV528" s="1789">
        <f t="shared" si="298"/>
        <v>0</v>
      </c>
      <c r="AW528" s="1789">
        <f t="shared" si="299"/>
        <v>0</v>
      </c>
      <c r="AX528" s="17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4"/>
      <c r="AV529" s="1789">
        <f t="shared" si="298"/>
        <v>0</v>
      </c>
      <c r="AW529" s="1789">
        <f t="shared" si="299"/>
        <v>0</v>
      </c>
      <c r="AX529" s="17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4"/>
      <c r="AV530" s="1789">
        <f t="shared" si="298"/>
        <v>0</v>
      </c>
      <c r="AW530" s="1789">
        <f t="shared" si="299"/>
        <v>0</v>
      </c>
      <c r="AX530" s="17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4"/>
      <c r="AV531" s="1789">
        <f t="shared" si="298"/>
        <v>0</v>
      </c>
      <c r="AW531" s="1789">
        <f t="shared" si="299"/>
        <v>0</v>
      </c>
      <c r="AX531" s="17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4"/>
      <c r="AV532" s="1789">
        <f t="shared" si="298"/>
        <v>0</v>
      </c>
      <c r="AW532" s="1789">
        <f t="shared" si="299"/>
        <v>0</v>
      </c>
      <c r="AX532" s="17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4"/>
      <c r="AV533" s="1789">
        <f t="shared" si="298"/>
        <v>0</v>
      </c>
      <c r="AW533" s="1789">
        <f t="shared" si="299"/>
        <v>0</v>
      </c>
      <c r="AX533" s="17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4"/>
      <c r="AV534" s="1789">
        <f t="shared" si="298"/>
        <v>0</v>
      </c>
      <c r="AW534" s="1789">
        <f t="shared" si="299"/>
        <v>0</v>
      </c>
      <c r="AX534" s="17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4"/>
      <c r="AV535" s="1789">
        <f t="shared" si="298"/>
        <v>0</v>
      </c>
      <c r="AW535" s="1789">
        <f t="shared" si="299"/>
        <v>0</v>
      </c>
      <c r="AX535" s="17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4"/>
      <c r="AV536" s="1789">
        <f t="shared" si="298"/>
        <v>0</v>
      </c>
      <c r="AW536" s="1789">
        <f t="shared" si="299"/>
        <v>0</v>
      </c>
      <c r="AX536" s="17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4"/>
      <c r="AV537" s="1789">
        <f t="shared" si="298"/>
        <v>0</v>
      </c>
      <c r="AW537" s="1789">
        <f t="shared" si="299"/>
        <v>0</v>
      </c>
      <c r="AX537" s="17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4"/>
      <c r="AV538" s="1789">
        <f t="shared" si="298"/>
        <v>0</v>
      </c>
      <c r="AW538" s="1789">
        <f t="shared" si="299"/>
        <v>0</v>
      </c>
      <c r="AX538" s="17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4"/>
      <c r="AV539" s="1789">
        <f t="shared" si="298"/>
        <v>0</v>
      </c>
      <c r="AW539" s="1789">
        <f t="shared" si="299"/>
        <v>0</v>
      </c>
      <c r="AX539" s="17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4"/>
      <c r="AV540" s="1789">
        <f t="shared" si="298"/>
        <v>0</v>
      </c>
      <c r="AW540" s="1789">
        <f t="shared" si="299"/>
        <v>0</v>
      </c>
      <c r="AX540" s="17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4"/>
      <c r="AV541" s="1789">
        <f t="shared" si="298"/>
        <v>0</v>
      </c>
      <c r="AW541" s="1789">
        <f t="shared" si="299"/>
        <v>0</v>
      </c>
      <c r="AX541" s="17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4"/>
      <c r="AV542" s="1789">
        <f t="shared" si="298"/>
        <v>0</v>
      </c>
      <c r="AW542" s="1789">
        <f t="shared" si="299"/>
        <v>0</v>
      </c>
      <c r="AX542" s="17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4"/>
      <c r="AV543" s="1789">
        <f t="shared" si="298"/>
        <v>0</v>
      </c>
      <c r="AW543" s="1789">
        <f t="shared" si="299"/>
        <v>0</v>
      </c>
      <c r="AX543" s="17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4"/>
      <c r="AV544" s="1789">
        <f t="shared" si="298"/>
        <v>0</v>
      </c>
      <c r="AW544" s="1789">
        <f t="shared" si="299"/>
        <v>0</v>
      </c>
      <c r="AX544" s="17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4"/>
      <c r="AV545" s="1789">
        <f t="shared" si="298"/>
        <v>0</v>
      </c>
      <c r="AW545" s="1789">
        <f t="shared" si="299"/>
        <v>0</v>
      </c>
      <c r="AX545" s="17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4"/>
      <c r="AV546" s="1789">
        <f t="shared" si="298"/>
        <v>0</v>
      </c>
      <c r="AW546" s="1789">
        <f t="shared" si="299"/>
        <v>0</v>
      </c>
      <c r="AX546" s="17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4"/>
      <c r="AV547" s="1789">
        <f t="shared" si="298"/>
        <v>0</v>
      </c>
      <c r="AW547" s="1789">
        <f t="shared" si="299"/>
        <v>0</v>
      </c>
      <c r="AX547" s="17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4"/>
      <c r="AV548" s="1789">
        <f t="shared" si="298"/>
        <v>0</v>
      </c>
      <c r="AW548" s="1789">
        <f t="shared" si="299"/>
        <v>0</v>
      </c>
      <c r="AX548" s="17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4"/>
      <c r="AV549" s="1789">
        <f t="shared" si="298"/>
        <v>0</v>
      </c>
      <c r="AW549" s="1789">
        <f t="shared" si="299"/>
        <v>0</v>
      </c>
      <c r="AX549" s="17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4"/>
      <c r="AV550" s="1789">
        <f t="shared" si="298"/>
        <v>0</v>
      </c>
      <c r="AW550" s="1789">
        <f t="shared" si="299"/>
        <v>0</v>
      </c>
      <c r="AX550" s="17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4"/>
      <c r="AV551" s="1789">
        <f t="shared" si="298"/>
        <v>0</v>
      </c>
      <c r="AW551" s="1789">
        <f t="shared" si="299"/>
        <v>0</v>
      </c>
      <c r="AX551" s="17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4"/>
      <c r="AV552" s="1789">
        <f t="shared" si="298"/>
        <v>0</v>
      </c>
      <c r="AW552" s="1789">
        <f t="shared" si="299"/>
        <v>0</v>
      </c>
      <c r="AX552" s="17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4"/>
      <c r="AV553" s="1789">
        <f t="shared" ref="AV553:AV587" si="330">A553</f>
        <v>0</v>
      </c>
      <c r="AW553" s="1789">
        <f t="shared" ref="AW553:AW587" si="331">B553</f>
        <v>0</v>
      </c>
      <c r="AX553" s="17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4"/>
      <c r="AV554" s="1789">
        <f t="shared" si="330"/>
        <v>0</v>
      </c>
      <c r="AW554" s="1789">
        <f t="shared" si="331"/>
        <v>0</v>
      </c>
      <c r="AX554" s="17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4"/>
      <c r="AV555" s="1789">
        <f t="shared" si="330"/>
        <v>0</v>
      </c>
      <c r="AW555" s="1789">
        <f t="shared" si="331"/>
        <v>0</v>
      </c>
      <c r="AX555" s="17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4"/>
      <c r="AV556" s="1789">
        <f t="shared" si="330"/>
        <v>0</v>
      </c>
      <c r="AW556" s="1789">
        <f t="shared" si="331"/>
        <v>0</v>
      </c>
      <c r="AX556" s="17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4"/>
      <c r="AV557" s="1789">
        <f t="shared" si="330"/>
        <v>0</v>
      </c>
      <c r="AW557" s="1789">
        <f t="shared" si="331"/>
        <v>0</v>
      </c>
      <c r="AX557" s="17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4"/>
      <c r="AV558" s="1789">
        <f t="shared" si="330"/>
        <v>0</v>
      </c>
      <c r="AW558" s="1789">
        <f t="shared" si="331"/>
        <v>0</v>
      </c>
      <c r="AX558" s="17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4"/>
      <c r="AV559" s="1789">
        <f t="shared" si="330"/>
        <v>0</v>
      </c>
      <c r="AW559" s="1789">
        <f t="shared" si="331"/>
        <v>0</v>
      </c>
      <c r="AX559" s="17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4"/>
      <c r="AV560" s="1789">
        <f t="shared" si="330"/>
        <v>0</v>
      </c>
      <c r="AW560" s="1789">
        <f t="shared" si="331"/>
        <v>0</v>
      </c>
      <c r="AX560" s="17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4"/>
      <c r="AV561" s="1789">
        <f t="shared" si="330"/>
        <v>0</v>
      </c>
      <c r="AW561" s="1789">
        <f t="shared" si="331"/>
        <v>0</v>
      </c>
      <c r="AX561" s="17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4"/>
      <c r="AV562" s="1789">
        <f t="shared" si="330"/>
        <v>0</v>
      </c>
      <c r="AW562" s="1789">
        <f t="shared" si="331"/>
        <v>0</v>
      </c>
      <c r="AX562" s="17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4"/>
      <c r="AV563" s="1789">
        <f t="shared" si="330"/>
        <v>0</v>
      </c>
      <c r="AW563" s="1789">
        <f t="shared" si="331"/>
        <v>0</v>
      </c>
      <c r="AX563" s="17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4"/>
      <c r="AV564" s="1789">
        <f t="shared" si="330"/>
        <v>0</v>
      </c>
      <c r="AW564" s="1789">
        <f t="shared" si="331"/>
        <v>0</v>
      </c>
      <c r="AX564" s="17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4"/>
      <c r="AV565" s="1789">
        <f t="shared" si="330"/>
        <v>0</v>
      </c>
      <c r="AW565" s="1789">
        <f t="shared" si="331"/>
        <v>0</v>
      </c>
      <c r="AX565" s="17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4"/>
      <c r="AV566" s="1789">
        <f t="shared" si="330"/>
        <v>0</v>
      </c>
      <c r="AW566" s="1789">
        <f t="shared" si="331"/>
        <v>0</v>
      </c>
      <c r="AX566" s="17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4"/>
      <c r="AV567" s="1789">
        <f t="shared" si="330"/>
        <v>0</v>
      </c>
      <c r="AW567" s="1789">
        <f t="shared" si="331"/>
        <v>0</v>
      </c>
      <c r="AX567" s="17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4"/>
      <c r="AV568" s="1789">
        <f t="shared" si="330"/>
        <v>0</v>
      </c>
      <c r="AW568" s="1789">
        <f t="shared" si="331"/>
        <v>0</v>
      </c>
      <c r="AX568" s="17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4"/>
      <c r="AV569" s="1789">
        <f t="shared" si="330"/>
        <v>0</v>
      </c>
      <c r="AW569" s="1789">
        <f t="shared" si="331"/>
        <v>0</v>
      </c>
      <c r="AX569" s="17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4"/>
      <c r="AV570" s="1789">
        <f t="shared" si="330"/>
        <v>0</v>
      </c>
      <c r="AW570" s="1789">
        <f t="shared" si="331"/>
        <v>0</v>
      </c>
      <c r="AX570" s="17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4"/>
      <c r="AV571" s="1789">
        <f t="shared" si="330"/>
        <v>0</v>
      </c>
      <c r="AW571" s="1789">
        <f t="shared" si="331"/>
        <v>0</v>
      </c>
      <c r="AX571" s="17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4"/>
      <c r="AV572" s="1789">
        <f t="shared" si="330"/>
        <v>0</v>
      </c>
      <c r="AW572" s="1789">
        <f t="shared" si="331"/>
        <v>0</v>
      </c>
      <c r="AX572" s="17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4"/>
      <c r="AV573" s="1789">
        <f t="shared" si="330"/>
        <v>0</v>
      </c>
      <c r="AW573" s="1789">
        <f t="shared" si="331"/>
        <v>0</v>
      </c>
      <c r="AX573" s="17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4"/>
      <c r="AV574" s="1789">
        <f t="shared" si="330"/>
        <v>0</v>
      </c>
      <c r="AW574" s="1789">
        <f t="shared" si="331"/>
        <v>0</v>
      </c>
      <c r="AX574" s="17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4"/>
      <c r="AV575" s="1789">
        <f t="shared" si="330"/>
        <v>0</v>
      </c>
      <c r="AW575" s="1789">
        <f t="shared" si="331"/>
        <v>0</v>
      </c>
      <c r="AX575" s="17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4"/>
      <c r="AV576" s="1789">
        <f t="shared" si="330"/>
        <v>0</v>
      </c>
      <c r="AW576" s="1789">
        <f t="shared" si="331"/>
        <v>0</v>
      </c>
      <c r="AX576" s="17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4"/>
      <c r="AV577" s="1789">
        <f t="shared" si="330"/>
        <v>0</v>
      </c>
      <c r="AW577" s="1789">
        <f t="shared" si="331"/>
        <v>0</v>
      </c>
      <c r="AX577" s="17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4"/>
      <c r="AV578" s="1789">
        <f t="shared" si="330"/>
        <v>0</v>
      </c>
      <c r="AW578" s="1789">
        <f t="shared" si="331"/>
        <v>0</v>
      </c>
      <c r="AX578" s="17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4"/>
      <c r="AV579" s="1789">
        <f t="shared" si="330"/>
        <v>0</v>
      </c>
      <c r="AW579" s="1789">
        <f t="shared" si="331"/>
        <v>0</v>
      </c>
      <c r="AX579" s="17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4"/>
      <c r="AV580" s="1789">
        <f t="shared" si="330"/>
        <v>0</v>
      </c>
      <c r="AW580" s="1789">
        <f t="shared" si="331"/>
        <v>0</v>
      </c>
      <c r="AX580" s="17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4"/>
      <c r="AV581" s="1789">
        <f t="shared" si="330"/>
        <v>0</v>
      </c>
      <c r="AW581" s="1789">
        <f t="shared" si="331"/>
        <v>0</v>
      </c>
      <c r="AX581" s="17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4"/>
      <c r="AV582" s="1789">
        <f t="shared" si="330"/>
        <v>0</v>
      </c>
      <c r="AW582" s="1789">
        <f t="shared" si="331"/>
        <v>0</v>
      </c>
      <c r="AX582" s="17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4"/>
      <c r="AV583" s="1789">
        <f t="shared" si="330"/>
        <v>0</v>
      </c>
      <c r="AW583" s="1789">
        <f t="shared" si="331"/>
        <v>0</v>
      </c>
      <c r="AX583" s="17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4"/>
      <c r="AV584" s="1789">
        <f t="shared" si="330"/>
        <v>0</v>
      </c>
      <c r="AW584" s="1789">
        <f t="shared" si="331"/>
        <v>0</v>
      </c>
      <c r="AX584" s="17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9"/>
      <c r="AV585" s="1789">
        <f t="shared" si="330"/>
        <v>0</v>
      </c>
      <c r="AW585" s="1789">
        <f t="shared" si="331"/>
        <v>0</v>
      </c>
      <c r="AX585" s="17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9"/>
      <c r="AV586" s="1789">
        <f t="shared" si="330"/>
        <v>0</v>
      </c>
      <c r="AW586" s="1789">
        <f t="shared" si="331"/>
        <v>0</v>
      </c>
      <c r="AX586" s="17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9"/>
      <c r="AV587" s="1789">
        <f t="shared" si="330"/>
        <v>0</v>
      </c>
      <c r="AW587" s="1789">
        <f t="shared" si="331"/>
        <v>0</v>
      </c>
      <c r="AX587" s="17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7" customFormat="1">
      <c r="A588" s="2205"/>
      <c r="B588" s="2205"/>
      <c r="C588" s="2205"/>
      <c r="D588" s="2205"/>
      <c r="E588" s="2206"/>
      <c r="F588" s="2206"/>
      <c r="G588" s="2205"/>
      <c r="H588" s="2206"/>
      <c r="I588" s="2206"/>
      <c r="J588" s="2206"/>
      <c r="K588" s="2206"/>
      <c r="L588" s="2206"/>
      <c r="M588" s="2206"/>
      <c r="N588" s="2206"/>
      <c r="O588" s="2206"/>
      <c r="P588" s="2206"/>
      <c r="Q588" s="2206"/>
      <c r="R588" s="2206"/>
      <c r="S588" s="2206"/>
      <c r="T588" s="2206"/>
      <c r="U588" s="2206"/>
      <c r="V588" s="2206"/>
      <c r="W588" s="2206"/>
      <c r="X588" s="2206"/>
      <c r="Y588" s="2206"/>
      <c r="Z588" s="2206"/>
      <c r="AA588" s="2206"/>
      <c r="AB588" s="2206"/>
      <c r="AC588" s="2206"/>
      <c r="AD588" s="2206"/>
      <c r="AE588" s="2206"/>
      <c r="AF588" s="2206"/>
      <c r="AG588" s="2206"/>
      <c r="AH588" s="2206"/>
      <c r="AI588" s="2206"/>
      <c r="AJ588" s="2206"/>
      <c r="AK588" s="2206"/>
      <c r="AL588" s="2206"/>
      <c r="AM588" s="2206"/>
      <c r="AN588" s="2206"/>
      <c r="AO588" s="2206"/>
      <c r="AP588" s="2206"/>
      <c r="AQ588" s="2206"/>
      <c r="AR588" s="2206"/>
      <c r="AS588" s="2206"/>
      <c r="AT588" s="2206"/>
      <c r="AU588" s="2205"/>
      <c r="AV588" s="2205"/>
      <c r="AW588" s="2205"/>
      <c r="AX588" s="2205"/>
    </row>
    <row r="589" spans="1:72" s="2208" customFormat="1">
      <c r="C589" s="2209"/>
      <c r="D589" s="2209"/>
    </row>
    <row r="590" spans="1:72" s="2208" customFormat="1">
      <c r="C590" s="2209"/>
      <c r="D590" s="2209"/>
    </row>
    <row r="593" spans="2:2">
      <c r="B593" s="220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98" t="s">
        <v>0</v>
      </c>
      <c r="B1" s="3198" t="s">
        <v>4</v>
      </c>
      <c r="C1" s="3198" t="s">
        <v>5</v>
      </c>
      <c r="D1" s="3199" t="s">
        <v>53</v>
      </c>
      <c r="E1" s="3199" t="s">
        <v>54</v>
      </c>
      <c r="F1" s="3199"/>
      <c r="G1" s="3199"/>
      <c r="H1" s="3199"/>
      <c r="I1" s="3199"/>
      <c r="J1" s="3199"/>
      <c r="K1" s="3199"/>
      <c r="L1" s="3199"/>
      <c r="M1" s="3199"/>
    </row>
    <row r="2" spans="1:13" ht="27" customHeight="1">
      <c r="A2" s="3198"/>
      <c r="B2" s="3198"/>
      <c r="C2" s="3198"/>
      <c r="D2" s="3199"/>
      <c r="E2" s="3199" t="s">
        <v>37</v>
      </c>
      <c r="F2" s="3199" t="s">
        <v>38</v>
      </c>
      <c r="G2" s="3199"/>
      <c r="H2" s="3199"/>
      <c r="I2" s="3199"/>
      <c r="J2" s="3199" t="s">
        <v>39</v>
      </c>
      <c r="K2" s="3199"/>
      <c r="L2" s="3199"/>
      <c r="M2" s="3199"/>
    </row>
    <row r="3" spans="1:13" ht="28.5">
      <c r="A3" s="3198"/>
      <c r="B3" s="3198"/>
      <c r="C3" s="3198"/>
      <c r="D3" s="3199"/>
      <c r="E3" s="319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99" t="s">
        <v>55</v>
      </c>
      <c r="B9" s="3199"/>
      <c r="C9" s="319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129"/>
  <sheetViews>
    <sheetView topLeftCell="A97" workbookViewId="0">
      <selection activeCell="F119" sqref="F119"/>
    </sheetView>
  </sheetViews>
  <sheetFormatPr defaultRowHeight="13.5"/>
  <cols>
    <col min="1" max="1" width="9" style="2962"/>
    <col min="2" max="2" width="9" style="2962" customWidth="1"/>
    <col min="3" max="3" width="9.875" style="2962" customWidth="1"/>
    <col min="4" max="4" width="9.75" style="2962" customWidth="1"/>
    <col min="5" max="5" width="7.75" style="2962" customWidth="1"/>
    <col min="6" max="9" width="9" style="2962" customWidth="1"/>
    <col min="10" max="10" width="9" style="2962" hidden="1" customWidth="1"/>
    <col min="11" max="12" width="9" style="2962" customWidth="1"/>
    <col min="13" max="13" width="11.125" style="2962" customWidth="1"/>
    <col min="14" max="14" width="9.125" style="2962" customWidth="1"/>
    <col min="15" max="15" width="9" style="2963" customWidth="1"/>
    <col min="16" max="16" width="10.5" style="2962" customWidth="1"/>
    <col min="17" max="17" width="9" style="2962" customWidth="1"/>
    <col min="18" max="18" width="11" style="2962" customWidth="1"/>
    <col min="19" max="16384" width="9" style="2962"/>
  </cols>
  <sheetData>
    <row r="1" spans="1:22">
      <c r="A1" s="2960" t="s">
        <v>3077</v>
      </c>
      <c r="B1" s="2961"/>
      <c r="C1" s="2961"/>
      <c r="D1" s="2960" t="s">
        <v>3078</v>
      </c>
      <c r="E1" s="2960"/>
      <c r="F1" s="2960" t="s">
        <v>3079</v>
      </c>
      <c r="G1" s="2960"/>
      <c r="H1" s="2961"/>
      <c r="I1" s="2961"/>
      <c r="J1" s="2961"/>
      <c r="K1" s="2961"/>
      <c r="S1" s="2960" t="s">
        <v>3078</v>
      </c>
      <c r="T1" s="2960"/>
      <c r="U1" s="2960" t="s">
        <v>3079</v>
      </c>
      <c r="V1" s="2960"/>
    </row>
    <row r="2" spans="1:22">
      <c r="A2" s="2964"/>
      <c r="B2" s="2965"/>
      <c r="C2" s="2965"/>
      <c r="D2" s="2964" t="s">
        <v>3080</v>
      </c>
      <c r="E2" s="2964" t="s">
        <v>3081</v>
      </c>
      <c r="F2" s="2964" t="s">
        <v>3082</v>
      </c>
      <c r="G2" s="2964" t="s">
        <v>3083</v>
      </c>
      <c r="H2" s="2964" t="s">
        <v>3084</v>
      </c>
      <c r="I2" s="2964" t="s">
        <v>3085</v>
      </c>
      <c r="J2" s="2964" t="s">
        <v>3086</v>
      </c>
      <c r="K2" s="2964" t="s">
        <v>3087</v>
      </c>
      <c r="L2" s="2964"/>
      <c r="M2" s="2966"/>
      <c r="N2" s="2967" t="s">
        <v>3088</v>
      </c>
      <c r="O2" s="2968" t="s">
        <v>3088</v>
      </c>
      <c r="P2" s="2967" t="s">
        <v>3090</v>
      </c>
      <c r="Q2" s="2966">
        <v>0.6</v>
      </c>
      <c r="R2" s="2967" t="s">
        <v>3091</v>
      </c>
      <c r="S2" s="2964" t="s">
        <v>3080</v>
      </c>
      <c r="T2" s="2964" t="s">
        <v>3081</v>
      </c>
      <c r="U2" s="2964" t="s">
        <v>3082</v>
      </c>
      <c r="V2" s="2960" t="s">
        <v>3083</v>
      </c>
    </row>
    <row r="3" spans="1:22">
      <c r="A3" s="2964" t="s">
        <v>3092</v>
      </c>
      <c r="B3" s="2964" t="s">
        <v>3093</v>
      </c>
      <c r="C3" s="2964">
        <v>816.37</v>
      </c>
      <c r="D3" s="2965">
        <v>282.8</v>
      </c>
      <c r="E3" s="2965"/>
      <c r="F3" s="2965">
        <v>484.57</v>
      </c>
      <c r="G3" s="2965">
        <v>49</v>
      </c>
      <c r="H3" s="2965">
        <v>2</v>
      </c>
      <c r="I3" s="2965">
        <v>3</v>
      </c>
      <c r="J3" s="2965">
        <v>1</v>
      </c>
      <c r="K3" s="2965">
        <v>2</v>
      </c>
      <c r="L3" s="2966"/>
      <c r="M3" s="2967">
        <f>R3</f>
        <v>817.74</v>
      </c>
      <c r="N3" s="2967" t="s">
        <v>4514</v>
      </c>
      <c r="O3" s="3052">
        <v>0.6</v>
      </c>
      <c r="P3" s="2967" t="s">
        <v>3095</v>
      </c>
      <c r="Q3" s="2966">
        <v>0.45</v>
      </c>
      <c r="R3" s="2966">
        <v>817.74</v>
      </c>
      <c r="S3" s="2966">
        <v>282.56</v>
      </c>
      <c r="T3" s="2966"/>
      <c r="U3" s="2966">
        <f t="shared" ref="U3:U66" si="0">R3-S3</f>
        <v>535.18000000000006</v>
      </c>
    </row>
    <row r="4" spans="1:22">
      <c r="A4" s="2964" t="s">
        <v>3096</v>
      </c>
      <c r="B4" s="2964" t="s">
        <v>3093</v>
      </c>
      <c r="C4" s="2964">
        <v>816.37</v>
      </c>
      <c r="D4" s="2965">
        <v>282.8</v>
      </c>
      <c r="E4" s="2965"/>
      <c r="F4" s="2965">
        <v>484.57</v>
      </c>
      <c r="G4" s="2965">
        <v>49</v>
      </c>
      <c r="H4" s="2965">
        <v>2</v>
      </c>
      <c r="I4" s="2965">
        <v>3</v>
      </c>
      <c r="J4" s="2965">
        <v>1</v>
      </c>
      <c r="K4" s="2965">
        <v>2</v>
      </c>
      <c r="L4" s="2966"/>
      <c r="M4" s="2967">
        <f t="shared" ref="M4:M67" si="1">R4</f>
        <v>817.45</v>
      </c>
      <c r="N4" s="2967" t="s">
        <v>4514</v>
      </c>
      <c r="O4" s="3052">
        <v>0.6</v>
      </c>
      <c r="P4" s="2967" t="s">
        <v>3097</v>
      </c>
      <c r="Q4" s="2966">
        <v>0.3</v>
      </c>
      <c r="R4" s="2966">
        <v>817.45</v>
      </c>
      <c r="S4" s="2966">
        <v>282.56</v>
      </c>
      <c r="T4" s="2966"/>
      <c r="U4" s="2966">
        <f t="shared" si="0"/>
        <v>534.8900000000001</v>
      </c>
    </row>
    <row r="5" spans="1:22">
      <c r="A5" s="2964" t="s">
        <v>3098</v>
      </c>
      <c r="B5" s="2964" t="s">
        <v>3093</v>
      </c>
      <c r="C5" s="2964">
        <v>1202.82</v>
      </c>
      <c r="D5" s="2965">
        <v>435.55</v>
      </c>
      <c r="E5" s="2965"/>
      <c r="F5" s="2965">
        <v>669.27</v>
      </c>
      <c r="G5" s="2965">
        <v>98</v>
      </c>
      <c r="H5" s="2965">
        <v>2</v>
      </c>
      <c r="I5" s="2965">
        <v>3</v>
      </c>
      <c r="J5" s="2965">
        <v>1</v>
      </c>
      <c r="K5" s="2965">
        <v>4</v>
      </c>
      <c r="L5" s="2966"/>
      <c r="M5" s="2967">
        <f t="shared" si="1"/>
        <v>1215.04</v>
      </c>
      <c r="N5" s="2967" t="s">
        <v>4514</v>
      </c>
      <c r="O5" s="3052">
        <v>0.6</v>
      </c>
      <c r="P5" s="2967" t="s">
        <v>3099</v>
      </c>
      <c r="Q5" s="2966">
        <v>0.25</v>
      </c>
      <c r="R5" s="2966">
        <v>1215.04</v>
      </c>
      <c r="S5" s="2966">
        <v>435.56</v>
      </c>
      <c r="T5" s="2966"/>
      <c r="U5" s="2966">
        <f t="shared" si="0"/>
        <v>779.48</v>
      </c>
    </row>
    <row r="6" spans="1:22">
      <c r="A6" s="2964" t="s">
        <v>3100</v>
      </c>
      <c r="B6" s="2964" t="s">
        <v>3093</v>
      </c>
      <c r="C6" s="2964">
        <v>1799.5</v>
      </c>
      <c r="D6" s="2965">
        <v>652</v>
      </c>
      <c r="E6" s="2965"/>
      <c r="F6" s="2965">
        <v>1000.5</v>
      </c>
      <c r="G6" s="2965">
        <v>147</v>
      </c>
      <c r="H6" s="2965">
        <v>2</v>
      </c>
      <c r="I6" s="2965">
        <v>3</v>
      </c>
      <c r="J6" s="2965">
        <v>1</v>
      </c>
      <c r="K6" s="2965">
        <v>6</v>
      </c>
      <c r="L6" s="2966"/>
      <c r="M6" s="2967">
        <f t="shared" si="1"/>
        <v>1815.68</v>
      </c>
      <c r="N6" s="2967" t="s">
        <v>4514</v>
      </c>
      <c r="O6" s="3052">
        <v>0.6</v>
      </c>
      <c r="P6" s="2967" t="s">
        <v>3094</v>
      </c>
      <c r="Q6" s="2966">
        <v>0.2</v>
      </c>
      <c r="R6" s="2966">
        <v>1815.68</v>
      </c>
      <c r="S6" s="2966">
        <v>652.01</v>
      </c>
      <c r="T6" s="2966"/>
      <c r="U6" s="2966">
        <f t="shared" si="0"/>
        <v>1163.67</v>
      </c>
    </row>
    <row r="7" spans="1:22">
      <c r="A7" s="2964" t="s">
        <v>3101</v>
      </c>
      <c r="B7" s="2964" t="s">
        <v>3093</v>
      </c>
      <c r="C7" s="2964">
        <v>1799.5</v>
      </c>
      <c r="D7" s="2965">
        <v>652</v>
      </c>
      <c r="E7" s="2965"/>
      <c r="F7" s="2965">
        <v>1000.5</v>
      </c>
      <c r="G7" s="2965">
        <v>147</v>
      </c>
      <c r="H7" s="2965">
        <v>2</v>
      </c>
      <c r="I7" s="2965">
        <v>3</v>
      </c>
      <c r="J7" s="2965">
        <v>1</v>
      </c>
      <c r="K7" s="2965">
        <v>6</v>
      </c>
      <c r="L7" s="2966"/>
      <c r="M7" s="2967">
        <f t="shared" si="1"/>
        <v>1816.24</v>
      </c>
      <c r="N7" s="2967" t="s">
        <v>4514</v>
      </c>
      <c r="O7" s="3052">
        <v>0.6</v>
      </c>
      <c r="P7" s="2967" t="s">
        <v>3102</v>
      </c>
      <c r="Q7" s="2966">
        <v>0.1</v>
      </c>
      <c r="R7" s="2966">
        <v>1816.24</v>
      </c>
      <c r="S7" s="2966">
        <v>652.01</v>
      </c>
      <c r="T7" s="2966"/>
      <c r="U7" s="2966">
        <f t="shared" si="0"/>
        <v>1164.23</v>
      </c>
    </row>
    <row r="8" spans="1:22">
      <c r="A8" s="2964" t="s">
        <v>3103</v>
      </c>
      <c r="B8" s="2964" t="s">
        <v>3093</v>
      </c>
      <c r="C8" s="2964">
        <v>1202.82</v>
      </c>
      <c r="D8" s="2965">
        <v>435.55</v>
      </c>
      <c r="E8" s="2965"/>
      <c r="F8" s="2965">
        <v>669.27</v>
      </c>
      <c r="G8" s="2965">
        <v>98</v>
      </c>
      <c r="H8" s="2965">
        <v>2</v>
      </c>
      <c r="I8" s="2965">
        <v>3</v>
      </c>
      <c r="J8" s="2965">
        <v>1</v>
      </c>
      <c r="K8" s="2965">
        <v>4</v>
      </c>
      <c r="L8" s="2966"/>
      <c r="M8" s="2967">
        <f t="shared" si="1"/>
        <v>1215.04</v>
      </c>
      <c r="N8" s="2967" t="s">
        <v>4514</v>
      </c>
      <c r="O8" s="3052">
        <v>0.6</v>
      </c>
      <c r="P8" s="2967" t="s">
        <v>3104</v>
      </c>
      <c r="Q8" s="2966">
        <v>0</v>
      </c>
      <c r="R8" s="2966">
        <v>1215.04</v>
      </c>
      <c r="S8" s="2966">
        <v>435.56</v>
      </c>
      <c r="T8" s="2966"/>
      <c r="U8" s="2966">
        <f t="shared" si="0"/>
        <v>779.48</v>
      </c>
    </row>
    <row r="9" spans="1:22" s="2975" customFormat="1">
      <c r="A9" s="2979" t="s">
        <v>3105</v>
      </c>
      <c r="B9" s="2979" t="s">
        <v>3093</v>
      </c>
      <c r="C9" s="2979">
        <v>1799.5</v>
      </c>
      <c r="D9" s="3049">
        <v>652</v>
      </c>
      <c r="E9" s="3049"/>
      <c r="F9" s="3049">
        <v>1000.5</v>
      </c>
      <c r="G9" s="3049">
        <v>147</v>
      </c>
      <c r="H9" s="3049">
        <v>2</v>
      </c>
      <c r="I9" s="3049">
        <v>3</v>
      </c>
      <c r="J9" s="3049">
        <v>1</v>
      </c>
      <c r="K9" s="3049">
        <v>6</v>
      </c>
      <c r="L9" s="3050"/>
      <c r="M9" s="3051">
        <f t="shared" si="1"/>
        <v>1817.98</v>
      </c>
      <c r="N9" s="2967" t="s">
        <v>4514</v>
      </c>
      <c r="O9" s="3052">
        <v>0.6</v>
      </c>
      <c r="P9" s="3051" t="s">
        <v>3106</v>
      </c>
      <c r="Q9" s="3050">
        <v>0.8</v>
      </c>
      <c r="R9" s="3050">
        <v>1817.98</v>
      </c>
      <c r="S9" s="3050">
        <v>652.01</v>
      </c>
      <c r="T9" s="3050"/>
      <c r="U9" s="3050">
        <f t="shared" si="0"/>
        <v>1165.97</v>
      </c>
    </row>
    <row r="10" spans="1:22">
      <c r="A10" s="2964" t="s">
        <v>3107</v>
      </c>
      <c r="B10" s="2964" t="s">
        <v>3093</v>
      </c>
      <c r="C10" s="2964">
        <v>1202.82</v>
      </c>
      <c r="D10" s="2965">
        <v>435.55</v>
      </c>
      <c r="E10" s="2965"/>
      <c r="F10" s="2965">
        <v>669.27</v>
      </c>
      <c r="G10" s="2965">
        <v>98</v>
      </c>
      <c r="H10" s="2965">
        <v>2</v>
      </c>
      <c r="I10" s="2965">
        <v>3</v>
      </c>
      <c r="J10" s="2965">
        <v>1</v>
      </c>
      <c r="K10" s="2965">
        <v>4</v>
      </c>
      <c r="L10" s="2966"/>
      <c r="M10" s="2967">
        <f t="shared" si="1"/>
        <v>1213.94</v>
      </c>
      <c r="N10" s="2967" t="s">
        <v>4514</v>
      </c>
      <c r="O10" s="3052">
        <v>0.6</v>
      </c>
      <c r="P10" s="2967" t="s">
        <v>3108</v>
      </c>
      <c r="Q10" s="2966">
        <v>1</v>
      </c>
      <c r="R10" s="2966">
        <v>1213.94</v>
      </c>
      <c r="S10" s="2966">
        <v>435.56</v>
      </c>
      <c r="T10" s="2966"/>
      <c r="U10" s="2966">
        <f t="shared" si="0"/>
        <v>778.38000000000011</v>
      </c>
    </row>
    <row r="11" spans="1:22">
      <c r="A11" s="2964" t="s">
        <v>3109</v>
      </c>
      <c r="B11" s="2964" t="s">
        <v>3093</v>
      </c>
      <c r="C11" s="2964">
        <v>1202.82</v>
      </c>
      <c r="D11" s="2965">
        <v>435.55</v>
      </c>
      <c r="E11" s="2965"/>
      <c r="F11" s="2965">
        <v>669.27</v>
      </c>
      <c r="G11" s="2965">
        <v>98</v>
      </c>
      <c r="H11" s="2965">
        <v>2</v>
      </c>
      <c r="I11" s="2965">
        <v>3</v>
      </c>
      <c r="J11" s="2965">
        <v>1</v>
      </c>
      <c r="K11" s="2965">
        <v>4</v>
      </c>
      <c r="L11" s="2966"/>
      <c r="M11" s="2967">
        <f t="shared" si="1"/>
        <v>1213.94</v>
      </c>
      <c r="N11" s="2967" t="s">
        <v>4514</v>
      </c>
      <c r="O11" s="3052">
        <v>0.6</v>
      </c>
      <c r="P11" s="2966"/>
      <c r="Q11" s="2966"/>
      <c r="R11" s="2966">
        <v>1213.94</v>
      </c>
      <c r="S11" s="2966">
        <v>435.56</v>
      </c>
      <c r="T11" s="2966"/>
      <c r="U11" s="2966">
        <f t="shared" si="0"/>
        <v>778.38000000000011</v>
      </c>
    </row>
    <row r="12" spans="1:22" s="2975" customFormat="1">
      <c r="A12" s="2979" t="s">
        <v>3110</v>
      </c>
      <c r="B12" s="2979" t="s">
        <v>3093</v>
      </c>
      <c r="C12" s="2979">
        <v>1799.5</v>
      </c>
      <c r="D12" s="3049">
        <v>652</v>
      </c>
      <c r="E12" s="3049"/>
      <c r="F12" s="3049">
        <v>1000.5</v>
      </c>
      <c r="G12" s="3049">
        <v>147</v>
      </c>
      <c r="H12" s="3049">
        <v>2</v>
      </c>
      <c r="I12" s="3049">
        <v>3</v>
      </c>
      <c r="J12" s="3049">
        <v>1</v>
      </c>
      <c r="K12" s="3049">
        <v>6</v>
      </c>
      <c r="L12" s="3050"/>
      <c r="M12" s="3051">
        <f t="shared" si="1"/>
        <v>1817.92</v>
      </c>
      <c r="N12" s="2967" t="s">
        <v>4514</v>
      </c>
      <c r="O12" s="3052">
        <v>0.6</v>
      </c>
      <c r="P12" s="3050"/>
      <c r="Q12" s="3050"/>
      <c r="R12" s="3050">
        <v>1817.92</v>
      </c>
      <c r="S12" s="3050">
        <v>652.01</v>
      </c>
      <c r="T12" s="3050"/>
      <c r="U12" s="3050">
        <f t="shared" si="0"/>
        <v>1165.9100000000001</v>
      </c>
    </row>
    <row r="13" spans="1:22">
      <c r="A13" s="2964" t="s">
        <v>3111</v>
      </c>
      <c r="B13" s="2964" t="s">
        <v>3093</v>
      </c>
      <c r="C13" s="2964">
        <v>1799.5</v>
      </c>
      <c r="D13" s="2965">
        <v>652</v>
      </c>
      <c r="E13" s="2965"/>
      <c r="F13" s="2965">
        <v>1000.5</v>
      </c>
      <c r="G13" s="2965">
        <v>147</v>
      </c>
      <c r="H13" s="2965">
        <v>2</v>
      </c>
      <c r="I13" s="2965">
        <v>3</v>
      </c>
      <c r="J13" s="2965">
        <v>1</v>
      </c>
      <c r="K13" s="2965">
        <v>6</v>
      </c>
      <c r="L13" s="2966"/>
      <c r="M13" s="2967">
        <f t="shared" si="1"/>
        <v>1817.96</v>
      </c>
      <c r="N13" s="2967" t="s">
        <v>4514</v>
      </c>
      <c r="O13" s="3052">
        <v>0.6</v>
      </c>
      <c r="P13" s="2966"/>
      <c r="Q13" s="2966"/>
      <c r="R13" s="2966">
        <v>1817.96</v>
      </c>
      <c r="S13" s="2966">
        <v>652.01</v>
      </c>
      <c r="T13" s="2966"/>
      <c r="U13" s="2966">
        <f t="shared" si="0"/>
        <v>1165.95</v>
      </c>
    </row>
    <row r="14" spans="1:22">
      <c r="A14" s="2964" t="s">
        <v>3112</v>
      </c>
      <c r="B14" s="2964" t="s">
        <v>3093</v>
      </c>
      <c r="C14" s="2964">
        <v>1202.82</v>
      </c>
      <c r="D14" s="2965">
        <v>435.55</v>
      </c>
      <c r="E14" s="2965"/>
      <c r="F14" s="2965">
        <v>669.27</v>
      </c>
      <c r="G14" s="2965">
        <v>98</v>
      </c>
      <c r="H14" s="2965">
        <v>2</v>
      </c>
      <c r="I14" s="2965">
        <v>3</v>
      </c>
      <c r="J14" s="2965">
        <v>1</v>
      </c>
      <c r="K14" s="2965">
        <v>4</v>
      </c>
      <c r="L14" s="2966"/>
      <c r="M14" s="2967">
        <f t="shared" si="1"/>
        <v>1213.94</v>
      </c>
      <c r="N14" s="2967" t="s">
        <v>4514</v>
      </c>
      <c r="O14" s="3052">
        <v>0.6</v>
      </c>
      <c r="P14" s="2966"/>
      <c r="Q14" s="2966"/>
      <c r="R14" s="2966">
        <v>1213.94</v>
      </c>
      <c r="S14" s="2966">
        <v>435.56</v>
      </c>
      <c r="T14" s="2966"/>
      <c r="U14" s="2966">
        <f t="shared" si="0"/>
        <v>778.38000000000011</v>
      </c>
    </row>
    <row r="15" spans="1:22">
      <c r="A15" s="2964" t="s">
        <v>3113</v>
      </c>
      <c r="B15" s="2964" t="s">
        <v>3093</v>
      </c>
      <c r="C15" s="2964">
        <v>1799.5</v>
      </c>
      <c r="D15" s="2965">
        <v>652</v>
      </c>
      <c r="E15" s="2965"/>
      <c r="F15" s="2965">
        <v>1000.5</v>
      </c>
      <c r="G15" s="2965">
        <v>147</v>
      </c>
      <c r="H15" s="2965">
        <v>2</v>
      </c>
      <c r="I15" s="2965">
        <v>3</v>
      </c>
      <c r="J15" s="2965">
        <v>1</v>
      </c>
      <c r="K15" s="2965">
        <v>6</v>
      </c>
      <c r="L15" s="2966"/>
      <c r="M15" s="2967">
        <f t="shared" si="1"/>
        <v>1816.88</v>
      </c>
      <c r="N15" s="2967" t="s">
        <v>4514</v>
      </c>
      <c r="O15" s="3052">
        <v>0.6</v>
      </c>
      <c r="P15" s="2966"/>
      <c r="Q15" s="2966"/>
      <c r="R15" s="2966">
        <v>1816.88</v>
      </c>
      <c r="S15" s="2966">
        <v>652.01</v>
      </c>
      <c r="T15" s="2966"/>
      <c r="U15" s="2966">
        <f t="shared" si="0"/>
        <v>1164.8700000000001</v>
      </c>
    </row>
    <row r="16" spans="1:22">
      <c r="A16" s="2964" t="s">
        <v>3114</v>
      </c>
      <c r="B16" s="2964" t="s">
        <v>3093</v>
      </c>
      <c r="C16" s="2964">
        <v>1202.82</v>
      </c>
      <c r="D16" s="2965">
        <v>435.55</v>
      </c>
      <c r="E16" s="2965"/>
      <c r="F16" s="2965">
        <v>669.27</v>
      </c>
      <c r="G16" s="2965">
        <v>98</v>
      </c>
      <c r="H16" s="2965">
        <v>2</v>
      </c>
      <c r="I16" s="2965">
        <v>3</v>
      </c>
      <c r="J16" s="2965">
        <v>1</v>
      </c>
      <c r="K16" s="2965">
        <v>4</v>
      </c>
      <c r="L16" s="2966"/>
      <c r="M16" s="2967">
        <f t="shared" si="1"/>
        <v>1215.04</v>
      </c>
      <c r="N16" s="2967" t="s">
        <v>4514</v>
      </c>
      <c r="O16" s="3052">
        <v>0.6</v>
      </c>
      <c r="P16" s="2966"/>
      <c r="Q16" s="2966"/>
      <c r="R16" s="2966">
        <v>1215.04</v>
      </c>
      <c r="S16" s="2966">
        <v>435.56</v>
      </c>
      <c r="T16" s="2966"/>
      <c r="U16" s="2966">
        <f t="shared" si="0"/>
        <v>779.48</v>
      </c>
    </row>
    <row r="17" spans="1:21">
      <c r="A17" s="2964" t="s">
        <v>3115</v>
      </c>
      <c r="B17" s="2964" t="s">
        <v>3093</v>
      </c>
      <c r="C17" s="2964">
        <v>619.78</v>
      </c>
      <c r="D17" s="2965">
        <v>225.49</v>
      </c>
      <c r="E17" s="2965"/>
      <c r="F17" s="2965">
        <v>345.29</v>
      </c>
      <c r="G17" s="2965">
        <v>49</v>
      </c>
      <c r="H17" s="2965">
        <v>2</v>
      </c>
      <c r="I17" s="2965">
        <v>3</v>
      </c>
      <c r="J17" s="2965">
        <v>1</v>
      </c>
      <c r="K17" s="2965">
        <v>2</v>
      </c>
      <c r="L17" s="2966"/>
      <c r="M17" s="2967">
        <f t="shared" si="1"/>
        <v>622.58000000000004</v>
      </c>
      <c r="N17" s="2967" t="s">
        <v>4514</v>
      </c>
      <c r="O17" s="3052">
        <v>0.6</v>
      </c>
      <c r="P17" s="2966"/>
      <c r="Q17" s="2966"/>
      <c r="R17" s="2966">
        <v>622.58000000000004</v>
      </c>
      <c r="S17" s="2966">
        <v>225.49</v>
      </c>
      <c r="T17" s="2966"/>
      <c r="U17" s="2966">
        <f t="shared" si="0"/>
        <v>397.09000000000003</v>
      </c>
    </row>
    <row r="18" spans="1:21">
      <c r="A18" s="2964" t="s">
        <v>3116</v>
      </c>
      <c r="B18" s="2964" t="s">
        <v>3093</v>
      </c>
      <c r="C18" s="2964">
        <v>927.51</v>
      </c>
      <c r="D18" s="2965">
        <v>337.54</v>
      </c>
      <c r="E18" s="2965"/>
      <c r="F18" s="2965">
        <v>516.47</v>
      </c>
      <c r="G18" s="2965">
        <v>73.5</v>
      </c>
      <c r="H18" s="2965">
        <v>2</v>
      </c>
      <c r="I18" s="2965">
        <v>3</v>
      </c>
      <c r="J18" s="2965">
        <v>1</v>
      </c>
      <c r="K18" s="2965">
        <v>3</v>
      </c>
      <c r="L18" s="2966"/>
      <c r="M18" s="2967">
        <f t="shared" si="1"/>
        <v>935.79</v>
      </c>
      <c r="N18" s="2967" t="s">
        <v>4514</v>
      </c>
      <c r="O18" s="3052">
        <v>0.6</v>
      </c>
      <c r="P18" s="2966"/>
      <c r="Q18" s="2966"/>
      <c r="R18" s="2966">
        <v>935.79</v>
      </c>
      <c r="S18" s="2966">
        <v>337.54</v>
      </c>
      <c r="T18" s="2966"/>
      <c r="U18" s="2966">
        <f t="shared" si="0"/>
        <v>598.25</v>
      </c>
    </row>
    <row r="19" spans="1:21">
      <c r="A19" s="2964" t="s">
        <v>3117</v>
      </c>
      <c r="B19" s="2964" t="s">
        <v>3093</v>
      </c>
      <c r="C19" s="2964">
        <v>1799.5</v>
      </c>
      <c r="D19" s="2965">
        <v>652</v>
      </c>
      <c r="E19" s="2965"/>
      <c r="F19" s="2965">
        <v>1000.5</v>
      </c>
      <c r="G19" s="2965">
        <v>147</v>
      </c>
      <c r="H19" s="2965">
        <v>2</v>
      </c>
      <c r="I19" s="2965">
        <v>3</v>
      </c>
      <c r="J19" s="2965">
        <v>1</v>
      </c>
      <c r="K19" s="2965">
        <v>6</v>
      </c>
      <c r="L19" s="2966"/>
      <c r="M19" s="2967">
        <f t="shared" si="1"/>
        <v>1816.88</v>
      </c>
      <c r="N19" s="2967" t="s">
        <v>4514</v>
      </c>
      <c r="O19" s="3052">
        <v>0.6</v>
      </c>
      <c r="P19" s="2966"/>
      <c r="Q19" s="2966"/>
      <c r="R19" s="2966">
        <v>1816.88</v>
      </c>
      <c r="S19" s="2966">
        <v>652.01</v>
      </c>
      <c r="T19" s="2966"/>
      <c r="U19" s="2966">
        <f t="shared" si="0"/>
        <v>1164.8700000000001</v>
      </c>
    </row>
    <row r="20" spans="1:21">
      <c r="A20" s="2964" t="s">
        <v>3118</v>
      </c>
      <c r="B20" s="2964" t="s">
        <v>3093</v>
      </c>
      <c r="C20" s="2964">
        <v>1202.82</v>
      </c>
      <c r="D20" s="2965">
        <v>435.55</v>
      </c>
      <c r="E20" s="2965"/>
      <c r="F20" s="2965">
        <v>669.27</v>
      </c>
      <c r="G20" s="2965">
        <v>98</v>
      </c>
      <c r="H20" s="2965">
        <v>2</v>
      </c>
      <c r="I20" s="2965">
        <v>3</v>
      </c>
      <c r="J20" s="2965">
        <v>1</v>
      </c>
      <c r="K20" s="2965">
        <v>4</v>
      </c>
      <c r="L20" s="2966"/>
      <c r="M20" s="2967">
        <f t="shared" si="1"/>
        <v>1215.04</v>
      </c>
      <c r="N20" s="2967" t="s">
        <v>4514</v>
      </c>
      <c r="O20" s="3052">
        <v>0.6</v>
      </c>
      <c r="P20" s="2966"/>
      <c r="Q20" s="2966"/>
      <c r="R20" s="2966">
        <v>1215.04</v>
      </c>
      <c r="S20" s="2966">
        <v>435.56</v>
      </c>
      <c r="T20" s="2966"/>
      <c r="U20" s="2966">
        <f t="shared" si="0"/>
        <v>779.48</v>
      </c>
    </row>
    <row r="21" spans="1:21">
      <c r="A21" s="2964" t="s">
        <v>3119</v>
      </c>
      <c r="B21" s="2964" t="s">
        <v>3093</v>
      </c>
      <c r="C21" s="2964">
        <v>1799.5</v>
      </c>
      <c r="D21" s="2965">
        <v>652</v>
      </c>
      <c r="E21" s="2965"/>
      <c r="F21" s="2965">
        <v>1000.5</v>
      </c>
      <c r="G21" s="2965">
        <v>147</v>
      </c>
      <c r="H21" s="2965">
        <v>2</v>
      </c>
      <c r="I21" s="2965">
        <v>3</v>
      </c>
      <c r="J21" s="2965">
        <v>1</v>
      </c>
      <c r="K21" s="2965">
        <v>6</v>
      </c>
      <c r="L21" s="2966"/>
      <c r="M21" s="2967">
        <f t="shared" si="1"/>
        <v>1817.96</v>
      </c>
      <c r="N21" s="2967" t="s">
        <v>4514</v>
      </c>
      <c r="O21" s="3052">
        <v>0.6</v>
      </c>
      <c r="P21" s="2966"/>
      <c r="Q21" s="2966"/>
      <c r="R21" s="2966">
        <v>1817.96</v>
      </c>
      <c r="S21" s="2966">
        <v>652.01</v>
      </c>
      <c r="T21" s="2966"/>
      <c r="U21" s="2966">
        <f t="shared" si="0"/>
        <v>1165.95</v>
      </c>
    </row>
    <row r="22" spans="1:21">
      <c r="A22" s="2964" t="s">
        <v>3120</v>
      </c>
      <c r="B22" s="2964" t="s">
        <v>3093</v>
      </c>
      <c r="C22" s="2964">
        <v>1202.82</v>
      </c>
      <c r="D22" s="2965">
        <v>435.55</v>
      </c>
      <c r="E22" s="2965"/>
      <c r="F22" s="2965">
        <v>669.27</v>
      </c>
      <c r="G22" s="2965">
        <v>98</v>
      </c>
      <c r="H22" s="2965">
        <v>2</v>
      </c>
      <c r="I22" s="2965">
        <v>3</v>
      </c>
      <c r="J22" s="2965">
        <v>1</v>
      </c>
      <c r="K22" s="2965">
        <v>4</v>
      </c>
      <c r="L22" s="2966"/>
      <c r="M22" s="2967">
        <f t="shared" si="1"/>
        <v>1213.4000000000001</v>
      </c>
      <c r="N22" s="2967" t="s">
        <v>4514</v>
      </c>
      <c r="O22" s="3052">
        <v>0.6</v>
      </c>
      <c r="P22" s="2966"/>
      <c r="Q22" s="2966"/>
      <c r="R22" s="2966">
        <v>1213.4000000000001</v>
      </c>
      <c r="S22" s="2966">
        <v>435.56</v>
      </c>
      <c r="T22" s="2966"/>
      <c r="U22" s="2966">
        <f t="shared" si="0"/>
        <v>777.84000000000015</v>
      </c>
    </row>
    <row r="23" spans="1:21">
      <c r="A23" s="2964" t="s">
        <v>3121</v>
      </c>
      <c r="B23" s="2964" t="s">
        <v>3093</v>
      </c>
      <c r="C23" s="2964">
        <v>1202.82</v>
      </c>
      <c r="D23" s="2965">
        <v>435.55</v>
      </c>
      <c r="E23" s="2965"/>
      <c r="F23" s="2965">
        <v>669.27</v>
      </c>
      <c r="G23" s="2965">
        <v>98</v>
      </c>
      <c r="H23" s="2965">
        <v>2</v>
      </c>
      <c r="I23" s="2965">
        <v>3</v>
      </c>
      <c r="J23" s="2965">
        <v>1</v>
      </c>
      <c r="K23" s="2965">
        <v>4</v>
      </c>
      <c r="L23" s="2966"/>
      <c r="M23" s="2967">
        <f t="shared" si="1"/>
        <v>1213.94</v>
      </c>
      <c r="N23" s="2967" t="s">
        <v>4514</v>
      </c>
      <c r="O23" s="3052">
        <v>0.6</v>
      </c>
      <c r="P23" s="2966"/>
      <c r="Q23" s="2966"/>
      <c r="R23" s="2966">
        <v>1213.94</v>
      </c>
      <c r="S23" s="2966">
        <v>435.56</v>
      </c>
      <c r="T23" s="2966"/>
      <c r="U23" s="2966">
        <f t="shared" si="0"/>
        <v>778.38000000000011</v>
      </c>
    </row>
    <row r="24" spans="1:21">
      <c r="A24" s="2964" t="s">
        <v>3122</v>
      </c>
      <c r="B24" s="2964" t="s">
        <v>3093</v>
      </c>
      <c r="C24" s="2964">
        <v>1799.5</v>
      </c>
      <c r="D24" s="2965">
        <v>652</v>
      </c>
      <c r="E24" s="2965"/>
      <c r="F24" s="2965">
        <v>1000.5</v>
      </c>
      <c r="G24" s="2965">
        <v>147</v>
      </c>
      <c r="H24" s="2965">
        <v>2</v>
      </c>
      <c r="I24" s="2965">
        <v>3</v>
      </c>
      <c r="J24" s="2965">
        <v>1</v>
      </c>
      <c r="K24" s="2965">
        <v>6</v>
      </c>
      <c r="L24" s="2966"/>
      <c r="M24" s="2967">
        <f t="shared" si="1"/>
        <v>1817.98</v>
      </c>
      <c r="N24" s="2967" t="s">
        <v>4514</v>
      </c>
      <c r="O24" s="3052">
        <v>0.6</v>
      </c>
      <c r="P24" s="2966"/>
      <c r="Q24" s="2966"/>
      <c r="R24" s="2966">
        <v>1817.98</v>
      </c>
      <c r="S24" s="2966">
        <v>652.01</v>
      </c>
      <c r="T24" s="2966"/>
      <c r="U24" s="2966">
        <f t="shared" si="0"/>
        <v>1165.97</v>
      </c>
    </row>
    <row r="25" spans="1:21" s="2975" customFormat="1">
      <c r="A25" s="2979" t="s">
        <v>3123</v>
      </c>
      <c r="B25" s="2979" t="s">
        <v>3093</v>
      </c>
      <c r="C25" s="2979">
        <v>1799.5</v>
      </c>
      <c r="D25" s="3049">
        <v>652</v>
      </c>
      <c r="E25" s="3049"/>
      <c r="F25" s="3049">
        <v>1000.5</v>
      </c>
      <c r="G25" s="3049">
        <v>147</v>
      </c>
      <c r="H25" s="3049">
        <v>2</v>
      </c>
      <c r="I25" s="3049">
        <v>3</v>
      </c>
      <c r="J25" s="3049">
        <v>1</v>
      </c>
      <c r="K25" s="3049">
        <v>6</v>
      </c>
      <c r="L25" s="3050"/>
      <c r="M25" s="3051">
        <f t="shared" si="1"/>
        <v>1818.18</v>
      </c>
      <c r="N25" s="2967" t="s">
        <v>4514</v>
      </c>
      <c r="O25" s="3052">
        <v>0.6</v>
      </c>
      <c r="P25" s="3050"/>
      <c r="Q25" s="3050"/>
      <c r="R25" s="3050">
        <v>1818.18</v>
      </c>
      <c r="S25" s="3050">
        <v>652.01</v>
      </c>
      <c r="T25" s="3050"/>
      <c r="U25" s="3050">
        <f t="shared" si="0"/>
        <v>1166.17</v>
      </c>
    </row>
    <row r="26" spans="1:21" s="2975" customFormat="1">
      <c r="A26" s="2979" t="s">
        <v>3124</v>
      </c>
      <c r="B26" s="2979" t="s">
        <v>3093</v>
      </c>
      <c r="C26" s="2979">
        <v>1202.82</v>
      </c>
      <c r="D26" s="3049">
        <v>435.55</v>
      </c>
      <c r="E26" s="3049"/>
      <c r="F26" s="3049">
        <v>669.27</v>
      </c>
      <c r="G26" s="3049">
        <v>98</v>
      </c>
      <c r="H26" s="3049">
        <v>2</v>
      </c>
      <c r="I26" s="3049">
        <v>3</v>
      </c>
      <c r="J26" s="3049">
        <v>1</v>
      </c>
      <c r="K26" s="3049">
        <v>4</v>
      </c>
      <c r="L26" s="3050"/>
      <c r="M26" s="3051">
        <f t="shared" si="1"/>
        <v>1213.94</v>
      </c>
      <c r="N26" s="2967" t="s">
        <v>4514</v>
      </c>
      <c r="O26" s="3052">
        <v>0.6</v>
      </c>
      <c r="P26" s="3050"/>
      <c r="Q26" s="3050"/>
      <c r="R26" s="3050">
        <v>1213.94</v>
      </c>
      <c r="S26" s="3050">
        <v>435.56</v>
      </c>
      <c r="T26" s="3050"/>
      <c r="U26" s="3050">
        <f t="shared" si="0"/>
        <v>778.38000000000011</v>
      </c>
    </row>
    <row r="27" spans="1:21" s="2975" customFormat="1">
      <c r="A27" s="2979" t="s">
        <v>3125</v>
      </c>
      <c r="B27" s="2979" t="s">
        <v>3093</v>
      </c>
      <c r="C27" s="2979">
        <v>816.37</v>
      </c>
      <c r="D27" s="3049">
        <v>282.8</v>
      </c>
      <c r="E27" s="3049"/>
      <c r="F27" s="3049">
        <v>484.57</v>
      </c>
      <c r="G27" s="3049">
        <v>49</v>
      </c>
      <c r="H27" s="3049">
        <v>2</v>
      </c>
      <c r="I27" s="3049">
        <v>3</v>
      </c>
      <c r="J27" s="3049">
        <v>1</v>
      </c>
      <c r="K27" s="3049">
        <v>2</v>
      </c>
      <c r="L27" s="3050"/>
      <c r="M27" s="3051">
        <f t="shared" si="1"/>
        <v>817.45</v>
      </c>
      <c r="N27" s="2967" t="s">
        <v>4514</v>
      </c>
      <c r="O27" s="3052">
        <v>0.6</v>
      </c>
      <c r="P27" s="3050"/>
      <c r="Q27" s="3050"/>
      <c r="R27" s="3050">
        <v>817.45</v>
      </c>
      <c r="S27" s="3050">
        <v>282.56</v>
      </c>
      <c r="T27" s="3050"/>
      <c r="U27" s="3050">
        <f t="shared" si="0"/>
        <v>534.8900000000001</v>
      </c>
    </row>
    <row r="28" spans="1:21">
      <c r="A28" s="2964" t="s">
        <v>3126</v>
      </c>
      <c r="B28" s="2964" t="s">
        <v>3093</v>
      </c>
      <c r="C28" s="2964">
        <v>1626.24</v>
      </c>
      <c r="D28" s="2965">
        <v>564.07000000000005</v>
      </c>
      <c r="E28" s="2965"/>
      <c r="F28" s="2965">
        <v>964.17</v>
      </c>
      <c r="G28" s="2965">
        <v>98</v>
      </c>
      <c r="H28" s="2965">
        <v>2</v>
      </c>
      <c r="I28" s="2965">
        <v>3</v>
      </c>
      <c r="J28" s="2965">
        <v>1</v>
      </c>
      <c r="K28" s="2965">
        <v>4</v>
      </c>
      <c r="L28" s="2966"/>
      <c r="M28" s="2967">
        <f t="shared" si="1"/>
        <v>1629.12</v>
      </c>
      <c r="N28" s="2967" t="s">
        <v>4514</v>
      </c>
      <c r="O28" s="3052">
        <v>0.6</v>
      </c>
      <c r="P28" s="2966"/>
      <c r="Q28" s="2966"/>
      <c r="R28" s="2966">
        <v>1629.12</v>
      </c>
      <c r="S28" s="2966">
        <v>563.59</v>
      </c>
      <c r="T28" s="2966"/>
      <c r="U28" s="2966">
        <f t="shared" si="0"/>
        <v>1065.5299999999997</v>
      </c>
    </row>
    <row r="29" spans="1:21">
      <c r="A29" s="2964" t="s">
        <v>3127</v>
      </c>
      <c r="B29" s="2964" t="s">
        <v>3093</v>
      </c>
      <c r="C29" s="2964">
        <v>1799.5</v>
      </c>
      <c r="D29" s="2965">
        <v>652</v>
      </c>
      <c r="E29" s="2965"/>
      <c r="F29" s="2965">
        <v>1000.5</v>
      </c>
      <c r="G29" s="2965">
        <v>147</v>
      </c>
      <c r="H29" s="2965">
        <v>2</v>
      </c>
      <c r="I29" s="2965">
        <v>3</v>
      </c>
      <c r="J29" s="2965">
        <v>1</v>
      </c>
      <c r="K29" s="2965">
        <v>6</v>
      </c>
      <c r="L29" s="2966"/>
      <c r="M29" s="2967">
        <f t="shared" si="1"/>
        <v>1815.68</v>
      </c>
      <c r="N29" s="2967" t="s">
        <v>4514</v>
      </c>
      <c r="O29" s="3052">
        <v>0.6</v>
      </c>
      <c r="P29" s="2966"/>
      <c r="Q29" s="2966"/>
      <c r="R29" s="2966">
        <v>1815.68</v>
      </c>
      <c r="S29" s="2966">
        <v>652.01</v>
      </c>
      <c r="T29" s="2966"/>
      <c r="U29" s="2966">
        <f t="shared" si="0"/>
        <v>1163.67</v>
      </c>
    </row>
    <row r="30" spans="1:21">
      <c r="A30" s="2964" t="s">
        <v>3128</v>
      </c>
      <c r="B30" s="2964" t="s">
        <v>3093</v>
      </c>
      <c r="C30" s="2964">
        <v>1799.5</v>
      </c>
      <c r="D30" s="2965">
        <v>652</v>
      </c>
      <c r="E30" s="2965"/>
      <c r="F30" s="2965">
        <v>1000.5</v>
      </c>
      <c r="G30" s="2965">
        <v>147</v>
      </c>
      <c r="H30" s="2965">
        <v>2</v>
      </c>
      <c r="I30" s="2965">
        <v>3</v>
      </c>
      <c r="J30" s="2965">
        <v>1</v>
      </c>
      <c r="K30" s="2965">
        <v>6</v>
      </c>
      <c r="L30" s="2966"/>
      <c r="M30" s="2967">
        <f t="shared" si="1"/>
        <v>1816.88</v>
      </c>
      <c r="N30" s="2967" t="s">
        <v>4514</v>
      </c>
      <c r="O30" s="3052">
        <v>0.6</v>
      </c>
      <c r="P30" s="2966"/>
      <c r="Q30" s="2966"/>
      <c r="R30" s="2966">
        <v>1816.88</v>
      </c>
      <c r="S30" s="2966">
        <v>652.01</v>
      </c>
      <c r="T30" s="2966"/>
      <c r="U30" s="2966">
        <f t="shared" si="0"/>
        <v>1164.8700000000001</v>
      </c>
    </row>
    <row r="31" spans="1:21">
      <c r="A31" s="2964" t="s">
        <v>3129</v>
      </c>
      <c r="B31" s="2964" t="s">
        <v>3093</v>
      </c>
      <c r="C31" s="2964">
        <v>922.90000000000009</v>
      </c>
      <c r="D31" s="2965">
        <v>337.54</v>
      </c>
      <c r="E31" s="2965"/>
      <c r="F31" s="2965">
        <v>511.86</v>
      </c>
      <c r="G31" s="2965">
        <v>73.5</v>
      </c>
      <c r="H31" s="2965">
        <v>2</v>
      </c>
      <c r="I31" s="2965">
        <v>3</v>
      </c>
      <c r="J31" s="2965">
        <v>1</v>
      </c>
      <c r="K31" s="2965">
        <v>3</v>
      </c>
      <c r="L31" s="2966"/>
      <c r="M31" s="2967">
        <f t="shared" si="1"/>
        <v>931.22</v>
      </c>
      <c r="N31" s="2967" t="s">
        <v>4514</v>
      </c>
      <c r="O31" s="3052">
        <v>0.6</v>
      </c>
      <c r="P31" s="2966"/>
      <c r="Q31" s="2966"/>
      <c r="R31" s="2966">
        <v>931.22</v>
      </c>
      <c r="S31" s="2966">
        <v>337.54</v>
      </c>
      <c r="T31" s="2966"/>
      <c r="U31" s="2966">
        <f t="shared" si="0"/>
        <v>593.68000000000006</v>
      </c>
    </row>
    <row r="32" spans="1:21">
      <c r="A32" s="2964" t="s">
        <v>3130</v>
      </c>
      <c r="B32" s="2964" t="s">
        <v>3093</v>
      </c>
      <c r="C32" s="2964">
        <v>922.90000000000009</v>
      </c>
      <c r="D32" s="2965">
        <v>337.54</v>
      </c>
      <c r="E32" s="2965"/>
      <c r="F32" s="2965">
        <v>511.86</v>
      </c>
      <c r="G32" s="2965">
        <v>73.5</v>
      </c>
      <c r="H32" s="2965">
        <v>2</v>
      </c>
      <c r="I32" s="2965">
        <v>3</v>
      </c>
      <c r="J32" s="2965">
        <v>1</v>
      </c>
      <c r="K32" s="2965">
        <v>3</v>
      </c>
      <c r="L32" s="2966"/>
      <c r="M32" s="2967">
        <f t="shared" si="1"/>
        <v>930.61</v>
      </c>
      <c r="N32" s="2967" t="s">
        <v>4514</v>
      </c>
      <c r="O32" s="3052">
        <v>0.6</v>
      </c>
      <c r="P32" s="2966"/>
      <c r="Q32" s="2966"/>
      <c r="R32" s="2966">
        <v>930.61</v>
      </c>
      <c r="S32" s="2966">
        <v>337.54</v>
      </c>
      <c r="T32" s="2966"/>
      <c r="U32" s="2966">
        <f t="shared" si="0"/>
        <v>593.06999999999994</v>
      </c>
    </row>
    <row r="33" spans="1:21">
      <c r="A33" s="2964" t="s">
        <v>3131</v>
      </c>
      <c r="B33" s="2964" t="s">
        <v>3093</v>
      </c>
      <c r="C33" s="2964">
        <v>1799.5</v>
      </c>
      <c r="D33" s="2965">
        <v>652</v>
      </c>
      <c r="E33" s="2965"/>
      <c r="F33" s="2965">
        <v>1000.5</v>
      </c>
      <c r="G33" s="2965">
        <v>147</v>
      </c>
      <c r="H33" s="2965">
        <v>2</v>
      </c>
      <c r="I33" s="2965">
        <v>3</v>
      </c>
      <c r="J33" s="2965">
        <v>1</v>
      </c>
      <c r="K33" s="2965">
        <v>6</v>
      </c>
      <c r="L33" s="2966"/>
      <c r="M33" s="2967">
        <f t="shared" si="1"/>
        <v>1816.88</v>
      </c>
      <c r="N33" s="2967" t="s">
        <v>4514</v>
      </c>
      <c r="O33" s="3052">
        <v>0.6</v>
      </c>
      <c r="P33" s="2966"/>
      <c r="Q33" s="2966"/>
      <c r="R33" s="2966">
        <v>1816.88</v>
      </c>
      <c r="S33" s="2966">
        <v>652.01</v>
      </c>
      <c r="T33" s="2966"/>
      <c r="U33" s="2966">
        <f t="shared" si="0"/>
        <v>1164.8700000000001</v>
      </c>
    </row>
    <row r="34" spans="1:21">
      <c r="A34" s="2964" t="s">
        <v>3132</v>
      </c>
      <c r="B34" s="2964" t="s">
        <v>3093</v>
      </c>
      <c r="C34" s="2964">
        <v>1799.5</v>
      </c>
      <c r="D34" s="2965">
        <v>652</v>
      </c>
      <c r="E34" s="2965"/>
      <c r="F34" s="2965">
        <v>1000.5</v>
      </c>
      <c r="G34" s="2965">
        <v>147</v>
      </c>
      <c r="H34" s="2965">
        <v>2</v>
      </c>
      <c r="I34" s="2965">
        <v>3</v>
      </c>
      <c r="J34" s="2965">
        <v>1</v>
      </c>
      <c r="K34" s="2965">
        <v>6</v>
      </c>
      <c r="L34" s="2966"/>
      <c r="M34" s="2967">
        <f t="shared" si="1"/>
        <v>1816.32</v>
      </c>
      <c r="N34" s="2967" t="s">
        <v>4514</v>
      </c>
      <c r="O34" s="3052">
        <v>0.6</v>
      </c>
      <c r="P34" s="2966"/>
      <c r="Q34" s="2966"/>
      <c r="R34" s="2966">
        <v>1816.32</v>
      </c>
      <c r="S34" s="2966">
        <v>652.01</v>
      </c>
      <c r="T34" s="2966"/>
      <c r="U34" s="2966">
        <f t="shared" si="0"/>
        <v>1164.31</v>
      </c>
    </row>
    <row r="35" spans="1:21">
      <c r="A35" s="2964" t="s">
        <v>3133</v>
      </c>
      <c r="B35" s="2964" t="s">
        <v>3093</v>
      </c>
      <c r="C35" s="2964">
        <v>1799.5</v>
      </c>
      <c r="D35" s="2965">
        <v>652</v>
      </c>
      <c r="E35" s="2965"/>
      <c r="F35" s="2965">
        <v>1000.5</v>
      </c>
      <c r="G35" s="2965">
        <v>147</v>
      </c>
      <c r="H35" s="2965">
        <v>2</v>
      </c>
      <c r="I35" s="2965">
        <v>3</v>
      </c>
      <c r="J35" s="2965">
        <v>1</v>
      </c>
      <c r="K35" s="2965">
        <v>6</v>
      </c>
      <c r="L35" s="2966"/>
      <c r="M35" s="2967">
        <f t="shared" si="1"/>
        <v>1816.04</v>
      </c>
      <c r="N35" s="2967" t="s">
        <v>4514</v>
      </c>
      <c r="O35" s="3052">
        <v>0.6</v>
      </c>
      <c r="P35" s="2966"/>
      <c r="Q35" s="2966"/>
      <c r="R35" s="2966">
        <v>1816.04</v>
      </c>
      <c r="S35" s="2966">
        <v>652.01</v>
      </c>
      <c r="T35" s="2966"/>
      <c r="U35" s="2966">
        <f t="shared" si="0"/>
        <v>1164.03</v>
      </c>
    </row>
    <row r="36" spans="1:21">
      <c r="A36" s="2964" t="s">
        <v>3134</v>
      </c>
      <c r="B36" s="2964" t="s">
        <v>3093</v>
      </c>
      <c r="C36" s="2964">
        <v>1511.08</v>
      </c>
      <c r="D36" s="2965">
        <v>547.6</v>
      </c>
      <c r="E36" s="2965"/>
      <c r="F36" s="2965">
        <v>840.98</v>
      </c>
      <c r="G36" s="2965">
        <v>122.5</v>
      </c>
      <c r="H36" s="2965">
        <v>2</v>
      </c>
      <c r="I36" s="2965">
        <v>3</v>
      </c>
      <c r="J36" s="2965">
        <v>1</v>
      </c>
      <c r="K36" s="2965">
        <v>5</v>
      </c>
      <c r="L36" s="2966"/>
      <c r="M36" s="2967">
        <f t="shared" si="1"/>
        <v>1525.08</v>
      </c>
      <c r="N36" s="2967" t="s">
        <v>4514</v>
      </c>
      <c r="O36" s="3052">
        <v>0.6</v>
      </c>
      <c r="P36" s="2966"/>
      <c r="Q36" s="2966"/>
      <c r="R36" s="2966">
        <v>1525.08</v>
      </c>
      <c r="S36" s="2966">
        <v>547.61</v>
      </c>
      <c r="T36" s="2966"/>
      <c r="U36" s="2966">
        <f t="shared" si="0"/>
        <v>977.46999999999991</v>
      </c>
    </row>
    <row r="37" spans="1:21">
      <c r="A37" s="2964" t="s">
        <v>3135</v>
      </c>
      <c r="B37" s="2964" t="s">
        <v>3093</v>
      </c>
      <c r="C37" s="2964">
        <v>1509.47</v>
      </c>
      <c r="D37" s="2965">
        <v>547.6</v>
      </c>
      <c r="E37" s="2965"/>
      <c r="F37" s="2965">
        <v>839.37</v>
      </c>
      <c r="G37" s="2965">
        <v>122.5</v>
      </c>
      <c r="H37" s="2965">
        <v>2</v>
      </c>
      <c r="I37" s="2965">
        <v>3</v>
      </c>
      <c r="J37" s="2965">
        <v>1</v>
      </c>
      <c r="K37" s="2965">
        <v>5</v>
      </c>
      <c r="L37" s="2966"/>
      <c r="M37" s="2967">
        <f t="shared" si="1"/>
        <v>1523.29</v>
      </c>
      <c r="N37" s="2967" t="s">
        <v>4514</v>
      </c>
      <c r="O37" s="3052">
        <v>0.6</v>
      </c>
      <c r="P37" s="2966"/>
      <c r="Q37" s="2966"/>
      <c r="R37" s="2966">
        <v>1523.29</v>
      </c>
      <c r="S37" s="2966">
        <v>547.61</v>
      </c>
      <c r="T37" s="2966"/>
      <c r="U37" s="2966">
        <f t="shared" si="0"/>
        <v>975.68</v>
      </c>
    </row>
    <row r="38" spans="1:21">
      <c r="A38" s="2964" t="s">
        <v>3136</v>
      </c>
      <c r="B38" s="2964" t="s">
        <v>3093</v>
      </c>
      <c r="C38" s="2964">
        <v>1799.5</v>
      </c>
      <c r="D38" s="2965">
        <v>652</v>
      </c>
      <c r="E38" s="2965"/>
      <c r="F38" s="2965">
        <v>1000.5</v>
      </c>
      <c r="G38" s="2965">
        <v>147</v>
      </c>
      <c r="H38" s="2965">
        <v>2</v>
      </c>
      <c r="I38" s="2965">
        <v>3</v>
      </c>
      <c r="J38" s="2965">
        <v>1</v>
      </c>
      <c r="K38" s="2965">
        <v>6</v>
      </c>
      <c r="L38" s="2966"/>
      <c r="M38" s="2967">
        <f t="shared" si="1"/>
        <v>1815.68</v>
      </c>
      <c r="N38" s="2967" t="s">
        <v>4514</v>
      </c>
      <c r="O38" s="3052">
        <v>0.6</v>
      </c>
      <c r="P38" s="2966"/>
      <c r="Q38" s="2966"/>
      <c r="R38" s="2966">
        <v>1815.68</v>
      </c>
      <c r="S38" s="2966">
        <v>652.01</v>
      </c>
      <c r="T38" s="2966"/>
      <c r="U38" s="2966">
        <f t="shared" si="0"/>
        <v>1163.67</v>
      </c>
    </row>
    <row r="39" spans="1:21">
      <c r="A39" s="2964" t="s">
        <v>3137</v>
      </c>
      <c r="B39" s="2964" t="s">
        <v>3093</v>
      </c>
      <c r="C39" s="2964">
        <v>1799.5</v>
      </c>
      <c r="D39" s="2965">
        <v>652</v>
      </c>
      <c r="E39" s="2965"/>
      <c r="F39" s="2965">
        <v>1000.5</v>
      </c>
      <c r="G39" s="2965">
        <v>147</v>
      </c>
      <c r="H39" s="2965">
        <v>2</v>
      </c>
      <c r="I39" s="2965">
        <v>3</v>
      </c>
      <c r="J39" s="2965">
        <v>1</v>
      </c>
      <c r="K39" s="2965">
        <v>6</v>
      </c>
      <c r="L39" s="2966"/>
      <c r="M39" s="2967">
        <f t="shared" si="1"/>
        <v>1815.68</v>
      </c>
      <c r="N39" s="2967" t="s">
        <v>4514</v>
      </c>
      <c r="O39" s="3052">
        <v>0.6</v>
      </c>
      <c r="P39" s="2966"/>
      <c r="Q39" s="2966"/>
      <c r="R39" s="2966">
        <v>1815.68</v>
      </c>
      <c r="S39" s="2966">
        <v>652.01</v>
      </c>
      <c r="T39" s="2966"/>
      <c r="U39" s="2966">
        <f t="shared" si="0"/>
        <v>1163.67</v>
      </c>
    </row>
    <row r="40" spans="1:21">
      <c r="A40" s="2964" t="s">
        <v>3138</v>
      </c>
      <c r="B40" s="2964" t="s">
        <v>3093</v>
      </c>
      <c r="C40" s="2964">
        <v>1799.5</v>
      </c>
      <c r="D40" s="2965">
        <v>652</v>
      </c>
      <c r="E40" s="2965"/>
      <c r="F40" s="2965">
        <v>1000.5</v>
      </c>
      <c r="G40" s="2965">
        <v>147</v>
      </c>
      <c r="H40" s="2965">
        <v>2</v>
      </c>
      <c r="I40" s="2965">
        <v>3</v>
      </c>
      <c r="J40" s="2965">
        <v>1</v>
      </c>
      <c r="K40" s="2965">
        <v>6</v>
      </c>
      <c r="L40" s="2966"/>
      <c r="M40" s="2967">
        <f t="shared" si="1"/>
        <v>1817.52</v>
      </c>
      <c r="N40" s="2967" t="s">
        <v>4514</v>
      </c>
      <c r="O40" s="3052">
        <v>0.6</v>
      </c>
      <c r="P40" s="2966"/>
      <c r="Q40" s="2966"/>
      <c r="R40" s="2966">
        <v>1817.52</v>
      </c>
      <c r="S40" s="2966">
        <v>652.01</v>
      </c>
      <c r="T40" s="2966"/>
      <c r="U40" s="2966">
        <f t="shared" si="0"/>
        <v>1165.51</v>
      </c>
    </row>
    <row r="41" spans="1:21">
      <c r="A41" s="2964" t="s">
        <v>3139</v>
      </c>
      <c r="B41" s="2964" t="s">
        <v>3093</v>
      </c>
      <c r="C41" s="2964">
        <v>1510.45</v>
      </c>
      <c r="D41" s="2965">
        <v>547.6</v>
      </c>
      <c r="E41" s="2965"/>
      <c r="F41" s="2965">
        <v>840.35</v>
      </c>
      <c r="G41" s="2965">
        <v>122.5</v>
      </c>
      <c r="H41" s="2965">
        <v>2</v>
      </c>
      <c r="I41" s="2965">
        <v>3</v>
      </c>
      <c r="J41" s="2965">
        <v>1</v>
      </c>
      <c r="K41" s="2965">
        <v>5</v>
      </c>
      <c r="L41" s="2966"/>
      <c r="M41" s="2967">
        <f t="shared" si="1"/>
        <v>1524.39</v>
      </c>
      <c r="N41" s="2967" t="s">
        <v>4514</v>
      </c>
      <c r="O41" s="3052">
        <v>0.6</v>
      </c>
      <c r="P41" s="2966"/>
      <c r="Q41" s="2966"/>
      <c r="R41" s="2966">
        <v>1524.39</v>
      </c>
      <c r="S41" s="2966">
        <v>547.61</v>
      </c>
      <c r="T41" s="2966"/>
      <c r="U41" s="2966">
        <f t="shared" si="0"/>
        <v>976.78000000000009</v>
      </c>
    </row>
    <row r="42" spans="1:21">
      <c r="A42" s="2964" t="s">
        <v>3140</v>
      </c>
      <c r="B42" s="2964" t="s">
        <v>3093</v>
      </c>
      <c r="C42" s="2964">
        <v>1799.5</v>
      </c>
      <c r="D42" s="2965">
        <v>652</v>
      </c>
      <c r="E42" s="2965"/>
      <c r="F42" s="2965">
        <v>1000.5</v>
      </c>
      <c r="G42" s="2965">
        <v>147</v>
      </c>
      <c r="H42" s="2965">
        <v>2</v>
      </c>
      <c r="I42" s="2965">
        <v>3</v>
      </c>
      <c r="J42" s="2965">
        <v>1</v>
      </c>
      <c r="K42" s="2965">
        <v>6</v>
      </c>
      <c r="L42" s="2966"/>
      <c r="M42" s="2967">
        <f t="shared" si="1"/>
        <v>1816.32</v>
      </c>
      <c r="N42" s="2967" t="s">
        <v>4514</v>
      </c>
      <c r="O42" s="3052">
        <v>0.6</v>
      </c>
      <c r="P42" s="2966"/>
      <c r="Q42" s="2966"/>
      <c r="R42" s="2966">
        <v>1816.32</v>
      </c>
      <c r="S42" s="2966">
        <v>652.01</v>
      </c>
      <c r="T42" s="2966"/>
      <c r="U42" s="2966">
        <f t="shared" si="0"/>
        <v>1164.31</v>
      </c>
    </row>
    <row r="43" spans="1:21">
      <c r="A43" s="2964" t="s">
        <v>3141</v>
      </c>
      <c r="B43" s="2964" t="s">
        <v>3093</v>
      </c>
      <c r="C43" s="2964">
        <v>1799.5</v>
      </c>
      <c r="D43" s="2965">
        <v>652</v>
      </c>
      <c r="E43" s="2965"/>
      <c r="F43" s="2965">
        <v>1000.5</v>
      </c>
      <c r="G43" s="2965">
        <v>147</v>
      </c>
      <c r="H43" s="2965">
        <v>2</v>
      </c>
      <c r="I43" s="2965">
        <v>3</v>
      </c>
      <c r="J43" s="2965">
        <v>1</v>
      </c>
      <c r="K43" s="2965">
        <v>6</v>
      </c>
      <c r="L43" s="2966"/>
      <c r="M43" s="2967">
        <f t="shared" si="1"/>
        <v>1816.32</v>
      </c>
      <c r="N43" s="2967" t="s">
        <v>4514</v>
      </c>
      <c r="O43" s="3052">
        <v>0.6</v>
      </c>
      <c r="P43" s="2966"/>
      <c r="Q43" s="2966"/>
      <c r="R43" s="2966">
        <v>1816.32</v>
      </c>
      <c r="S43" s="2966">
        <v>652.01</v>
      </c>
      <c r="T43" s="2966"/>
      <c r="U43" s="2966">
        <f t="shared" si="0"/>
        <v>1164.31</v>
      </c>
    </row>
    <row r="44" spans="1:21">
      <c r="A44" s="2964" t="s">
        <v>3142</v>
      </c>
      <c r="B44" s="2964" t="s">
        <v>3093</v>
      </c>
      <c r="C44" s="2964">
        <v>1799.5</v>
      </c>
      <c r="D44" s="2965">
        <v>652</v>
      </c>
      <c r="E44" s="2965"/>
      <c r="F44" s="2965">
        <v>1000.5</v>
      </c>
      <c r="G44" s="2965">
        <v>147</v>
      </c>
      <c r="H44" s="2965">
        <v>2</v>
      </c>
      <c r="I44" s="2965">
        <v>3</v>
      </c>
      <c r="J44" s="2965">
        <v>1</v>
      </c>
      <c r="K44" s="2965">
        <v>6</v>
      </c>
      <c r="L44" s="2966"/>
      <c r="M44" s="2967">
        <f t="shared" si="1"/>
        <v>1816.88</v>
      </c>
      <c r="N44" s="2967" t="s">
        <v>4514</v>
      </c>
      <c r="O44" s="3052">
        <v>0.6</v>
      </c>
      <c r="P44" s="2966"/>
      <c r="Q44" s="2966"/>
      <c r="R44" s="2966">
        <v>1816.88</v>
      </c>
      <c r="S44" s="2966">
        <v>652.01</v>
      </c>
      <c r="T44" s="2966"/>
      <c r="U44" s="2966">
        <f t="shared" si="0"/>
        <v>1164.8700000000001</v>
      </c>
    </row>
    <row r="45" spans="1:21">
      <c r="A45" s="2964" t="s">
        <v>3143</v>
      </c>
      <c r="B45" s="2964" t="s">
        <v>3093</v>
      </c>
      <c r="C45" s="2964">
        <v>1799.5</v>
      </c>
      <c r="D45" s="2965">
        <v>652</v>
      </c>
      <c r="E45" s="2965"/>
      <c r="F45" s="2965">
        <v>1000.5</v>
      </c>
      <c r="G45" s="2965">
        <v>147</v>
      </c>
      <c r="H45" s="2965">
        <v>2</v>
      </c>
      <c r="I45" s="2965">
        <v>3</v>
      </c>
      <c r="J45" s="2965">
        <v>1</v>
      </c>
      <c r="K45" s="2965">
        <v>6</v>
      </c>
      <c r="L45" s="2966"/>
      <c r="M45" s="2967">
        <f t="shared" si="1"/>
        <v>1816.88</v>
      </c>
      <c r="N45" s="2967" t="s">
        <v>4514</v>
      </c>
      <c r="O45" s="3052">
        <v>0.6</v>
      </c>
      <c r="P45" s="2966"/>
      <c r="Q45" s="2966"/>
      <c r="R45" s="2966">
        <v>1816.88</v>
      </c>
      <c r="S45" s="2966">
        <v>652.01</v>
      </c>
      <c r="T45" s="2966"/>
      <c r="U45" s="2966">
        <f t="shared" si="0"/>
        <v>1164.8700000000001</v>
      </c>
    </row>
    <row r="46" spans="1:21">
      <c r="A46" s="2964" t="s">
        <v>3144</v>
      </c>
      <c r="B46" s="2964" t="s">
        <v>3093</v>
      </c>
      <c r="C46" s="2964">
        <v>1799.5</v>
      </c>
      <c r="D46" s="2965">
        <v>652</v>
      </c>
      <c r="E46" s="2965"/>
      <c r="F46" s="2965">
        <v>1000.5</v>
      </c>
      <c r="G46" s="2965">
        <v>147</v>
      </c>
      <c r="H46" s="2965">
        <v>2</v>
      </c>
      <c r="I46" s="2965">
        <v>3</v>
      </c>
      <c r="J46" s="2965">
        <v>1</v>
      </c>
      <c r="K46" s="2965">
        <v>6</v>
      </c>
      <c r="L46" s="2966"/>
      <c r="M46" s="2967">
        <f t="shared" si="1"/>
        <v>1815.68</v>
      </c>
      <c r="N46" s="2967" t="s">
        <v>4514</v>
      </c>
      <c r="O46" s="3052">
        <v>0.6</v>
      </c>
      <c r="P46" s="2966"/>
      <c r="Q46" s="2966"/>
      <c r="R46" s="2966">
        <v>1815.68</v>
      </c>
      <c r="S46" s="2966">
        <v>652.01</v>
      </c>
      <c r="T46" s="2966"/>
      <c r="U46" s="2966">
        <f t="shared" si="0"/>
        <v>1163.67</v>
      </c>
    </row>
    <row r="47" spans="1:21">
      <c r="A47" s="2964" t="s">
        <v>3145</v>
      </c>
      <c r="B47" s="2964" t="s">
        <v>3093</v>
      </c>
      <c r="C47" s="2964">
        <v>1202.82</v>
      </c>
      <c r="D47" s="2965">
        <v>435.55</v>
      </c>
      <c r="E47" s="2965"/>
      <c r="F47" s="2965">
        <v>669.27</v>
      </c>
      <c r="G47" s="2965">
        <v>98</v>
      </c>
      <c r="H47" s="2965">
        <v>2</v>
      </c>
      <c r="I47" s="2965">
        <v>3</v>
      </c>
      <c r="J47" s="2965">
        <v>1</v>
      </c>
      <c r="K47" s="2965">
        <v>4</v>
      </c>
      <c r="L47" s="2966"/>
      <c r="M47" s="2967">
        <f t="shared" si="1"/>
        <v>1213.4000000000001</v>
      </c>
      <c r="N47" s="2967" t="s">
        <v>4514</v>
      </c>
      <c r="O47" s="3052">
        <v>0.6</v>
      </c>
      <c r="P47" s="2966"/>
      <c r="Q47" s="2966"/>
      <c r="R47" s="2966">
        <v>1213.4000000000001</v>
      </c>
      <c r="S47" s="2966">
        <v>435.56</v>
      </c>
      <c r="T47" s="2966"/>
      <c r="U47" s="2966">
        <f t="shared" si="0"/>
        <v>777.84000000000015</v>
      </c>
    </row>
    <row r="48" spans="1:21">
      <c r="A48" s="2964" t="s">
        <v>3146</v>
      </c>
      <c r="B48" s="2964" t="s">
        <v>3093</v>
      </c>
      <c r="C48" s="2964">
        <v>1229.8400000000001</v>
      </c>
      <c r="D48" s="2965">
        <v>449.6</v>
      </c>
      <c r="E48" s="2965"/>
      <c r="F48" s="2965">
        <v>682.24</v>
      </c>
      <c r="G48" s="2965">
        <v>98</v>
      </c>
      <c r="H48" s="2965">
        <v>2</v>
      </c>
      <c r="I48" s="2965">
        <v>3</v>
      </c>
      <c r="J48" s="2965">
        <v>1</v>
      </c>
      <c r="K48" s="2965">
        <v>4</v>
      </c>
      <c r="L48" s="2966"/>
      <c r="M48" s="2967">
        <f t="shared" si="1"/>
        <v>1240.74</v>
      </c>
      <c r="N48" s="2967" t="s">
        <v>4514</v>
      </c>
      <c r="O48" s="3052">
        <v>0.6</v>
      </c>
      <c r="P48" s="2966"/>
      <c r="Q48" s="2966"/>
      <c r="R48" s="2966">
        <v>1240.74</v>
      </c>
      <c r="S48" s="2966">
        <v>449.59</v>
      </c>
      <c r="T48" s="2966"/>
      <c r="U48" s="2966">
        <f t="shared" si="0"/>
        <v>791.15000000000009</v>
      </c>
    </row>
    <row r="49" spans="1:21">
      <c r="A49" s="2964" t="s">
        <v>3147</v>
      </c>
      <c r="B49" s="2964" t="s">
        <v>3093</v>
      </c>
      <c r="C49" s="2964">
        <v>1799.5</v>
      </c>
      <c r="D49" s="2965">
        <v>652</v>
      </c>
      <c r="E49" s="2965"/>
      <c r="F49" s="2965">
        <v>1000.5</v>
      </c>
      <c r="G49" s="2965">
        <v>147</v>
      </c>
      <c r="H49" s="2965">
        <v>2</v>
      </c>
      <c r="I49" s="2965">
        <v>3</v>
      </c>
      <c r="J49" s="2965">
        <v>1</v>
      </c>
      <c r="K49" s="2965">
        <v>6</v>
      </c>
      <c r="L49" s="2966"/>
      <c r="M49" s="2967">
        <f t="shared" si="1"/>
        <v>1816.32</v>
      </c>
      <c r="N49" s="2967" t="s">
        <v>4514</v>
      </c>
      <c r="O49" s="3052">
        <v>0.6</v>
      </c>
      <c r="P49" s="2966"/>
      <c r="Q49" s="2966"/>
      <c r="R49" s="2966">
        <v>1816.32</v>
      </c>
      <c r="S49" s="2966">
        <v>652.01</v>
      </c>
      <c r="T49" s="2966"/>
      <c r="U49" s="2966">
        <f t="shared" si="0"/>
        <v>1164.31</v>
      </c>
    </row>
    <row r="50" spans="1:21">
      <c r="A50" s="2964" t="s">
        <v>3148</v>
      </c>
      <c r="B50" s="2964" t="s">
        <v>3093</v>
      </c>
      <c r="C50" s="2964">
        <v>1229.8400000000001</v>
      </c>
      <c r="D50" s="2965">
        <v>449.6</v>
      </c>
      <c r="E50" s="2965"/>
      <c r="F50" s="2965">
        <v>682.24</v>
      </c>
      <c r="G50" s="2965">
        <v>98</v>
      </c>
      <c r="H50" s="2965">
        <v>2</v>
      </c>
      <c r="I50" s="2965">
        <v>3</v>
      </c>
      <c r="J50" s="2965">
        <v>1</v>
      </c>
      <c r="K50" s="2965">
        <v>4</v>
      </c>
      <c r="L50" s="2966"/>
      <c r="M50" s="2967">
        <f t="shared" si="1"/>
        <v>1240.81</v>
      </c>
      <c r="N50" s="2967" t="s">
        <v>4514</v>
      </c>
      <c r="O50" s="3052">
        <v>0.6</v>
      </c>
      <c r="P50" s="2966"/>
      <c r="Q50" s="2966"/>
      <c r="R50" s="2966">
        <v>1240.81</v>
      </c>
      <c r="S50" s="2966">
        <v>449.59</v>
      </c>
      <c r="T50" s="2966"/>
      <c r="U50" s="2966">
        <f t="shared" si="0"/>
        <v>791.22</v>
      </c>
    </row>
    <row r="51" spans="1:21">
      <c r="A51" s="2964" t="s">
        <v>3149</v>
      </c>
      <c r="B51" s="2964" t="s">
        <v>3093</v>
      </c>
      <c r="C51" s="2964">
        <v>2397.12</v>
      </c>
      <c r="D51" s="2965">
        <v>868.45</v>
      </c>
      <c r="E51" s="2965"/>
      <c r="F51" s="2965">
        <v>1332.67</v>
      </c>
      <c r="G51" s="2965">
        <v>196</v>
      </c>
      <c r="H51" s="2965">
        <v>2</v>
      </c>
      <c r="I51" s="2965">
        <v>3</v>
      </c>
      <c r="J51" s="2965">
        <v>1</v>
      </c>
      <c r="K51" s="2965">
        <v>8</v>
      </c>
      <c r="L51" s="2966"/>
      <c r="M51" s="2967">
        <f t="shared" si="1"/>
        <v>2418.6799999999998</v>
      </c>
      <c r="N51" s="2967" t="s">
        <v>4514</v>
      </c>
      <c r="O51" s="3052">
        <v>0.6</v>
      </c>
      <c r="P51" s="2966"/>
      <c r="Q51" s="2966"/>
      <c r="R51" s="2966">
        <v>2418.6799999999998</v>
      </c>
      <c r="S51" s="2966">
        <v>868.47</v>
      </c>
      <c r="T51" s="2966"/>
      <c r="U51" s="2966">
        <f t="shared" si="0"/>
        <v>1550.2099999999998</v>
      </c>
    </row>
    <row r="52" spans="1:21" s="2975" customFormat="1">
      <c r="A52" s="2979" t="s">
        <v>3150</v>
      </c>
      <c r="B52" s="2979" t="s">
        <v>3093</v>
      </c>
      <c r="C52" s="2979">
        <v>1799.5</v>
      </c>
      <c r="D52" s="3049">
        <v>652</v>
      </c>
      <c r="E52" s="3049"/>
      <c r="F52" s="3049">
        <v>1000.5</v>
      </c>
      <c r="G52" s="3049">
        <v>147</v>
      </c>
      <c r="H52" s="3049">
        <v>2</v>
      </c>
      <c r="I52" s="3049">
        <v>3</v>
      </c>
      <c r="J52" s="3049">
        <v>1</v>
      </c>
      <c r="K52" s="3049">
        <v>6</v>
      </c>
      <c r="L52" s="3050"/>
      <c r="M52" s="3051">
        <f t="shared" si="1"/>
        <v>1815.68</v>
      </c>
      <c r="N52" s="3051" t="s">
        <v>4514</v>
      </c>
      <c r="O52" s="3052">
        <v>0.6</v>
      </c>
      <c r="P52" s="3050"/>
      <c r="Q52" s="3050"/>
      <c r="R52" s="3050">
        <v>1815.68</v>
      </c>
      <c r="S52" s="3050">
        <v>652.01</v>
      </c>
      <c r="T52" s="3050"/>
      <c r="U52" s="3050">
        <f t="shared" si="0"/>
        <v>1163.67</v>
      </c>
    </row>
    <row r="53" spans="1:21" s="2975" customFormat="1">
      <c r="A53" s="2979" t="s">
        <v>3151</v>
      </c>
      <c r="B53" s="2979" t="s">
        <v>3093</v>
      </c>
      <c r="C53" s="2979">
        <v>1799.5</v>
      </c>
      <c r="D53" s="3049">
        <v>652</v>
      </c>
      <c r="E53" s="3049"/>
      <c r="F53" s="3049">
        <v>1000.5</v>
      </c>
      <c r="G53" s="3049">
        <v>147</v>
      </c>
      <c r="H53" s="3049">
        <v>2</v>
      </c>
      <c r="I53" s="3049">
        <v>3</v>
      </c>
      <c r="J53" s="3049">
        <v>1</v>
      </c>
      <c r="K53" s="3049">
        <v>6</v>
      </c>
      <c r="L53" s="3050"/>
      <c r="M53" s="3051">
        <f t="shared" si="1"/>
        <v>1815.68</v>
      </c>
      <c r="N53" s="3051" t="s">
        <v>4514</v>
      </c>
      <c r="O53" s="3052">
        <v>0.6</v>
      </c>
      <c r="P53" s="3050"/>
      <c r="Q53" s="3050"/>
      <c r="R53" s="3050">
        <v>1815.68</v>
      </c>
      <c r="S53" s="3050">
        <v>652.01</v>
      </c>
      <c r="T53" s="3050"/>
      <c r="U53" s="3050">
        <f t="shared" si="0"/>
        <v>1163.67</v>
      </c>
    </row>
    <row r="54" spans="1:21">
      <c r="A54" s="2964" t="s">
        <v>3152</v>
      </c>
      <c r="B54" s="2964" t="s">
        <v>3093</v>
      </c>
      <c r="C54" s="2964">
        <v>2397.12</v>
      </c>
      <c r="D54" s="2965">
        <v>868.45</v>
      </c>
      <c r="E54" s="2965"/>
      <c r="F54" s="2965">
        <v>1332.67</v>
      </c>
      <c r="G54" s="2965">
        <v>196</v>
      </c>
      <c r="H54" s="2965">
        <v>2</v>
      </c>
      <c r="I54" s="2965">
        <v>3</v>
      </c>
      <c r="J54" s="2965">
        <v>1</v>
      </c>
      <c r="K54" s="2965">
        <v>8</v>
      </c>
      <c r="L54" s="2966"/>
      <c r="M54" s="2967">
        <f t="shared" si="1"/>
        <v>2419.2399999999998</v>
      </c>
      <c r="N54" s="2967" t="s">
        <v>4514</v>
      </c>
      <c r="O54" s="3052">
        <v>0.6</v>
      </c>
      <c r="P54" s="2966"/>
      <c r="Q54" s="2966"/>
      <c r="R54" s="2966">
        <v>2419.2399999999998</v>
      </c>
      <c r="S54" s="2966">
        <v>868.47</v>
      </c>
      <c r="T54" s="2966"/>
      <c r="U54" s="2966">
        <f t="shared" si="0"/>
        <v>1550.7699999999998</v>
      </c>
    </row>
    <row r="55" spans="1:21">
      <c r="A55" s="2964" t="s">
        <v>3153</v>
      </c>
      <c r="B55" s="2964" t="s">
        <v>3093</v>
      </c>
      <c r="C55" s="2964">
        <v>2397.12</v>
      </c>
      <c r="D55" s="2965">
        <v>868.45</v>
      </c>
      <c r="E55" s="2965"/>
      <c r="F55" s="2965">
        <v>1332.67</v>
      </c>
      <c r="G55" s="2965">
        <v>196</v>
      </c>
      <c r="H55" s="2965">
        <v>2</v>
      </c>
      <c r="I55" s="2965">
        <v>3</v>
      </c>
      <c r="J55" s="2965">
        <v>1</v>
      </c>
      <c r="K55" s="2965">
        <v>8</v>
      </c>
      <c r="L55" s="2966"/>
      <c r="M55" s="2967">
        <f t="shared" si="1"/>
        <v>2418.62</v>
      </c>
      <c r="N55" s="2967" t="s">
        <v>4514</v>
      </c>
      <c r="O55" s="3052">
        <v>0.6</v>
      </c>
      <c r="P55" s="2966"/>
      <c r="Q55" s="2966"/>
      <c r="R55" s="2966">
        <v>2418.62</v>
      </c>
      <c r="S55" s="2966">
        <v>868.47</v>
      </c>
      <c r="T55" s="2966"/>
      <c r="U55" s="2966">
        <f t="shared" si="0"/>
        <v>1550.1499999999999</v>
      </c>
    </row>
    <row r="56" spans="1:21">
      <c r="A56" s="2964" t="s">
        <v>3154</v>
      </c>
      <c r="B56" s="2964" t="s">
        <v>3093</v>
      </c>
      <c r="C56" s="2964">
        <v>1163.2</v>
      </c>
      <c r="D56" s="2965">
        <v>351.38</v>
      </c>
      <c r="E56" s="2965"/>
      <c r="F56" s="2965">
        <v>762.82</v>
      </c>
      <c r="G56" s="2965">
        <v>49</v>
      </c>
      <c r="H56" s="2965">
        <v>2</v>
      </c>
      <c r="I56" s="2965">
        <v>3</v>
      </c>
      <c r="J56" s="2965">
        <v>1</v>
      </c>
      <c r="K56" s="2965">
        <v>2</v>
      </c>
      <c r="L56" s="2966"/>
      <c r="M56" s="2967">
        <f t="shared" si="1"/>
        <v>1170.81</v>
      </c>
      <c r="N56" s="2967" t="s">
        <v>4514</v>
      </c>
      <c r="O56" s="3052">
        <v>0.6</v>
      </c>
      <c r="P56" s="2966"/>
      <c r="Q56" s="2966"/>
      <c r="R56" s="2966">
        <v>1170.81</v>
      </c>
      <c r="S56" s="2966">
        <v>351.38</v>
      </c>
      <c r="T56" s="2966"/>
      <c r="U56" s="2966">
        <f t="shared" si="0"/>
        <v>819.43</v>
      </c>
    </row>
    <row r="57" spans="1:21">
      <c r="A57" s="2964" t="s">
        <v>3155</v>
      </c>
      <c r="B57" s="2964" t="s">
        <v>3093</v>
      </c>
      <c r="C57" s="2964">
        <v>1163.2</v>
      </c>
      <c r="D57" s="2965">
        <v>351.38</v>
      </c>
      <c r="E57" s="2965"/>
      <c r="F57" s="2965">
        <v>762.82</v>
      </c>
      <c r="G57" s="2965">
        <v>49</v>
      </c>
      <c r="H57" s="2965">
        <v>2</v>
      </c>
      <c r="I57" s="2965">
        <v>3</v>
      </c>
      <c r="J57" s="2965">
        <v>1</v>
      </c>
      <c r="K57" s="2965">
        <v>2</v>
      </c>
      <c r="L57" s="2966"/>
      <c r="M57" s="2967">
        <f t="shared" si="1"/>
        <v>1170.81</v>
      </c>
      <c r="N57" s="2967" t="s">
        <v>4514</v>
      </c>
      <c r="O57" s="3052">
        <v>0.6</v>
      </c>
      <c r="P57" s="2966"/>
      <c r="Q57" s="2966"/>
      <c r="R57" s="2966">
        <v>1170.81</v>
      </c>
      <c r="S57" s="2966">
        <v>351.38</v>
      </c>
      <c r="T57" s="2966"/>
      <c r="U57" s="2966">
        <f t="shared" si="0"/>
        <v>819.43</v>
      </c>
    </row>
    <row r="58" spans="1:21">
      <c r="A58" s="2964" t="s">
        <v>3156</v>
      </c>
      <c r="B58" s="2964" t="s">
        <v>3093</v>
      </c>
      <c r="C58" s="2964">
        <v>2397.12</v>
      </c>
      <c r="D58" s="2965">
        <v>868.45</v>
      </c>
      <c r="E58" s="2965"/>
      <c r="F58" s="2965">
        <v>1332.67</v>
      </c>
      <c r="G58" s="2965">
        <v>196</v>
      </c>
      <c r="H58" s="2965">
        <v>2</v>
      </c>
      <c r="I58" s="2965">
        <v>3</v>
      </c>
      <c r="J58" s="2965">
        <v>1</v>
      </c>
      <c r="K58" s="2965">
        <v>8</v>
      </c>
      <c r="L58" s="2966"/>
      <c r="M58" s="2967">
        <f t="shared" si="1"/>
        <v>2418.62</v>
      </c>
      <c r="N58" s="2967" t="s">
        <v>4514</v>
      </c>
      <c r="O58" s="3052">
        <v>0.6</v>
      </c>
      <c r="P58" s="2966"/>
      <c r="Q58" s="2966"/>
      <c r="R58" s="2966">
        <v>2418.62</v>
      </c>
      <c r="S58" s="2966">
        <v>868.47</v>
      </c>
      <c r="T58" s="2966"/>
      <c r="U58" s="2966">
        <f t="shared" si="0"/>
        <v>1550.1499999999999</v>
      </c>
    </row>
    <row r="59" spans="1:21">
      <c r="A59" s="2964" t="s">
        <v>3157</v>
      </c>
      <c r="B59" s="2964" t="s">
        <v>3093</v>
      </c>
      <c r="C59" s="2964">
        <v>2397.12</v>
      </c>
      <c r="D59" s="2965">
        <v>868.45</v>
      </c>
      <c r="E59" s="2965"/>
      <c r="F59" s="2965">
        <v>1332.67</v>
      </c>
      <c r="G59" s="2965">
        <v>196</v>
      </c>
      <c r="H59" s="2965">
        <v>2</v>
      </c>
      <c r="I59" s="2965">
        <v>3</v>
      </c>
      <c r="J59" s="2965">
        <v>1</v>
      </c>
      <c r="K59" s="2965">
        <v>8</v>
      </c>
      <c r="L59" s="2966"/>
      <c r="M59" s="2967">
        <f t="shared" si="1"/>
        <v>2418.62</v>
      </c>
      <c r="N59" s="2967" t="s">
        <v>4514</v>
      </c>
      <c r="O59" s="3052">
        <v>0.6</v>
      </c>
      <c r="P59" s="2966"/>
      <c r="Q59" s="2966"/>
      <c r="R59" s="2966">
        <v>2418.62</v>
      </c>
      <c r="S59" s="2966">
        <v>868.47</v>
      </c>
      <c r="T59" s="2966"/>
      <c r="U59" s="2966">
        <f t="shared" si="0"/>
        <v>1550.1499999999999</v>
      </c>
    </row>
    <row r="60" spans="1:21">
      <c r="A60" s="2964" t="s">
        <v>3158</v>
      </c>
      <c r="B60" s="2964" t="s">
        <v>3093</v>
      </c>
      <c r="C60" s="2964">
        <v>1799.5</v>
      </c>
      <c r="D60" s="2965">
        <v>652</v>
      </c>
      <c r="E60" s="2965"/>
      <c r="F60" s="2965">
        <v>1000.5</v>
      </c>
      <c r="G60" s="2965">
        <v>147</v>
      </c>
      <c r="H60" s="2965">
        <v>2</v>
      </c>
      <c r="I60" s="2965">
        <v>3</v>
      </c>
      <c r="J60" s="2965">
        <v>1</v>
      </c>
      <c r="K60" s="2965">
        <v>6</v>
      </c>
      <c r="L60" s="2966"/>
      <c r="M60" s="2967">
        <f t="shared" si="1"/>
        <v>1817.52</v>
      </c>
      <c r="N60" s="2967" t="s">
        <v>4514</v>
      </c>
      <c r="O60" s="3052">
        <v>0.6</v>
      </c>
      <c r="P60" s="2966"/>
      <c r="Q60" s="2966"/>
      <c r="R60" s="2966">
        <v>1817.52</v>
      </c>
      <c r="S60" s="2966">
        <v>652.01</v>
      </c>
      <c r="T60" s="2966"/>
      <c r="U60" s="2966">
        <f t="shared" si="0"/>
        <v>1165.51</v>
      </c>
    </row>
    <row r="61" spans="1:21">
      <c r="A61" s="2964" t="s">
        <v>3159</v>
      </c>
      <c r="B61" s="2964" t="s">
        <v>3093</v>
      </c>
      <c r="C61" s="2964">
        <v>1799.5</v>
      </c>
      <c r="D61" s="2965">
        <v>652</v>
      </c>
      <c r="E61" s="2965"/>
      <c r="F61" s="2965">
        <v>1000.5</v>
      </c>
      <c r="G61" s="2965">
        <v>147</v>
      </c>
      <c r="H61" s="2965">
        <v>2</v>
      </c>
      <c r="I61" s="2965">
        <v>3</v>
      </c>
      <c r="J61" s="2965">
        <v>1</v>
      </c>
      <c r="K61" s="2965">
        <v>6</v>
      </c>
      <c r="L61" s="2966"/>
      <c r="M61" s="2967">
        <f t="shared" si="1"/>
        <v>1817.1</v>
      </c>
      <c r="N61" s="2967" t="s">
        <v>4514</v>
      </c>
      <c r="O61" s="3052">
        <v>0.6</v>
      </c>
      <c r="P61" s="2966"/>
      <c r="Q61" s="2966"/>
      <c r="R61" s="2966">
        <v>1817.1</v>
      </c>
      <c r="S61" s="2966">
        <v>652.01</v>
      </c>
      <c r="T61" s="2966"/>
      <c r="U61" s="2966">
        <f t="shared" si="0"/>
        <v>1165.0899999999999</v>
      </c>
    </row>
    <row r="62" spans="1:21">
      <c r="A62" s="2964" t="s">
        <v>3160</v>
      </c>
      <c r="B62" s="2964" t="s">
        <v>3093</v>
      </c>
      <c r="C62" s="2964">
        <v>2397.12</v>
      </c>
      <c r="D62" s="2965">
        <v>868.45</v>
      </c>
      <c r="E62" s="2965"/>
      <c r="F62" s="2965">
        <v>1332.67</v>
      </c>
      <c r="G62" s="2965">
        <v>196</v>
      </c>
      <c r="H62" s="2965">
        <v>2</v>
      </c>
      <c r="I62" s="2965">
        <v>3</v>
      </c>
      <c r="J62" s="2965">
        <v>1</v>
      </c>
      <c r="K62" s="2965">
        <v>8</v>
      </c>
      <c r="L62" s="2966"/>
      <c r="M62" s="2967">
        <f t="shared" si="1"/>
        <v>2419.88</v>
      </c>
      <c r="N62" s="2967" t="s">
        <v>4514</v>
      </c>
      <c r="O62" s="3052">
        <v>0.6</v>
      </c>
      <c r="P62" s="2966"/>
      <c r="Q62" s="2966"/>
      <c r="R62" s="2966">
        <v>2419.88</v>
      </c>
      <c r="S62" s="2966">
        <v>868.47</v>
      </c>
      <c r="T62" s="2966"/>
      <c r="U62" s="2966">
        <f t="shared" si="0"/>
        <v>1551.41</v>
      </c>
    </row>
    <row r="63" spans="1:21">
      <c r="A63" s="2964" t="s">
        <v>3161</v>
      </c>
      <c r="B63" s="2964" t="s">
        <v>3093</v>
      </c>
      <c r="C63" s="2964">
        <v>1228.76</v>
      </c>
      <c r="D63" s="2965">
        <v>449.6</v>
      </c>
      <c r="E63" s="2965"/>
      <c r="F63" s="2965">
        <v>681.16</v>
      </c>
      <c r="G63" s="2965">
        <v>98</v>
      </c>
      <c r="H63" s="2965">
        <v>2</v>
      </c>
      <c r="I63" s="2965">
        <v>3</v>
      </c>
      <c r="J63" s="2965">
        <v>1</v>
      </c>
      <c r="K63" s="2965">
        <v>4</v>
      </c>
      <c r="L63" s="2966"/>
      <c r="M63" s="2967">
        <f t="shared" si="1"/>
        <v>1240.22</v>
      </c>
      <c r="N63" s="2967" t="s">
        <v>4514</v>
      </c>
      <c r="O63" s="3052">
        <v>0.6</v>
      </c>
      <c r="P63" s="2966"/>
      <c r="Q63" s="2966"/>
      <c r="R63" s="2966">
        <v>1240.22</v>
      </c>
      <c r="S63" s="2966">
        <v>449.59</v>
      </c>
      <c r="T63" s="2966"/>
      <c r="U63" s="2966">
        <f t="shared" si="0"/>
        <v>790.63000000000011</v>
      </c>
    </row>
    <row r="64" spans="1:21">
      <c r="A64" s="2964" t="s">
        <v>3162</v>
      </c>
      <c r="B64" s="2964" t="s">
        <v>3093</v>
      </c>
      <c r="C64" s="2964">
        <v>922.90000000000009</v>
      </c>
      <c r="D64" s="2965">
        <v>337.54</v>
      </c>
      <c r="E64" s="2965"/>
      <c r="F64" s="2965">
        <v>511.86</v>
      </c>
      <c r="G64" s="2965">
        <v>73.5</v>
      </c>
      <c r="H64" s="2965">
        <v>2</v>
      </c>
      <c r="I64" s="2965">
        <v>3</v>
      </c>
      <c r="J64" s="2965">
        <v>1</v>
      </c>
      <c r="K64" s="2965">
        <v>3</v>
      </c>
      <c r="L64" s="2966"/>
      <c r="M64" s="2967">
        <f t="shared" si="1"/>
        <v>931.94</v>
      </c>
      <c r="N64" s="2967" t="s">
        <v>4514</v>
      </c>
      <c r="O64" s="3052">
        <v>0.6</v>
      </c>
      <c r="P64" s="2966"/>
      <c r="Q64" s="2966"/>
      <c r="R64" s="2966">
        <v>931.94</v>
      </c>
      <c r="S64" s="2966">
        <v>337.54</v>
      </c>
      <c r="T64" s="2966"/>
      <c r="U64" s="2966">
        <f t="shared" si="0"/>
        <v>594.40000000000009</v>
      </c>
    </row>
    <row r="65" spans="1:21">
      <c r="A65" s="2964" t="s">
        <v>3163</v>
      </c>
      <c r="B65" s="2964" t="s">
        <v>3093</v>
      </c>
      <c r="C65" s="2964">
        <v>1799.5</v>
      </c>
      <c r="D65" s="2965">
        <v>652</v>
      </c>
      <c r="E65" s="2965"/>
      <c r="F65" s="2965">
        <v>1000.5</v>
      </c>
      <c r="G65" s="2965">
        <v>147</v>
      </c>
      <c r="H65" s="2965">
        <v>2</v>
      </c>
      <c r="I65" s="2965">
        <v>3</v>
      </c>
      <c r="J65" s="2965">
        <v>1</v>
      </c>
      <c r="K65" s="2965">
        <v>6</v>
      </c>
      <c r="L65" s="2966"/>
      <c r="M65" s="2967">
        <f t="shared" si="1"/>
        <v>1816.88</v>
      </c>
      <c r="N65" s="2967" t="s">
        <v>4514</v>
      </c>
      <c r="O65" s="3052">
        <v>0.6</v>
      </c>
      <c r="P65" s="2966"/>
      <c r="Q65" s="2966"/>
      <c r="R65" s="2966">
        <v>1816.88</v>
      </c>
      <c r="S65" s="2966">
        <v>652.01</v>
      </c>
      <c r="T65" s="2966"/>
      <c r="U65" s="2966">
        <f t="shared" si="0"/>
        <v>1164.8700000000001</v>
      </c>
    </row>
    <row r="66" spans="1:21">
      <c r="A66" s="2964" t="s">
        <v>3164</v>
      </c>
      <c r="B66" s="2964" t="s">
        <v>3093</v>
      </c>
      <c r="C66" s="2964">
        <v>2397.12</v>
      </c>
      <c r="D66" s="2965">
        <v>868.45</v>
      </c>
      <c r="E66" s="2965"/>
      <c r="F66" s="2965">
        <v>1332.67</v>
      </c>
      <c r="G66" s="2965">
        <v>196</v>
      </c>
      <c r="H66" s="2965">
        <v>2</v>
      </c>
      <c r="I66" s="2965">
        <v>3</v>
      </c>
      <c r="J66" s="2965">
        <v>1</v>
      </c>
      <c r="K66" s="2965">
        <v>8</v>
      </c>
      <c r="L66" s="2966"/>
      <c r="M66" s="2967">
        <f t="shared" si="1"/>
        <v>2419.88</v>
      </c>
      <c r="N66" s="2967" t="s">
        <v>4514</v>
      </c>
      <c r="O66" s="3052">
        <v>0.6</v>
      </c>
      <c r="P66" s="2966"/>
      <c r="Q66" s="2966"/>
      <c r="R66" s="2966">
        <v>2419.88</v>
      </c>
      <c r="S66" s="2966">
        <v>868.47</v>
      </c>
      <c r="T66" s="2966"/>
      <c r="U66" s="2966">
        <f t="shared" si="0"/>
        <v>1551.41</v>
      </c>
    </row>
    <row r="67" spans="1:21">
      <c r="A67" s="2964" t="s">
        <v>3165</v>
      </c>
      <c r="B67" s="2964" t="s">
        <v>3093</v>
      </c>
      <c r="C67" s="2964">
        <v>1626.24</v>
      </c>
      <c r="D67" s="2965">
        <v>564.07000000000005</v>
      </c>
      <c r="E67" s="2965"/>
      <c r="F67" s="2965">
        <v>964.17</v>
      </c>
      <c r="G67" s="2965">
        <v>98</v>
      </c>
      <c r="H67" s="2965">
        <v>2</v>
      </c>
      <c r="I67" s="2965">
        <v>3</v>
      </c>
      <c r="J67" s="2965">
        <v>1</v>
      </c>
      <c r="K67" s="2965">
        <v>4</v>
      </c>
      <c r="L67" s="2966"/>
      <c r="M67" s="2967">
        <f t="shared" si="1"/>
        <v>1629.12</v>
      </c>
      <c r="N67" s="2967" t="s">
        <v>4514</v>
      </c>
      <c r="O67" s="3052">
        <v>0.6</v>
      </c>
      <c r="P67" s="2966"/>
      <c r="Q67" s="2966"/>
      <c r="R67" s="2966">
        <v>1629.12</v>
      </c>
      <c r="S67" s="2966">
        <v>563.59</v>
      </c>
      <c r="T67" s="2966"/>
      <c r="U67" s="2966">
        <f t="shared" ref="U67:U85" si="2">R67-S67</f>
        <v>1065.5299999999997</v>
      </c>
    </row>
    <row r="68" spans="1:21">
      <c r="A68" s="2964" t="s">
        <v>3166</v>
      </c>
      <c r="B68" s="2964" t="s">
        <v>3093</v>
      </c>
      <c r="C68" s="2964">
        <v>1626.24</v>
      </c>
      <c r="D68" s="2965">
        <v>564.07000000000005</v>
      </c>
      <c r="E68" s="2965"/>
      <c r="F68" s="2965">
        <v>964.17</v>
      </c>
      <c r="G68" s="2965">
        <v>98</v>
      </c>
      <c r="H68" s="2965">
        <v>2</v>
      </c>
      <c r="I68" s="2965">
        <v>3</v>
      </c>
      <c r="J68" s="2965">
        <v>1</v>
      </c>
      <c r="K68" s="2965">
        <v>4</v>
      </c>
      <c r="L68" s="2966"/>
      <c r="M68" s="2967">
        <f t="shared" ref="M68:M85" si="3">R68</f>
        <v>1629.12</v>
      </c>
      <c r="N68" s="2967" t="s">
        <v>4514</v>
      </c>
      <c r="O68" s="3052">
        <v>0.6</v>
      </c>
      <c r="P68" s="2966"/>
      <c r="Q68" s="2966"/>
      <c r="R68" s="2966">
        <v>1629.12</v>
      </c>
      <c r="S68" s="2966">
        <v>563.59</v>
      </c>
      <c r="T68" s="2966"/>
      <c r="U68" s="2966">
        <f t="shared" si="2"/>
        <v>1065.5299999999997</v>
      </c>
    </row>
    <row r="69" spans="1:21">
      <c r="A69" s="2964" t="s">
        <v>3167</v>
      </c>
      <c r="B69" s="2964" t="s">
        <v>3093</v>
      </c>
      <c r="C69" s="2964">
        <v>1219.1500000000001</v>
      </c>
      <c r="D69" s="2965">
        <v>423.44</v>
      </c>
      <c r="E69" s="2965"/>
      <c r="F69" s="2965">
        <v>722.21</v>
      </c>
      <c r="G69" s="2965">
        <v>73.5</v>
      </c>
      <c r="H69" s="2965">
        <v>2</v>
      </c>
      <c r="I69" s="2965">
        <v>3</v>
      </c>
      <c r="J69" s="2965">
        <v>1</v>
      </c>
      <c r="K69" s="2965">
        <v>3</v>
      </c>
      <c r="L69" s="2966"/>
      <c r="M69" s="2967">
        <f t="shared" si="3"/>
        <v>1223.45</v>
      </c>
      <c r="N69" s="2967" t="s">
        <v>4514</v>
      </c>
      <c r="O69" s="3052">
        <v>0.6</v>
      </c>
      <c r="P69" s="2966"/>
      <c r="Q69" s="2966"/>
      <c r="R69" s="2972">
        <v>1223.45</v>
      </c>
      <c r="S69" s="2966">
        <v>423.08</v>
      </c>
      <c r="T69" s="2966"/>
      <c r="U69" s="2966">
        <f t="shared" si="2"/>
        <v>800.37000000000012</v>
      </c>
    </row>
    <row r="70" spans="1:21">
      <c r="A70" s="2964" t="s">
        <v>3168</v>
      </c>
      <c r="B70" s="2964" t="s">
        <v>3093</v>
      </c>
      <c r="C70" s="2964">
        <v>1799.5</v>
      </c>
      <c r="D70" s="2965">
        <v>652</v>
      </c>
      <c r="E70" s="2965"/>
      <c r="F70" s="2965">
        <v>1000.5</v>
      </c>
      <c r="G70" s="2965">
        <v>147</v>
      </c>
      <c r="H70" s="2965">
        <v>2</v>
      </c>
      <c r="I70" s="2965">
        <v>3</v>
      </c>
      <c r="J70" s="2965">
        <v>1</v>
      </c>
      <c r="K70" s="2965">
        <v>6</v>
      </c>
      <c r="L70" s="2966"/>
      <c r="M70" s="2967">
        <f t="shared" si="3"/>
        <v>1816.88</v>
      </c>
      <c r="N70" s="2967" t="s">
        <v>4514</v>
      </c>
      <c r="O70" s="3052">
        <v>0.6</v>
      </c>
      <c r="P70" s="2966"/>
      <c r="Q70" s="2966"/>
      <c r="R70" s="2966">
        <v>1816.88</v>
      </c>
      <c r="S70" s="2966">
        <v>652.01</v>
      </c>
      <c r="T70" s="2966"/>
      <c r="U70" s="2966">
        <f t="shared" si="2"/>
        <v>1164.8700000000001</v>
      </c>
    </row>
    <row r="71" spans="1:21" s="2975" customFormat="1">
      <c r="A71" s="2979" t="s">
        <v>3169</v>
      </c>
      <c r="B71" s="2979" t="s">
        <v>3093</v>
      </c>
      <c r="C71" s="2979">
        <v>1202.82</v>
      </c>
      <c r="D71" s="3049">
        <v>435.55</v>
      </c>
      <c r="E71" s="3049"/>
      <c r="F71" s="3049">
        <v>669.27</v>
      </c>
      <c r="G71" s="3049">
        <v>98</v>
      </c>
      <c r="H71" s="3049">
        <v>2</v>
      </c>
      <c r="I71" s="3049">
        <v>3</v>
      </c>
      <c r="J71" s="3049">
        <v>1</v>
      </c>
      <c r="K71" s="3049">
        <v>4</v>
      </c>
      <c r="L71" s="3050"/>
      <c r="M71" s="3051">
        <f t="shared" si="3"/>
        <v>1212.72</v>
      </c>
      <c r="N71" s="2967" t="s">
        <v>4514</v>
      </c>
      <c r="O71" s="3052">
        <v>0.6</v>
      </c>
      <c r="P71" s="3050"/>
      <c r="Q71" s="3050"/>
      <c r="R71" s="3050">
        <v>1212.72</v>
      </c>
      <c r="S71" s="3050">
        <v>435.56</v>
      </c>
      <c r="T71" s="3050"/>
      <c r="U71" s="3050">
        <f t="shared" si="2"/>
        <v>777.16000000000008</v>
      </c>
    </row>
    <row r="72" spans="1:21">
      <c r="A72" s="2964" t="s">
        <v>3170</v>
      </c>
      <c r="B72" s="2964" t="s">
        <v>3093</v>
      </c>
      <c r="C72" s="2964">
        <v>1202.82</v>
      </c>
      <c r="D72" s="2965">
        <v>435.55</v>
      </c>
      <c r="E72" s="2965"/>
      <c r="F72" s="2965">
        <v>669.27</v>
      </c>
      <c r="G72" s="2965">
        <v>98</v>
      </c>
      <c r="H72" s="2965">
        <v>2</v>
      </c>
      <c r="I72" s="2965">
        <v>3</v>
      </c>
      <c r="J72" s="2965">
        <v>1</v>
      </c>
      <c r="K72" s="2965">
        <v>4</v>
      </c>
      <c r="L72" s="2966"/>
      <c r="M72" s="2967">
        <f t="shared" si="3"/>
        <v>1212.72</v>
      </c>
      <c r="N72" s="2967" t="s">
        <v>4514</v>
      </c>
      <c r="O72" s="3052">
        <v>0.6</v>
      </c>
      <c r="P72" s="2966"/>
      <c r="Q72" s="2966"/>
      <c r="R72" s="2966">
        <v>1212.72</v>
      </c>
      <c r="S72" s="2966">
        <v>435.56</v>
      </c>
      <c r="T72" s="2966"/>
      <c r="U72" s="2966">
        <f t="shared" si="2"/>
        <v>777.16000000000008</v>
      </c>
    </row>
    <row r="73" spans="1:21">
      <c r="A73" s="2964" t="s">
        <v>3171</v>
      </c>
      <c r="B73" s="2964" t="s">
        <v>3093</v>
      </c>
      <c r="C73" s="2964">
        <v>1799.5</v>
      </c>
      <c r="D73" s="2965">
        <v>652</v>
      </c>
      <c r="E73" s="2965"/>
      <c r="F73" s="2965">
        <v>1000.5</v>
      </c>
      <c r="G73" s="2965">
        <v>147</v>
      </c>
      <c r="H73" s="2965">
        <v>2</v>
      </c>
      <c r="I73" s="2965">
        <v>3</v>
      </c>
      <c r="J73" s="2965">
        <v>1</v>
      </c>
      <c r="K73" s="2965">
        <v>6</v>
      </c>
      <c r="L73" s="2966"/>
      <c r="M73" s="2967">
        <f t="shared" si="3"/>
        <v>1815.68</v>
      </c>
      <c r="N73" s="2967" t="s">
        <v>4514</v>
      </c>
      <c r="O73" s="3052">
        <v>0.6</v>
      </c>
      <c r="P73" s="2966"/>
      <c r="Q73" s="2966"/>
      <c r="R73" s="2966">
        <v>1815.68</v>
      </c>
      <c r="S73" s="2966">
        <v>652.01</v>
      </c>
      <c r="T73" s="2966"/>
      <c r="U73" s="2966">
        <f t="shared" si="2"/>
        <v>1163.67</v>
      </c>
    </row>
    <row r="74" spans="1:21">
      <c r="A74" s="2964" t="s">
        <v>3172</v>
      </c>
      <c r="B74" s="2964" t="s">
        <v>3093</v>
      </c>
      <c r="C74" s="2964">
        <v>1799.5</v>
      </c>
      <c r="D74" s="2965">
        <v>652</v>
      </c>
      <c r="E74" s="2965"/>
      <c r="F74" s="2965">
        <v>1000.5</v>
      </c>
      <c r="G74" s="2965">
        <v>147</v>
      </c>
      <c r="H74" s="2965">
        <v>2</v>
      </c>
      <c r="I74" s="2965">
        <v>3</v>
      </c>
      <c r="J74" s="2965">
        <v>1</v>
      </c>
      <c r="K74" s="2965">
        <v>6</v>
      </c>
      <c r="L74" s="2966"/>
      <c r="M74" s="2967">
        <f t="shared" si="3"/>
        <v>1817.52</v>
      </c>
      <c r="N74" s="2967" t="s">
        <v>4514</v>
      </c>
      <c r="O74" s="3052">
        <v>0.6</v>
      </c>
      <c r="P74" s="2966"/>
      <c r="Q74" s="2966"/>
      <c r="R74" s="2966">
        <v>1817.52</v>
      </c>
      <c r="S74" s="2966">
        <v>652.01</v>
      </c>
      <c r="T74" s="2966"/>
      <c r="U74" s="2966">
        <f t="shared" si="2"/>
        <v>1165.51</v>
      </c>
    </row>
    <row r="75" spans="1:21">
      <c r="A75" s="2964" t="s">
        <v>3173</v>
      </c>
      <c r="B75" s="2964" t="s">
        <v>3093</v>
      </c>
      <c r="C75" s="2964">
        <v>1202.82</v>
      </c>
      <c r="D75" s="2965">
        <v>435.55</v>
      </c>
      <c r="E75" s="2965"/>
      <c r="F75" s="2965">
        <v>669.27</v>
      </c>
      <c r="G75" s="2965">
        <v>98</v>
      </c>
      <c r="H75" s="2965">
        <v>2</v>
      </c>
      <c r="I75" s="2965">
        <v>3</v>
      </c>
      <c r="J75" s="2965">
        <v>1</v>
      </c>
      <c r="K75" s="2965">
        <v>4</v>
      </c>
      <c r="L75" s="2966"/>
      <c r="M75" s="2967">
        <f t="shared" si="3"/>
        <v>1213.94</v>
      </c>
      <c r="N75" s="2967" t="s">
        <v>4514</v>
      </c>
      <c r="O75" s="3052">
        <v>0.6</v>
      </c>
      <c r="P75" s="2966"/>
      <c r="Q75" s="2966"/>
      <c r="R75" s="2966">
        <v>1213.94</v>
      </c>
      <c r="S75" s="2966">
        <v>435.56</v>
      </c>
      <c r="T75" s="2966"/>
      <c r="U75" s="2966">
        <f t="shared" si="2"/>
        <v>778.38000000000011</v>
      </c>
    </row>
    <row r="76" spans="1:21">
      <c r="A76" s="2964" t="s">
        <v>3174</v>
      </c>
      <c r="B76" s="2964" t="s">
        <v>3093</v>
      </c>
      <c r="C76" s="2964">
        <v>1799.5</v>
      </c>
      <c r="D76" s="2965">
        <v>652</v>
      </c>
      <c r="E76" s="2965"/>
      <c r="F76" s="2965">
        <v>1000.5</v>
      </c>
      <c r="G76" s="2965">
        <v>147</v>
      </c>
      <c r="H76" s="2965">
        <v>2</v>
      </c>
      <c r="I76" s="2965">
        <v>3</v>
      </c>
      <c r="J76" s="2965">
        <v>1</v>
      </c>
      <c r="K76" s="2965">
        <v>6</v>
      </c>
      <c r="L76" s="2966"/>
      <c r="M76" s="2967">
        <f t="shared" si="3"/>
        <v>1816.04</v>
      </c>
      <c r="N76" s="2967" t="s">
        <v>4514</v>
      </c>
      <c r="O76" s="3052">
        <v>0.6</v>
      </c>
      <c r="P76" s="2966"/>
      <c r="Q76" s="2966"/>
      <c r="R76" s="2966">
        <v>1816.04</v>
      </c>
      <c r="S76" s="2966">
        <v>652.01</v>
      </c>
      <c r="T76" s="2966"/>
      <c r="U76" s="2966">
        <f t="shared" si="2"/>
        <v>1164.03</v>
      </c>
    </row>
    <row r="77" spans="1:21">
      <c r="A77" s="2964" t="s">
        <v>3175</v>
      </c>
      <c r="B77" s="2964" t="s">
        <v>3093</v>
      </c>
      <c r="C77" s="2964">
        <v>1202.82</v>
      </c>
      <c r="D77" s="2965">
        <v>435.55</v>
      </c>
      <c r="E77" s="2965"/>
      <c r="F77" s="2965">
        <v>669.27</v>
      </c>
      <c r="G77" s="2965">
        <v>98</v>
      </c>
      <c r="H77" s="2965">
        <v>2</v>
      </c>
      <c r="I77" s="2965">
        <v>3</v>
      </c>
      <c r="J77" s="2965">
        <v>1</v>
      </c>
      <c r="K77" s="2965">
        <v>4</v>
      </c>
      <c r="L77" s="2966"/>
      <c r="M77" s="2967">
        <f t="shared" si="3"/>
        <v>1214.1400000000001</v>
      </c>
      <c r="N77" s="2967" t="s">
        <v>4514</v>
      </c>
      <c r="O77" s="3052">
        <v>0.6</v>
      </c>
      <c r="P77" s="2966"/>
      <c r="Q77" s="2966"/>
      <c r="R77" s="2966">
        <v>1214.1400000000001</v>
      </c>
      <c r="S77" s="2966">
        <v>435.56</v>
      </c>
      <c r="T77" s="2966"/>
      <c r="U77" s="2966">
        <f t="shared" si="2"/>
        <v>778.58000000000015</v>
      </c>
    </row>
    <row r="78" spans="1:21">
      <c r="A78" s="2964" t="s">
        <v>3176</v>
      </c>
      <c r="B78" s="2964" t="s">
        <v>3093</v>
      </c>
      <c r="C78" s="2964">
        <v>1203.48</v>
      </c>
      <c r="D78" s="2965">
        <v>435.55</v>
      </c>
      <c r="E78" s="2965"/>
      <c r="F78" s="2965">
        <v>669.93</v>
      </c>
      <c r="G78" s="2965">
        <v>98</v>
      </c>
      <c r="H78" s="2965">
        <v>2</v>
      </c>
      <c r="I78" s="2965">
        <v>3</v>
      </c>
      <c r="J78" s="2965">
        <v>1</v>
      </c>
      <c r="K78" s="2965">
        <v>4</v>
      </c>
      <c r="L78" s="2966"/>
      <c r="M78" s="2967">
        <f t="shared" si="3"/>
        <v>1214.6199999999999</v>
      </c>
      <c r="N78" s="2967" t="s">
        <v>4514</v>
      </c>
      <c r="O78" s="3052">
        <v>0.6</v>
      </c>
      <c r="P78" s="2966"/>
      <c r="Q78" s="2966"/>
      <c r="R78" s="2966">
        <v>1214.6199999999999</v>
      </c>
      <c r="S78" s="2966">
        <v>435.56</v>
      </c>
      <c r="T78" s="2966"/>
      <c r="U78" s="2966">
        <f t="shared" si="2"/>
        <v>779.06</v>
      </c>
    </row>
    <row r="79" spans="1:21">
      <c r="A79" s="2964" t="s">
        <v>3177</v>
      </c>
      <c r="B79" s="2964" t="s">
        <v>3093</v>
      </c>
      <c r="C79" s="2964">
        <v>1799.5</v>
      </c>
      <c r="D79" s="2965">
        <v>652</v>
      </c>
      <c r="E79" s="2965"/>
      <c r="F79" s="2965">
        <v>1000.5</v>
      </c>
      <c r="G79" s="2965">
        <v>147</v>
      </c>
      <c r="H79" s="2965">
        <v>2</v>
      </c>
      <c r="I79" s="2965">
        <v>3</v>
      </c>
      <c r="J79" s="2965">
        <v>1</v>
      </c>
      <c r="K79" s="2965">
        <v>6</v>
      </c>
      <c r="L79" s="2966"/>
      <c r="M79" s="2967">
        <f t="shared" si="3"/>
        <v>1816.88</v>
      </c>
      <c r="N79" s="2967" t="s">
        <v>4514</v>
      </c>
      <c r="O79" s="3052">
        <v>0.6</v>
      </c>
      <c r="P79" s="2966"/>
      <c r="Q79" s="2966"/>
      <c r="R79" s="2966">
        <v>1816.88</v>
      </c>
      <c r="S79" s="2966">
        <v>652.01</v>
      </c>
      <c r="T79" s="2966"/>
      <c r="U79" s="2966">
        <f t="shared" si="2"/>
        <v>1164.8700000000001</v>
      </c>
    </row>
    <row r="80" spans="1:21">
      <c r="A80" s="2964" t="s">
        <v>3178</v>
      </c>
      <c r="B80" s="2964" t="s">
        <v>3093</v>
      </c>
      <c r="C80" s="2964">
        <v>1202.82</v>
      </c>
      <c r="D80" s="2965">
        <v>435.55</v>
      </c>
      <c r="E80" s="2965"/>
      <c r="F80" s="2965">
        <v>669.27</v>
      </c>
      <c r="G80" s="2965">
        <v>98</v>
      </c>
      <c r="H80" s="2965">
        <v>2</v>
      </c>
      <c r="I80" s="2965">
        <v>3</v>
      </c>
      <c r="J80" s="2965">
        <v>1</v>
      </c>
      <c r="K80" s="2965">
        <v>4</v>
      </c>
      <c r="L80" s="2966"/>
      <c r="M80" s="2967">
        <f t="shared" si="3"/>
        <v>1214.6199999999999</v>
      </c>
      <c r="N80" s="2967" t="s">
        <v>4514</v>
      </c>
      <c r="O80" s="3052">
        <v>0.6</v>
      </c>
      <c r="P80" s="2966"/>
      <c r="Q80" s="2966"/>
      <c r="R80" s="2966">
        <v>1214.6199999999999</v>
      </c>
      <c r="S80" s="2966">
        <v>435.56</v>
      </c>
      <c r="T80" s="2966"/>
      <c r="U80" s="2966">
        <f t="shared" si="2"/>
        <v>779.06</v>
      </c>
    </row>
    <row r="81" spans="1:21">
      <c r="A81" s="2964" t="s">
        <v>3179</v>
      </c>
      <c r="B81" s="2964" t="s">
        <v>3093</v>
      </c>
      <c r="C81" s="2964">
        <v>1799.5</v>
      </c>
      <c r="D81" s="2965">
        <v>652</v>
      </c>
      <c r="E81" s="2965"/>
      <c r="F81" s="2965">
        <v>1000.5</v>
      </c>
      <c r="G81" s="2965">
        <v>147</v>
      </c>
      <c r="H81" s="2965">
        <v>2</v>
      </c>
      <c r="I81" s="2965">
        <v>3</v>
      </c>
      <c r="J81" s="2965">
        <v>1</v>
      </c>
      <c r="K81" s="2965">
        <v>6</v>
      </c>
      <c r="L81" s="2966"/>
      <c r="M81" s="2967">
        <f t="shared" si="3"/>
        <v>1816.88</v>
      </c>
      <c r="N81" s="2967" t="s">
        <v>4514</v>
      </c>
      <c r="O81" s="3052">
        <v>0.6</v>
      </c>
      <c r="P81" s="2966"/>
      <c r="Q81" s="2966"/>
      <c r="R81" s="2966">
        <v>1816.88</v>
      </c>
      <c r="S81" s="2966">
        <v>652.01</v>
      </c>
      <c r="T81" s="2966"/>
      <c r="U81" s="2966">
        <f t="shared" si="2"/>
        <v>1164.8700000000001</v>
      </c>
    </row>
    <row r="82" spans="1:21">
      <c r="A82" s="2964" t="s">
        <v>3180</v>
      </c>
      <c r="B82" s="2964" t="s">
        <v>3093</v>
      </c>
      <c r="C82" s="2964">
        <v>1799.5</v>
      </c>
      <c r="D82" s="2965">
        <v>652</v>
      </c>
      <c r="E82" s="2965"/>
      <c r="F82" s="2965">
        <v>1000.5</v>
      </c>
      <c r="G82" s="2965">
        <v>147</v>
      </c>
      <c r="H82" s="2965">
        <v>2</v>
      </c>
      <c r="I82" s="2965">
        <v>3</v>
      </c>
      <c r="J82" s="2965">
        <v>1</v>
      </c>
      <c r="K82" s="2965">
        <v>6</v>
      </c>
      <c r="L82" s="2966"/>
      <c r="M82" s="2967">
        <f t="shared" si="3"/>
        <v>1816.88</v>
      </c>
      <c r="N82" s="2967" t="s">
        <v>4514</v>
      </c>
      <c r="O82" s="3052">
        <v>0.6</v>
      </c>
      <c r="P82" s="2966"/>
      <c r="Q82" s="2966"/>
      <c r="R82" s="2966">
        <v>1816.88</v>
      </c>
      <c r="S82" s="2966">
        <v>652.01</v>
      </c>
      <c r="T82" s="2966"/>
      <c r="U82" s="2966">
        <f t="shared" si="2"/>
        <v>1164.8700000000001</v>
      </c>
    </row>
    <row r="83" spans="1:21">
      <c r="A83" s="2964" t="s">
        <v>3181</v>
      </c>
      <c r="B83" s="2964" t="s">
        <v>3093</v>
      </c>
      <c r="C83" s="2964">
        <v>1202.82</v>
      </c>
      <c r="D83" s="2965">
        <v>435.55</v>
      </c>
      <c r="E83" s="2965"/>
      <c r="F83" s="2965">
        <v>669.27</v>
      </c>
      <c r="G83" s="2965">
        <v>98</v>
      </c>
      <c r="H83" s="2965">
        <v>2</v>
      </c>
      <c r="I83" s="2965">
        <v>3</v>
      </c>
      <c r="J83" s="2965">
        <v>1</v>
      </c>
      <c r="K83" s="2965">
        <v>4</v>
      </c>
      <c r="L83" s="2966"/>
      <c r="M83" s="2967">
        <f t="shared" si="3"/>
        <v>1213.94</v>
      </c>
      <c r="N83" s="2967" t="s">
        <v>4514</v>
      </c>
      <c r="O83" s="3052">
        <v>0.6</v>
      </c>
      <c r="P83" s="2966"/>
      <c r="Q83" s="2966"/>
      <c r="R83" s="2966">
        <v>1213.94</v>
      </c>
      <c r="S83" s="2966">
        <v>435.56</v>
      </c>
      <c r="T83" s="2966"/>
      <c r="U83" s="2966">
        <f t="shared" si="2"/>
        <v>778.38000000000011</v>
      </c>
    </row>
    <row r="84" spans="1:21">
      <c r="A84" s="2964" t="s">
        <v>3182</v>
      </c>
      <c r="B84" s="2964" t="s">
        <v>3093</v>
      </c>
      <c r="C84" s="2964">
        <v>1202.82</v>
      </c>
      <c r="D84" s="2965">
        <v>435.55</v>
      </c>
      <c r="E84" s="2965"/>
      <c r="F84" s="2965">
        <v>669.27</v>
      </c>
      <c r="G84" s="2965">
        <v>98</v>
      </c>
      <c r="H84" s="2965">
        <v>2</v>
      </c>
      <c r="I84" s="2965">
        <v>3</v>
      </c>
      <c r="J84" s="2965">
        <v>1</v>
      </c>
      <c r="K84" s="2965">
        <v>4</v>
      </c>
      <c r="L84" s="2966"/>
      <c r="M84" s="2967">
        <f t="shared" si="3"/>
        <v>1213.78</v>
      </c>
      <c r="N84" s="2967" t="s">
        <v>4514</v>
      </c>
      <c r="O84" s="3052">
        <v>0.6</v>
      </c>
      <c r="P84" s="2966"/>
      <c r="Q84" s="2966"/>
      <c r="R84" s="2966">
        <v>1213.78</v>
      </c>
      <c r="S84" s="2966">
        <v>435.56</v>
      </c>
      <c r="T84" s="2966"/>
      <c r="U84" s="2966">
        <f t="shared" si="2"/>
        <v>778.22</v>
      </c>
    </row>
    <row r="85" spans="1:21">
      <c r="A85" s="2964" t="s">
        <v>3183</v>
      </c>
      <c r="B85" s="2964" t="s">
        <v>3093</v>
      </c>
      <c r="C85" s="2964">
        <v>1799.5</v>
      </c>
      <c r="D85" s="2965">
        <v>652</v>
      </c>
      <c r="E85" s="2965"/>
      <c r="F85" s="2965">
        <v>1000.5</v>
      </c>
      <c r="G85" s="2965">
        <v>147</v>
      </c>
      <c r="H85" s="2965">
        <v>2</v>
      </c>
      <c r="I85" s="2965">
        <v>3</v>
      </c>
      <c r="J85" s="2965">
        <v>1</v>
      </c>
      <c r="K85" s="2965">
        <v>6</v>
      </c>
      <c r="L85" s="2966"/>
      <c r="M85" s="2967">
        <f t="shared" si="3"/>
        <v>1816.32</v>
      </c>
      <c r="N85" s="2967" t="s">
        <v>4514</v>
      </c>
      <c r="O85" s="3052">
        <v>0.6</v>
      </c>
      <c r="P85" s="2966"/>
      <c r="Q85" s="2966"/>
      <c r="R85" s="2966">
        <v>1816.32</v>
      </c>
      <c r="S85" s="2966">
        <v>652.01</v>
      </c>
      <c r="T85" s="2966"/>
      <c r="U85" s="2966">
        <f t="shared" si="2"/>
        <v>1164.31</v>
      </c>
    </row>
    <row r="86" spans="1:21">
      <c r="A86" s="2964" t="s">
        <v>37</v>
      </c>
      <c r="B86" s="2965"/>
      <c r="C86" s="2964">
        <f>SUM(C3:C85)</f>
        <v>129624.39</v>
      </c>
      <c r="D86" s="2964">
        <f>SUM(D3:D85)</f>
        <v>46712.660000000018</v>
      </c>
      <c r="E86" s="2964"/>
      <c r="F86" s="2964">
        <f>SUM(F3:F85)</f>
        <v>72621.729999999967</v>
      </c>
      <c r="G86" s="2964">
        <v>10290</v>
      </c>
      <c r="H86" s="2965"/>
      <c r="I86" s="2965"/>
      <c r="J86" s="2965"/>
      <c r="K86" s="2965">
        <v>420</v>
      </c>
      <c r="L86" s="2967" t="s">
        <v>3184</v>
      </c>
      <c r="M86" s="2967">
        <v>0</v>
      </c>
      <c r="N86" s="2967"/>
      <c r="O86" s="2969">
        <v>0</v>
      </c>
      <c r="P86" s="2966"/>
      <c r="Q86" s="2966"/>
      <c r="R86" s="2966">
        <v>38228.400000000001</v>
      </c>
      <c r="S86" s="2966"/>
      <c r="T86" s="2966">
        <f>R86</f>
        <v>38228.400000000001</v>
      </c>
      <c r="U86" s="2966"/>
    </row>
    <row r="87" spans="1:21">
      <c r="A87" s="2960" t="s">
        <v>4796</v>
      </c>
      <c r="B87" s="2960" t="s">
        <v>3185</v>
      </c>
      <c r="C87" s="2960">
        <v>450</v>
      </c>
      <c r="D87" s="2961"/>
      <c r="E87" s="2961">
        <v>300</v>
      </c>
      <c r="F87" s="2961"/>
      <c r="G87" s="2961">
        <v>150</v>
      </c>
      <c r="H87" s="2961"/>
      <c r="I87" s="2961"/>
      <c r="J87" s="2961"/>
      <c r="K87" s="2961"/>
      <c r="M87" s="2973">
        <v>450</v>
      </c>
      <c r="N87" s="2973" t="s">
        <v>3089</v>
      </c>
      <c r="O87" s="3052">
        <v>0.6</v>
      </c>
      <c r="R87" s="2971">
        <f>SUM(R3:R86)</f>
        <v>168999.5</v>
      </c>
      <c r="S87" s="2971">
        <f>SUM(S3:S86)</f>
        <v>46710.839999999989</v>
      </c>
      <c r="T87" s="2971">
        <f>T86</f>
        <v>38228.400000000001</v>
      </c>
      <c r="U87" s="2971">
        <f>SUM(U3:U86)</f>
        <v>84060.26</v>
      </c>
    </row>
    <row r="88" spans="1:21">
      <c r="A88" s="2960" t="s">
        <v>48</v>
      </c>
      <c r="B88" s="2961"/>
      <c r="C88" s="2961">
        <f>E88+F88+G88</f>
        <v>50636.86</v>
      </c>
      <c r="D88" s="2961"/>
      <c r="E88" s="2961">
        <v>129</v>
      </c>
      <c r="F88" s="2961">
        <v>46509.14</v>
      </c>
      <c r="G88" s="2961">
        <v>3998.72</v>
      </c>
      <c r="H88" s="2961"/>
      <c r="I88" s="2961"/>
      <c r="J88" s="2961"/>
      <c r="K88" s="2961"/>
      <c r="L88" s="2973" t="s">
        <v>3186</v>
      </c>
      <c r="M88" s="2973">
        <f>T87+V100</f>
        <v>39574.06</v>
      </c>
      <c r="N88" s="2973" t="s">
        <v>3089</v>
      </c>
      <c r="O88" s="3052">
        <v>0.6</v>
      </c>
    </row>
    <row r="89" spans="1:21">
      <c r="A89" s="2976" t="s">
        <v>3199</v>
      </c>
      <c r="B89" s="2976" t="s">
        <v>3093</v>
      </c>
      <c r="C89" s="2961"/>
      <c r="D89" s="2961"/>
      <c r="E89" s="2961"/>
      <c r="F89" s="2961"/>
      <c r="G89" s="2961"/>
      <c r="H89" s="2961"/>
      <c r="I89" s="2961"/>
      <c r="J89" s="2961"/>
      <c r="K89" s="2961"/>
      <c r="L89" s="2973"/>
      <c r="M89" s="2973">
        <f>洋房测绘!N85</f>
        <v>9685.0600000000013</v>
      </c>
      <c r="N89" s="3053" t="s">
        <v>4515</v>
      </c>
      <c r="O89" s="2974">
        <f>ROUND(20%+40%*Q89/P89,2)</f>
        <v>0.4</v>
      </c>
      <c r="P89" s="2962">
        <f>M109</f>
        <v>8</v>
      </c>
      <c r="Q89" s="2962">
        <v>4</v>
      </c>
    </row>
    <row r="90" spans="1:21">
      <c r="A90" s="3012" t="s">
        <v>3200</v>
      </c>
      <c r="B90" s="2976" t="s">
        <v>3093</v>
      </c>
      <c r="C90" s="2961"/>
      <c r="D90" s="2961"/>
      <c r="E90" s="2961"/>
      <c r="F90" s="2961"/>
      <c r="G90" s="2961"/>
      <c r="H90" s="2961"/>
      <c r="I90" s="2961"/>
      <c r="J90" s="2961"/>
      <c r="K90" s="2961"/>
      <c r="L90" s="2973"/>
      <c r="M90" s="2973">
        <f>规证!C110</f>
        <v>8835.02</v>
      </c>
      <c r="N90" s="3053" t="s">
        <v>4517</v>
      </c>
      <c r="O90" s="2974">
        <f>ROUND(20%+40%*Q90/P90,2)</f>
        <v>0.4</v>
      </c>
      <c r="P90" s="2962">
        <f t="shared" ref="P90:P96" si="4">M110</f>
        <v>8</v>
      </c>
      <c r="Q90" s="2962">
        <v>4</v>
      </c>
    </row>
    <row r="91" spans="1:21">
      <c r="A91" s="2976" t="s">
        <v>3201</v>
      </c>
      <c r="B91" s="2976" t="s">
        <v>3093</v>
      </c>
      <c r="C91" s="2961"/>
      <c r="D91" s="2961"/>
      <c r="E91" s="2961"/>
      <c r="F91" s="2961"/>
      <c r="G91" s="2961"/>
      <c r="H91" s="2961"/>
      <c r="I91" s="2961"/>
      <c r="J91" s="2961"/>
      <c r="K91" s="2961"/>
      <c r="L91" s="2973"/>
      <c r="M91" s="2973">
        <f>洋房测绘!N93</f>
        <v>8755.9699999999993</v>
      </c>
      <c r="N91" s="3053" t="s">
        <v>4516</v>
      </c>
      <c r="O91" s="2974">
        <f t="shared" ref="O91:O96" si="5">ROUND(20%+40%*Q91/P91,2)</f>
        <v>0.45</v>
      </c>
      <c r="P91" s="2962">
        <f t="shared" si="4"/>
        <v>8</v>
      </c>
      <c r="Q91" s="2962">
        <v>5</v>
      </c>
    </row>
    <row r="92" spans="1:21">
      <c r="A92" s="2976" t="s">
        <v>3202</v>
      </c>
      <c r="B92" s="2976" t="s">
        <v>3093</v>
      </c>
      <c r="C92" s="2961"/>
      <c r="D92" s="2961"/>
      <c r="E92" s="2961"/>
      <c r="F92" s="2961"/>
      <c r="G92" s="2961"/>
      <c r="H92" s="2961"/>
      <c r="I92" s="2961"/>
      <c r="J92" s="2961"/>
      <c r="K92" s="2961"/>
      <c r="L92" s="2973"/>
      <c r="M92" s="2973">
        <f>洋房测绘!N97</f>
        <v>7769.9500000000007</v>
      </c>
      <c r="N92" s="3053" t="s">
        <v>4518</v>
      </c>
      <c r="O92" s="2974">
        <f t="shared" si="5"/>
        <v>0.5</v>
      </c>
      <c r="P92" s="2962">
        <f t="shared" si="4"/>
        <v>8</v>
      </c>
      <c r="Q92" s="2962">
        <v>6</v>
      </c>
    </row>
    <row r="93" spans="1:21">
      <c r="A93" s="2976" t="s">
        <v>3203</v>
      </c>
      <c r="B93" s="2976" t="s">
        <v>3093</v>
      </c>
      <c r="C93" s="2961"/>
      <c r="D93" s="2961"/>
      <c r="E93" s="2961"/>
      <c r="F93" s="2961"/>
      <c r="G93" s="2961"/>
      <c r="H93" s="2961"/>
      <c r="I93" s="2961"/>
      <c r="J93" s="2961"/>
      <c r="K93" s="2961"/>
      <c r="L93" s="2973"/>
      <c r="M93" s="2973">
        <f>洋房测绘!N101</f>
        <v>6077.8399999999992</v>
      </c>
      <c r="N93" s="3053" t="s">
        <v>4516</v>
      </c>
      <c r="O93" s="2974">
        <f t="shared" si="5"/>
        <v>0.45</v>
      </c>
      <c r="P93" s="2962">
        <f t="shared" si="4"/>
        <v>8</v>
      </c>
      <c r="Q93" s="2962">
        <v>5</v>
      </c>
    </row>
    <row r="94" spans="1:21">
      <c r="A94" s="2976" t="s">
        <v>3204</v>
      </c>
      <c r="B94" s="2976" t="s">
        <v>3093</v>
      </c>
      <c r="C94" s="2961"/>
      <c r="D94" s="2961"/>
      <c r="E94" s="2961"/>
      <c r="F94" s="2961"/>
      <c r="G94" s="2961"/>
      <c r="H94" s="2961"/>
      <c r="I94" s="2961"/>
      <c r="J94" s="2961"/>
      <c r="K94" s="2961"/>
      <c r="L94" s="2973"/>
      <c r="M94" s="2973">
        <f>洋房测绘!N107</f>
        <v>5381.22</v>
      </c>
      <c r="N94" s="3053" t="s">
        <v>4516</v>
      </c>
      <c r="O94" s="2974">
        <f t="shared" si="5"/>
        <v>0.49</v>
      </c>
      <c r="P94" s="2962">
        <f t="shared" si="4"/>
        <v>7</v>
      </c>
      <c r="Q94" s="2962">
        <v>5</v>
      </c>
    </row>
    <row r="95" spans="1:21">
      <c r="A95" s="2976" t="s">
        <v>3205</v>
      </c>
      <c r="B95" s="2976" t="s">
        <v>3093</v>
      </c>
      <c r="C95" s="2961"/>
      <c r="D95" s="2961"/>
      <c r="E95" s="2961"/>
      <c r="F95" s="2961"/>
      <c r="G95" s="2961"/>
      <c r="H95" s="2961"/>
      <c r="I95" s="2961"/>
      <c r="J95" s="2961"/>
      <c r="K95" s="2961"/>
      <c r="L95" s="2973"/>
      <c r="M95" s="2973">
        <f>洋房测绘!N113</f>
        <v>5381.2100000000009</v>
      </c>
      <c r="N95" s="3053" t="s">
        <v>4519</v>
      </c>
      <c r="O95" s="2974">
        <f t="shared" si="5"/>
        <v>0.31</v>
      </c>
      <c r="P95" s="2962">
        <f t="shared" si="4"/>
        <v>7</v>
      </c>
      <c r="Q95" s="2962">
        <v>2</v>
      </c>
    </row>
    <row r="96" spans="1:21">
      <c r="A96" s="2976" t="s">
        <v>3206</v>
      </c>
      <c r="B96" s="2976" t="s">
        <v>3093</v>
      </c>
      <c r="C96" s="2961"/>
      <c r="D96" s="2961"/>
      <c r="E96" s="2961"/>
      <c r="F96" s="2961"/>
      <c r="G96" s="2961"/>
      <c r="H96" s="2961"/>
      <c r="I96" s="2961"/>
      <c r="J96" s="2961"/>
      <c r="K96" s="2961"/>
      <c r="L96" s="2973"/>
      <c r="M96" s="2973">
        <f>洋房测绘!N119</f>
        <v>5381.1000000000013</v>
      </c>
      <c r="N96" s="3053" t="s">
        <v>4520</v>
      </c>
      <c r="O96" s="2974">
        <f t="shared" si="5"/>
        <v>0.31</v>
      </c>
      <c r="P96" s="2962">
        <f t="shared" si="4"/>
        <v>7</v>
      </c>
      <c r="Q96" s="2962">
        <v>2</v>
      </c>
    </row>
    <row r="97" spans="1:22">
      <c r="A97" s="2976" t="s">
        <v>3207</v>
      </c>
      <c r="B97" s="2976" t="s">
        <v>3208</v>
      </c>
      <c r="C97" s="2961"/>
      <c r="D97" s="2961"/>
      <c r="E97" s="2961"/>
      <c r="F97" s="2961"/>
      <c r="G97" s="2961"/>
      <c r="H97" s="2961"/>
      <c r="I97" s="2961"/>
      <c r="J97" s="2961"/>
      <c r="K97" s="2961"/>
      <c r="L97" s="2973"/>
      <c r="M97" s="2973">
        <f>C117</f>
        <v>1000</v>
      </c>
      <c r="N97" s="3053" t="s">
        <v>4521</v>
      </c>
      <c r="O97" s="2974">
        <v>0</v>
      </c>
    </row>
    <row r="98" spans="1:22">
      <c r="A98" s="2961"/>
      <c r="B98" s="2961"/>
      <c r="C98" s="2961">
        <f>C86+C88+C87</f>
        <v>180711.25</v>
      </c>
      <c r="D98" s="2961"/>
      <c r="E98" s="2961"/>
      <c r="F98" s="2961">
        <v>10280</v>
      </c>
      <c r="G98" s="2961"/>
      <c r="H98" s="2961"/>
      <c r="I98" s="2961"/>
      <c r="J98" s="2961"/>
      <c r="K98" s="2961"/>
      <c r="M98" s="2973">
        <f>SUM(M3:M97)-M86</f>
        <v>229062.52999999997</v>
      </c>
      <c r="O98" s="2974">
        <f>ROUND(SUMPRODUCT(M3:M97,O3:O97)/M98,2)</f>
        <v>0.55000000000000004</v>
      </c>
      <c r="Q98" s="2975"/>
    </row>
    <row r="99" spans="1:22">
      <c r="U99" s="2973" t="s">
        <v>3187</v>
      </c>
      <c r="V99" s="2973" t="s">
        <v>3188</v>
      </c>
    </row>
    <row r="100" spans="1:22">
      <c r="N100" s="2962">
        <v>0.64323254210551095</v>
      </c>
      <c r="R100" s="2962">
        <v>167776.05</v>
      </c>
      <c r="U100" s="2962">
        <v>39574.06</v>
      </c>
      <c r="V100" s="2971">
        <f>U100-R86</f>
        <v>1345.6599999999962</v>
      </c>
    </row>
    <row r="101" spans="1:22">
      <c r="B101" s="3200" t="s">
        <v>37</v>
      </c>
      <c r="C101" s="3200" t="s">
        <v>3078</v>
      </c>
      <c r="D101" s="3200"/>
      <c r="E101" s="3200"/>
      <c r="F101" s="3200"/>
      <c r="G101" s="3200" t="s">
        <v>3079</v>
      </c>
      <c r="H101" s="3200"/>
      <c r="I101" s="3200"/>
      <c r="J101" s="3200"/>
      <c r="K101" s="3200"/>
      <c r="L101" s="2977"/>
      <c r="P101" s="2978">
        <f>R87+V100+B104</f>
        <v>228837.91</v>
      </c>
    </row>
    <row r="102" spans="1:22">
      <c r="B102" s="3201"/>
      <c r="C102" s="2964" t="s">
        <v>3080</v>
      </c>
      <c r="D102" s="2964" t="s">
        <v>3083</v>
      </c>
      <c r="E102" s="2964" t="s">
        <v>3189</v>
      </c>
      <c r="F102" s="2964" t="s">
        <v>1372</v>
      </c>
      <c r="G102" s="2964" t="s">
        <v>3082</v>
      </c>
      <c r="H102" s="2964" t="s">
        <v>3190</v>
      </c>
      <c r="I102" s="2964" t="s">
        <v>3083</v>
      </c>
      <c r="J102" s="2979" t="s">
        <v>3189</v>
      </c>
      <c r="K102" s="2979" t="s">
        <v>1372</v>
      </c>
      <c r="L102" s="2980"/>
      <c r="N102" s="2973" t="s">
        <v>3191</v>
      </c>
      <c r="S102" s="2960" t="s">
        <v>3192</v>
      </c>
      <c r="T102" s="2960" t="s">
        <v>3194</v>
      </c>
      <c r="U102" s="2960" t="s">
        <v>3195</v>
      </c>
    </row>
    <row r="103" spans="1:22">
      <c r="A103" s="2965"/>
      <c r="B103" s="2965">
        <f>SUM(C103:K103)</f>
        <v>170431.25</v>
      </c>
      <c r="C103" s="2965">
        <v>46712.66</v>
      </c>
      <c r="D103" s="2965">
        <v>300</v>
      </c>
      <c r="E103" s="2965"/>
      <c r="F103" s="2965"/>
      <c r="G103" s="2965">
        <v>72621.73</v>
      </c>
      <c r="H103" s="2965">
        <v>36358.14</v>
      </c>
      <c r="I103" s="2965">
        <v>14438.72</v>
      </c>
      <c r="J103" s="2965"/>
      <c r="K103" s="2965"/>
      <c r="L103" s="2981"/>
      <c r="M103" s="2973" t="s">
        <v>3196</v>
      </c>
      <c r="N103" s="2962">
        <v>10280</v>
      </c>
      <c r="S103" s="2961">
        <f>R86-H103</f>
        <v>1870.260000000002</v>
      </c>
      <c r="T103" s="2961">
        <f>S87-C103</f>
        <v>-1.8200000000142609</v>
      </c>
      <c r="U103" s="2961">
        <f>U87-G103</f>
        <v>11438.529999999999</v>
      </c>
    </row>
    <row r="104" spans="1:22" s="2971" customFormat="1">
      <c r="A104" s="2970"/>
      <c r="B104" s="2970">
        <f>SUM(C104:K104)</f>
        <v>58492.750000000007</v>
      </c>
      <c r="C104" s="2970">
        <v>42524.340000000011</v>
      </c>
      <c r="D104" s="2970">
        <v>168</v>
      </c>
      <c r="E104" s="2970">
        <v>1870</v>
      </c>
      <c r="F104" s="2970">
        <v>250</v>
      </c>
      <c r="G104" s="2970">
        <v>10172.129999999999</v>
      </c>
      <c r="H104" s="2970"/>
      <c r="I104" s="2970">
        <v>3228.2799999999997</v>
      </c>
      <c r="J104" s="2970">
        <v>50</v>
      </c>
      <c r="K104" s="2970">
        <v>230</v>
      </c>
      <c r="L104" s="2982"/>
      <c r="O104" s="2983"/>
    </row>
    <row r="105" spans="1:22">
      <c r="A105" s="2965"/>
      <c r="B105" s="2965">
        <f>SUM(C105:K105)</f>
        <v>228924</v>
      </c>
      <c r="C105" s="2965">
        <v>89237.000000000029</v>
      </c>
      <c r="D105" s="2965">
        <v>468</v>
      </c>
      <c r="E105" s="2965">
        <v>1870</v>
      </c>
      <c r="F105" s="2965">
        <v>250</v>
      </c>
      <c r="G105" s="2965">
        <v>82793.859999999971</v>
      </c>
      <c r="H105" s="2965">
        <v>36358.14</v>
      </c>
      <c r="I105" s="2965">
        <v>17667</v>
      </c>
      <c r="J105" s="2965">
        <v>50</v>
      </c>
      <c r="K105" s="2965">
        <v>230</v>
      </c>
      <c r="L105" s="2981"/>
      <c r="S105" s="2962">
        <v>67032.62</v>
      </c>
      <c r="U105" s="2962">
        <v>104497.3</v>
      </c>
      <c r="V105" s="2962">
        <v>62324.57</v>
      </c>
    </row>
    <row r="106" spans="1:22">
      <c r="B106" s="2981"/>
      <c r="C106" s="2981"/>
      <c r="D106" s="2981"/>
      <c r="E106" s="2981"/>
      <c r="F106" s="2981"/>
      <c r="G106" s="2981"/>
      <c r="S106" s="2962">
        <f>R86+I124</f>
        <v>65277.4</v>
      </c>
      <c r="U106" s="2962">
        <f>U87+G104+F124</f>
        <v>158635.39000000001</v>
      </c>
    </row>
    <row r="107" spans="1:22">
      <c r="A107" s="2964" t="s">
        <v>3197</v>
      </c>
      <c r="B107" s="2965"/>
      <c r="C107" s="2965"/>
      <c r="D107" s="2964" t="s">
        <v>3078</v>
      </c>
      <c r="E107" s="2964"/>
      <c r="F107" s="2964"/>
      <c r="G107" s="2964"/>
      <c r="H107" s="2964" t="s">
        <v>3079</v>
      </c>
      <c r="I107" s="2964"/>
      <c r="J107" s="2965"/>
      <c r="K107" s="2965"/>
      <c r="L107" s="2965"/>
      <c r="M107" s="2965"/>
      <c r="N107" s="2965"/>
      <c r="O107" s="2984"/>
      <c r="P107" s="2965"/>
      <c r="Q107" s="2965"/>
    </row>
    <row r="108" spans="1:22">
      <c r="A108" s="2964"/>
      <c r="B108" s="2965"/>
      <c r="C108" s="2964" t="s">
        <v>37</v>
      </c>
      <c r="D108" s="2964" t="s">
        <v>3080</v>
      </c>
      <c r="E108" s="2964" t="s">
        <v>3083</v>
      </c>
      <c r="F108" s="2964" t="s">
        <v>3189</v>
      </c>
      <c r="G108" s="2964" t="s">
        <v>1372</v>
      </c>
      <c r="H108" s="2964" t="s">
        <v>3082</v>
      </c>
      <c r="I108" s="2964" t="s">
        <v>3083</v>
      </c>
      <c r="J108" s="2964" t="s">
        <v>3189</v>
      </c>
      <c r="K108" s="2964" t="s">
        <v>1372</v>
      </c>
      <c r="L108" s="2964"/>
      <c r="M108" s="2964" t="s">
        <v>3084</v>
      </c>
      <c r="N108" s="2964" t="s">
        <v>3085</v>
      </c>
      <c r="O108" s="2985" t="s">
        <v>3086</v>
      </c>
      <c r="P108" s="2964" t="s">
        <v>3087</v>
      </c>
      <c r="Q108" s="2964" t="s">
        <v>3198</v>
      </c>
    </row>
    <row r="109" spans="1:22">
      <c r="A109" s="2964" t="s">
        <v>3199</v>
      </c>
      <c r="B109" s="2964" t="s">
        <v>3093</v>
      </c>
      <c r="C109" s="2965">
        <f>SUM(D109:K109)</f>
        <v>9627.16</v>
      </c>
      <c r="D109" s="2965">
        <v>6972.46</v>
      </c>
      <c r="E109" s="2965"/>
      <c r="F109" s="2965"/>
      <c r="G109" s="2965"/>
      <c r="H109" s="2965">
        <v>1536.46</v>
      </c>
      <c r="I109" s="2965">
        <v>1118.24</v>
      </c>
      <c r="J109" s="2965"/>
      <c r="K109" s="2965"/>
      <c r="L109" s="2965"/>
      <c r="M109" s="2965">
        <v>8</v>
      </c>
      <c r="N109" s="2965">
        <v>3</v>
      </c>
      <c r="O109" s="2965">
        <v>1</v>
      </c>
      <c r="P109" s="2965">
        <v>48</v>
      </c>
      <c r="Q109" s="2965">
        <v>6115.4</v>
      </c>
      <c r="R109" s="2962">
        <f>D109-Q109</f>
        <v>857.0600000000004</v>
      </c>
    </row>
    <row r="110" spans="1:22">
      <c r="A110" s="3012" t="s">
        <v>3200</v>
      </c>
      <c r="B110" s="2964" t="s">
        <v>3093</v>
      </c>
      <c r="C110" s="2965">
        <f>SUM(D110:K110)</f>
        <v>8835.02</v>
      </c>
      <c r="D110" s="2965">
        <v>6984.06</v>
      </c>
      <c r="E110" s="2965"/>
      <c r="F110" s="2965"/>
      <c r="G110" s="2965"/>
      <c r="H110" s="2965">
        <v>1622.72</v>
      </c>
      <c r="I110" s="2965">
        <v>228.24</v>
      </c>
      <c r="J110" s="2965"/>
      <c r="K110" s="2965"/>
      <c r="L110" s="2965"/>
      <c r="M110" s="2965">
        <v>8</v>
      </c>
      <c r="N110" s="2965">
        <v>3</v>
      </c>
      <c r="O110" s="2965">
        <v>1</v>
      </c>
      <c r="P110" s="2965">
        <v>48</v>
      </c>
      <c r="Q110" s="2965">
        <v>6115.4</v>
      </c>
      <c r="R110" s="2962">
        <f t="shared" ref="R110:R116" si="6">D110-Q110</f>
        <v>868.66000000000076</v>
      </c>
    </row>
    <row r="111" spans="1:22">
      <c r="A111" s="2964" t="s">
        <v>3201</v>
      </c>
      <c r="B111" s="2964" t="s">
        <v>3093</v>
      </c>
      <c r="C111" s="2965">
        <f t="shared" ref="C111:C117" si="7">SUM(D111:K111)</f>
        <v>8835.07</v>
      </c>
      <c r="D111" s="2965">
        <v>6975.06</v>
      </c>
      <c r="E111" s="2965"/>
      <c r="F111" s="2965"/>
      <c r="G111" s="2965"/>
      <c r="H111" s="2965">
        <v>1631.77</v>
      </c>
      <c r="I111" s="2965">
        <v>228.24</v>
      </c>
      <c r="J111" s="2965"/>
      <c r="K111" s="2965"/>
      <c r="L111" s="2965"/>
      <c r="M111" s="2965">
        <v>8</v>
      </c>
      <c r="N111" s="2965">
        <v>3</v>
      </c>
      <c r="O111" s="2965">
        <v>1</v>
      </c>
      <c r="P111" s="2965">
        <v>48</v>
      </c>
      <c r="Q111" s="2965">
        <v>6115.4</v>
      </c>
      <c r="R111" s="2962">
        <f t="shared" si="6"/>
        <v>859.66000000000076</v>
      </c>
    </row>
    <row r="112" spans="1:22">
      <c r="A112" s="2964" t="s">
        <v>3202</v>
      </c>
      <c r="B112" s="2964" t="s">
        <v>3093</v>
      </c>
      <c r="C112" s="2965">
        <f t="shared" si="7"/>
        <v>7910.56</v>
      </c>
      <c r="D112" s="2965">
        <v>4540.51</v>
      </c>
      <c r="E112" s="2965">
        <v>78</v>
      </c>
      <c r="F112" s="2965">
        <v>650</v>
      </c>
      <c r="G112" s="2965">
        <v>250</v>
      </c>
      <c r="H112" s="2965">
        <v>1294.5899999999999</v>
      </c>
      <c r="I112" s="2965">
        <v>867.46</v>
      </c>
      <c r="J112" s="2965"/>
      <c r="K112" s="2965">
        <v>230</v>
      </c>
      <c r="L112" s="2965"/>
      <c r="M112" s="2965">
        <v>8</v>
      </c>
      <c r="N112" s="2965">
        <v>3</v>
      </c>
      <c r="O112" s="2965">
        <v>1</v>
      </c>
      <c r="P112" s="2965">
        <v>30</v>
      </c>
      <c r="Q112" s="2965">
        <v>4191.8999999999996</v>
      </c>
      <c r="R112" s="2962">
        <f t="shared" si="6"/>
        <v>348.61000000000058</v>
      </c>
    </row>
    <row r="113" spans="1:20">
      <c r="A113" s="2964" t="s">
        <v>3203</v>
      </c>
      <c r="B113" s="2964" t="s">
        <v>3093</v>
      </c>
      <c r="C113" s="2965">
        <f t="shared" si="7"/>
        <v>6088.81</v>
      </c>
      <c r="D113" s="2965">
        <v>4545.8500000000004</v>
      </c>
      <c r="E113" s="2965">
        <v>90</v>
      </c>
      <c r="F113" s="2965">
        <v>220</v>
      </c>
      <c r="G113" s="2965"/>
      <c r="H113" s="2965">
        <v>897.65</v>
      </c>
      <c r="I113" s="2965">
        <v>285.31</v>
      </c>
      <c r="J113" s="2965">
        <v>50</v>
      </c>
      <c r="K113" s="2965"/>
      <c r="L113" s="2965"/>
      <c r="M113" s="2965">
        <v>8</v>
      </c>
      <c r="N113" s="2965">
        <v>3</v>
      </c>
      <c r="O113" s="2965">
        <v>1</v>
      </c>
      <c r="P113" s="2965">
        <v>30</v>
      </c>
      <c r="Q113" s="2965">
        <v>4191.8999999999996</v>
      </c>
      <c r="R113" s="2962">
        <f t="shared" si="6"/>
        <v>353.95000000000073</v>
      </c>
      <c r="S113" s="2986"/>
      <c r="T113" s="2986"/>
    </row>
    <row r="114" spans="1:20">
      <c r="A114" s="2964" t="s">
        <v>3204</v>
      </c>
      <c r="B114" s="2964" t="s">
        <v>3093</v>
      </c>
      <c r="C114" s="2965">
        <f t="shared" si="7"/>
        <v>5398.7100000000009</v>
      </c>
      <c r="D114" s="2965">
        <v>4168.8</v>
      </c>
      <c r="E114" s="2965"/>
      <c r="F114" s="2965"/>
      <c r="G114" s="2965"/>
      <c r="H114" s="2965">
        <v>1062.98</v>
      </c>
      <c r="I114" s="2965">
        <v>166.93</v>
      </c>
      <c r="J114" s="2965"/>
      <c r="K114" s="2965"/>
      <c r="L114" s="2965"/>
      <c r="M114" s="2965">
        <v>7</v>
      </c>
      <c r="N114" s="2965">
        <v>3</v>
      </c>
      <c r="O114" s="2965">
        <v>1</v>
      </c>
      <c r="P114" s="2965">
        <v>28</v>
      </c>
      <c r="Q114" s="2965">
        <v>1364</v>
      </c>
      <c r="R114" s="2962">
        <f t="shared" si="6"/>
        <v>2804.8</v>
      </c>
    </row>
    <row r="115" spans="1:20">
      <c r="A115" s="2964" t="s">
        <v>3205</v>
      </c>
      <c r="B115" s="2964" t="s">
        <v>3093</v>
      </c>
      <c r="C115" s="2965">
        <f t="shared" si="7"/>
        <v>5398.7100000000009</v>
      </c>
      <c r="D115" s="2965">
        <v>4168.8</v>
      </c>
      <c r="E115" s="2965"/>
      <c r="F115" s="2965"/>
      <c r="G115" s="2965"/>
      <c r="H115" s="2965">
        <v>1062.98</v>
      </c>
      <c r="I115" s="2965">
        <v>166.93</v>
      </c>
      <c r="J115" s="2965"/>
      <c r="K115" s="2965"/>
      <c r="L115" s="2965"/>
      <c r="M115" s="2965">
        <v>7</v>
      </c>
      <c r="N115" s="2965">
        <v>3</v>
      </c>
      <c r="O115" s="2965">
        <v>1</v>
      </c>
      <c r="P115" s="2965">
        <v>28</v>
      </c>
      <c r="Q115" s="2965">
        <v>0</v>
      </c>
      <c r="R115" s="2962">
        <f t="shared" si="6"/>
        <v>4168.8</v>
      </c>
    </row>
    <row r="116" spans="1:20">
      <c r="A116" s="2964" t="s">
        <v>3206</v>
      </c>
      <c r="B116" s="2964" t="s">
        <v>3093</v>
      </c>
      <c r="C116" s="2965">
        <f t="shared" si="7"/>
        <v>5398.7100000000009</v>
      </c>
      <c r="D116" s="2965">
        <v>4168.8</v>
      </c>
      <c r="E116" s="2965"/>
      <c r="F116" s="2965"/>
      <c r="G116" s="2965"/>
      <c r="H116" s="2965">
        <v>1062.98</v>
      </c>
      <c r="I116" s="2965">
        <v>166.93</v>
      </c>
      <c r="J116" s="2965"/>
      <c r="K116" s="2965"/>
      <c r="L116" s="2965"/>
      <c r="M116" s="2965">
        <v>7</v>
      </c>
      <c r="N116" s="2965">
        <v>3</v>
      </c>
      <c r="O116" s="2965">
        <v>1</v>
      </c>
      <c r="P116" s="2965">
        <v>28</v>
      </c>
      <c r="Q116" s="2965">
        <v>3582.1</v>
      </c>
      <c r="R116" s="2962">
        <f t="shared" si="6"/>
        <v>586.70000000000027</v>
      </c>
    </row>
    <row r="117" spans="1:20">
      <c r="A117" s="2964" t="s">
        <v>3207</v>
      </c>
      <c r="B117" s="2964" t="s">
        <v>3208</v>
      </c>
      <c r="C117" s="2965">
        <f t="shared" si="7"/>
        <v>1000</v>
      </c>
      <c r="D117" s="2965"/>
      <c r="E117" s="2965"/>
      <c r="F117" s="2965">
        <v>1000</v>
      </c>
      <c r="G117" s="2965"/>
      <c r="H117" s="2965"/>
      <c r="I117" s="2965"/>
      <c r="J117" s="2965"/>
      <c r="K117" s="2965"/>
      <c r="L117" s="2965"/>
      <c r="M117" s="2965"/>
      <c r="N117" s="2965"/>
      <c r="O117" s="2984"/>
      <c r="P117" s="2965"/>
      <c r="Q117" s="2965"/>
    </row>
    <row r="118" spans="1:20">
      <c r="A118" s="2964" t="s">
        <v>37</v>
      </c>
      <c r="B118" s="2965"/>
      <c r="C118" s="2965">
        <f>SUM(C109:C117)</f>
        <v>58492.749999999993</v>
      </c>
      <c r="D118" s="2965">
        <f t="shared" ref="D118:K118" si="8">SUM(D109:D117)</f>
        <v>42524.340000000011</v>
      </c>
      <c r="E118" s="2965">
        <f t="shared" si="8"/>
        <v>168</v>
      </c>
      <c r="F118" s="2965">
        <f t="shared" si="8"/>
        <v>1870</v>
      </c>
      <c r="G118" s="2965">
        <f t="shared" si="8"/>
        <v>250</v>
      </c>
      <c r="H118" s="2965">
        <f>SUM(H109:H117)</f>
        <v>10172.129999999999</v>
      </c>
      <c r="I118" s="2965">
        <f>SUM(I109:I117)</f>
        <v>3228.2799999999997</v>
      </c>
      <c r="J118" s="2965">
        <f t="shared" si="8"/>
        <v>50</v>
      </c>
      <c r="K118" s="2965">
        <f t="shared" si="8"/>
        <v>230</v>
      </c>
      <c r="L118" s="2965"/>
      <c r="M118" s="2965"/>
      <c r="N118" s="2965"/>
      <c r="O118" s="2984"/>
      <c r="P118" s="2965">
        <f>SUM(P109:P117)</f>
        <v>288</v>
      </c>
      <c r="Q118" s="2965">
        <f>SUM(Q109:Q117)</f>
        <v>31676.1</v>
      </c>
      <c r="R118" s="2962">
        <f>SUM(R109:R116)</f>
        <v>10848.240000000005</v>
      </c>
    </row>
    <row r="120" spans="1:20">
      <c r="B120" s="2973" t="s">
        <v>3209</v>
      </c>
      <c r="C120" s="2962">
        <v>64089.62</v>
      </c>
    </row>
    <row r="121" spans="1:20">
      <c r="B121" s="2987" t="s">
        <v>3210</v>
      </c>
      <c r="C121" s="2962">
        <v>91043.21</v>
      </c>
    </row>
    <row r="122" spans="1:20">
      <c r="B122" s="2987"/>
      <c r="C122" s="2965"/>
      <c r="D122" s="2964" t="s">
        <v>3078</v>
      </c>
      <c r="E122" s="2965"/>
      <c r="F122" s="2964" t="s">
        <v>3079</v>
      </c>
      <c r="G122" s="2965"/>
      <c r="H122" s="2965"/>
      <c r="I122" s="2965"/>
      <c r="O122" s="2962"/>
    </row>
    <row r="123" spans="1:20">
      <c r="B123" s="2960" t="s">
        <v>37</v>
      </c>
      <c r="C123" s="2964" t="s">
        <v>3080</v>
      </c>
      <c r="D123" s="2964" t="s">
        <v>3211</v>
      </c>
      <c r="E123" s="2964" t="s">
        <v>3083</v>
      </c>
      <c r="F123" s="2964" t="s">
        <v>3082</v>
      </c>
      <c r="G123" s="2964" t="s">
        <v>3212</v>
      </c>
      <c r="H123" s="2964" t="s">
        <v>3083</v>
      </c>
      <c r="I123" s="2964" t="s">
        <v>3190</v>
      </c>
      <c r="M123" s="2973" t="s">
        <v>3191</v>
      </c>
      <c r="O123" s="2962"/>
    </row>
    <row r="124" spans="1:20">
      <c r="B124" s="2961">
        <v>168826</v>
      </c>
      <c r="C124" s="2964">
        <v>40845.619999999995</v>
      </c>
      <c r="D124" s="2965">
        <v>23770.38</v>
      </c>
      <c r="E124" s="2965">
        <v>78</v>
      </c>
      <c r="F124" s="2965">
        <v>64403</v>
      </c>
      <c r="G124" s="2965">
        <v>990</v>
      </c>
      <c r="H124" s="2965">
        <v>11690</v>
      </c>
      <c r="I124" s="2965">
        <v>27049</v>
      </c>
      <c r="K124" s="2973" t="s">
        <v>3213</v>
      </c>
      <c r="L124" s="2973"/>
      <c r="M124" s="2962">
        <v>4204</v>
      </c>
      <c r="N124" s="2962">
        <v>173030</v>
      </c>
      <c r="O124" s="2962"/>
    </row>
    <row r="125" spans="1:20">
      <c r="K125" s="2962">
        <v>39.545321637426902</v>
      </c>
      <c r="O125" s="2962"/>
    </row>
    <row r="129" spans="7:15">
      <c r="G129" s="2973"/>
      <c r="O129" s="2962"/>
    </row>
  </sheetData>
  <mergeCells count="3">
    <mergeCell ref="B101:B102"/>
    <mergeCell ref="C101:F101"/>
    <mergeCell ref="G101:K101"/>
  </mergeCells>
  <phoneticPr fontId="143" type="noConversion"/>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43"/>
  <sheetViews>
    <sheetView topLeftCell="A668" workbookViewId="0">
      <selection activeCell="A676" sqref="A676:H681"/>
    </sheetView>
  </sheetViews>
  <sheetFormatPr defaultRowHeight="12"/>
  <cols>
    <col min="1" max="2" width="8.625" style="3033" customWidth="1"/>
    <col min="3" max="3" width="8.625" style="3041" customWidth="1"/>
    <col min="4" max="13" width="8.625" style="3033" customWidth="1"/>
    <col min="14" max="16384" width="9" style="3033"/>
  </cols>
  <sheetData>
    <row r="1" spans="1:13" s="3031" customFormat="1" ht="18.75">
      <c r="A1" s="2937"/>
      <c r="B1" s="2937" t="s">
        <v>4494</v>
      </c>
      <c r="C1" s="3038" t="s">
        <v>4495</v>
      </c>
      <c r="D1" s="2937" t="s">
        <v>4496</v>
      </c>
      <c r="E1" s="2937" t="s">
        <v>4497</v>
      </c>
      <c r="F1" s="2937" t="s">
        <v>4498</v>
      </c>
      <c r="G1" s="2937" t="s">
        <v>4499</v>
      </c>
      <c r="H1" s="2937"/>
      <c r="I1" s="2937"/>
      <c r="J1" s="2937" t="s">
        <v>4500</v>
      </c>
      <c r="K1" s="2937" t="s">
        <v>4501</v>
      </c>
      <c r="L1" s="2937" t="s">
        <v>4499</v>
      </c>
      <c r="M1" s="2937"/>
    </row>
    <row r="2" spans="1:13">
      <c r="A2" s="3032" t="s">
        <v>3092</v>
      </c>
      <c r="B2" s="3032">
        <v>2</v>
      </c>
      <c r="C2" s="3034">
        <v>-201</v>
      </c>
      <c r="D2" s="3032"/>
      <c r="E2" s="3032">
        <v>114.3</v>
      </c>
      <c r="F2" s="3032"/>
      <c r="G2" s="3032">
        <f t="shared" ref="G2:G65" si="0">SUM(D2:F2)</f>
        <v>114.3</v>
      </c>
      <c r="H2" s="3032">
        <f>SUM(G2:G5)</f>
        <v>817.74</v>
      </c>
      <c r="I2" s="3032"/>
      <c r="J2" s="3032"/>
      <c r="K2" s="3032">
        <f>G2-J2</f>
        <v>114.3</v>
      </c>
      <c r="L2" s="3032">
        <f>J2+K2</f>
        <v>114.3</v>
      </c>
      <c r="M2" s="3032"/>
    </row>
    <row r="3" spans="1:13">
      <c r="A3" s="3032"/>
      <c r="B3" s="3032"/>
      <c r="C3" s="3034">
        <v>-202</v>
      </c>
      <c r="D3" s="3032"/>
      <c r="E3" s="3032">
        <v>115.27</v>
      </c>
      <c r="F3" s="3032"/>
      <c r="G3" s="3032">
        <f t="shared" si="0"/>
        <v>115.27</v>
      </c>
      <c r="H3" s="3032"/>
      <c r="I3" s="3032"/>
      <c r="J3" s="3032"/>
      <c r="K3" s="3032">
        <f>G3-J3</f>
        <v>115.27</v>
      </c>
      <c r="L3" s="3032">
        <f t="shared" ref="L3:L269" si="1">J3+K3</f>
        <v>115.27</v>
      </c>
      <c r="M3" s="3032"/>
    </row>
    <row r="4" spans="1:13">
      <c r="A4" s="3032"/>
      <c r="B4" s="3032"/>
      <c r="C4" s="3034">
        <v>101</v>
      </c>
      <c r="D4" s="3032">
        <v>179.02</v>
      </c>
      <c r="E4" s="3032">
        <v>114.83</v>
      </c>
      <c r="F4" s="3032"/>
      <c r="G4" s="3032">
        <f t="shared" si="0"/>
        <v>293.85000000000002</v>
      </c>
      <c r="H4" s="3032"/>
      <c r="I4" s="3032"/>
      <c r="J4" s="3032">
        <f>282.56/2</f>
        <v>141.28</v>
      </c>
      <c r="K4" s="3032">
        <f>G4-J4</f>
        <v>152.57000000000002</v>
      </c>
      <c r="L4" s="3032">
        <f t="shared" si="1"/>
        <v>293.85000000000002</v>
      </c>
      <c r="M4" s="3032">
        <f>J4+J5</f>
        <v>282.56</v>
      </c>
    </row>
    <row r="5" spans="1:13">
      <c r="A5" s="3032"/>
      <c r="B5" s="3032"/>
      <c r="C5" s="3034">
        <v>102</v>
      </c>
      <c r="D5" s="3032">
        <v>179.25</v>
      </c>
      <c r="E5" s="3032">
        <v>115.07</v>
      </c>
      <c r="F5" s="3032"/>
      <c r="G5" s="3032">
        <f t="shared" si="0"/>
        <v>294.32</v>
      </c>
      <c r="H5" s="3032"/>
      <c r="I5" s="3032"/>
      <c r="J5" s="3032">
        <f>J4</f>
        <v>141.28</v>
      </c>
      <c r="K5" s="3032">
        <f t="shared" ref="K5:K295" si="2">G5-J5</f>
        <v>153.04</v>
      </c>
      <c r="L5" s="3032">
        <f t="shared" si="1"/>
        <v>294.32</v>
      </c>
      <c r="M5" s="3032"/>
    </row>
    <row r="6" spans="1:13">
      <c r="A6" s="3032" t="s">
        <v>3096</v>
      </c>
      <c r="B6" s="3032">
        <v>2</v>
      </c>
      <c r="C6" s="3034">
        <v>-201</v>
      </c>
      <c r="D6" s="3032"/>
      <c r="E6" s="3032">
        <v>114.28</v>
      </c>
      <c r="F6" s="3032"/>
      <c r="G6" s="3032">
        <f t="shared" si="0"/>
        <v>114.28</v>
      </c>
      <c r="H6" s="3032">
        <f>SUM(G6:G9)</f>
        <v>817.45</v>
      </c>
      <c r="I6" s="3032"/>
      <c r="J6" s="3032"/>
      <c r="K6" s="3032">
        <f>G6-J6</f>
        <v>114.28</v>
      </c>
      <c r="L6" s="3032">
        <f t="shared" si="1"/>
        <v>114.28</v>
      </c>
      <c r="M6" s="3032"/>
    </row>
    <row r="7" spans="1:13">
      <c r="A7" s="3032"/>
      <c r="B7" s="3032"/>
      <c r="C7" s="3034">
        <v>-202</v>
      </c>
      <c r="D7" s="3032"/>
      <c r="E7" s="3032">
        <v>115.26</v>
      </c>
      <c r="F7" s="3032"/>
      <c r="G7" s="3032">
        <f t="shared" si="0"/>
        <v>115.26</v>
      </c>
      <c r="H7" s="3032"/>
      <c r="I7" s="3032"/>
      <c r="J7" s="3032"/>
      <c r="K7" s="3032">
        <f t="shared" si="2"/>
        <v>115.26</v>
      </c>
      <c r="L7" s="3032">
        <f t="shared" si="1"/>
        <v>115.26</v>
      </c>
      <c r="M7" s="3032"/>
    </row>
    <row r="8" spans="1:13">
      <c r="A8" s="3032"/>
      <c r="B8" s="3032"/>
      <c r="C8" s="3034">
        <v>101</v>
      </c>
      <c r="D8" s="3032">
        <v>178.94</v>
      </c>
      <c r="E8" s="3032">
        <v>114.78</v>
      </c>
      <c r="F8" s="3032"/>
      <c r="G8" s="3032">
        <f t="shared" si="0"/>
        <v>293.72000000000003</v>
      </c>
      <c r="H8" s="3032"/>
      <c r="I8" s="3032"/>
      <c r="J8" s="3032">
        <f>282.56/2</f>
        <v>141.28</v>
      </c>
      <c r="K8" s="3032">
        <f>G8-J8</f>
        <v>152.44000000000003</v>
      </c>
      <c r="L8" s="3032">
        <f t="shared" si="1"/>
        <v>293.72000000000003</v>
      </c>
      <c r="M8" s="3032">
        <f>J8+J9</f>
        <v>282.56</v>
      </c>
    </row>
    <row r="9" spans="1:13">
      <c r="A9" s="3032"/>
      <c r="B9" s="3032"/>
      <c r="C9" s="3034">
        <v>102</v>
      </c>
      <c r="D9" s="3032">
        <v>179.16</v>
      </c>
      <c r="E9" s="3032">
        <v>115.03</v>
      </c>
      <c r="F9" s="3032"/>
      <c r="G9" s="3032">
        <f t="shared" si="0"/>
        <v>294.19</v>
      </c>
      <c r="H9" s="3032"/>
      <c r="I9" s="3032"/>
      <c r="J9" s="3032">
        <f>J8</f>
        <v>141.28</v>
      </c>
      <c r="K9" s="3032">
        <f>G9-J9</f>
        <v>152.91</v>
      </c>
      <c r="L9" s="3032">
        <f t="shared" si="1"/>
        <v>294.19</v>
      </c>
      <c r="M9" s="3032"/>
    </row>
    <row r="10" spans="1:13">
      <c r="A10" s="3032" t="s">
        <v>3098</v>
      </c>
      <c r="B10" s="3032">
        <v>4</v>
      </c>
      <c r="C10" s="3034">
        <v>-201</v>
      </c>
      <c r="D10" s="3032"/>
      <c r="E10" s="3032">
        <v>83.88</v>
      </c>
      <c r="F10" s="3032"/>
      <c r="G10" s="3032">
        <f t="shared" si="0"/>
        <v>83.88</v>
      </c>
      <c r="H10" s="3032">
        <f>SUM(G10:G17)</f>
        <v>1215.04</v>
      </c>
      <c r="I10" s="3032"/>
      <c r="J10" s="3032"/>
      <c r="K10" s="3032">
        <f t="shared" si="2"/>
        <v>83.88</v>
      </c>
      <c r="L10" s="3032">
        <f t="shared" si="1"/>
        <v>83.88</v>
      </c>
      <c r="M10" s="3032"/>
    </row>
    <row r="11" spans="1:13">
      <c r="A11" s="3032"/>
      <c r="B11" s="3032"/>
      <c r="C11" s="3034">
        <v>-202</v>
      </c>
      <c r="D11" s="3032"/>
      <c r="E11" s="3032">
        <v>84.6</v>
      </c>
      <c r="F11" s="3032"/>
      <c r="G11" s="3032">
        <f t="shared" si="0"/>
        <v>84.6</v>
      </c>
      <c r="H11" s="3032"/>
      <c r="I11" s="3032"/>
      <c r="J11" s="3032"/>
      <c r="K11" s="3032">
        <f t="shared" si="2"/>
        <v>84.6</v>
      </c>
      <c r="L11" s="3032">
        <f t="shared" si="1"/>
        <v>84.6</v>
      </c>
      <c r="M11" s="3032"/>
    </row>
    <row r="12" spans="1:13">
      <c r="A12" s="3032"/>
      <c r="B12" s="3032"/>
      <c r="C12" s="3034">
        <v>-203</v>
      </c>
      <c r="D12" s="3032"/>
      <c r="E12" s="3032">
        <v>83.88</v>
      </c>
      <c r="F12" s="3032"/>
      <c r="G12" s="3032">
        <f t="shared" si="0"/>
        <v>83.88</v>
      </c>
      <c r="H12" s="3032"/>
      <c r="I12" s="3032"/>
      <c r="J12" s="3032"/>
      <c r="K12" s="3032">
        <f t="shared" si="2"/>
        <v>83.88</v>
      </c>
      <c r="L12" s="3032">
        <f t="shared" si="1"/>
        <v>83.88</v>
      </c>
      <c r="M12" s="3032"/>
    </row>
    <row r="13" spans="1:13">
      <c r="A13" s="3032"/>
      <c r="B13" s="3032"/>
      <c r="C13" s="3034">
        <v>-204</v>
      </c>
      <c r="D13" s="3032"/>
      <c r="E13" s="3032">
        <v>84.6</v>
      </c>
      <c r="F13" s="3032"/>
      <c r="G13" s="3032">
        <f t="shared" si="0"/>
        <v>84.6</v>
      </c>
      <c r="H13" s="3032"/>
      <c r="I13" s="3032"/>
      <c r="J13" s="3032"/>
      <c r="K13" s="3032">
        <f t="shared" si="2"/>
        <v>84.6</v>
      </c>
      <c r="L13" s="3032">
        <f t="shared" si="1"/>
        <v>84.6</v>
      </c>
      <c r="M13" s="3032"/>
    </row>
    <row r="14" spans="1:13">
      <c r="A14" s="3032"/>
      <c r="B14" s="3032"/>
      <c r="C14" s="3034">
        <v>101</v>
      </c>
      <c r="D14" s="3032">
        <v>134.63999999999999</v>
      </c>
      <c r="E14" s="3032">
        <v>84.58</v>
      </c>
      <c r="F14" s="3032"/>
      <c r="G14" s="3032">
        <f t="shared" si="0"/>
        <v>219.21999999999997</v>
      </c>
      <c r="H14" s="3032"/>
      <c r="I14" s="3032"/>
      <c r="J14" s="3032">
        <f>ROUND(435.56/4,2)</f>
        <v>108.89</v>
      </c>
      <c r="K14" s="3032">
        <f t="shared" si="2"/>
        <v>110.32999999999997</v>
      </c>
      <c r="L14" s="3032">
        <f>J14+K14</f>
        <v>219.21999999999997</v>
      </c>
      <c r="M14" s="3032">
        <f>J14+J15+J16+J17</f>
        <v>435.56</v>
      </c>
    </row>
    <row r="15" spans="1:13">
      <c r="A15" s="3032"/>
      <c r="B15" s="3032"/>
      <c r="C15" s="3034">
        <v>102</v>
      </c>
      <c r="D15" s="3032">
        <v>134.83000000000001</v>
      </c>
      <c r="E15" s="3032">
        <v>84.99</v>
      </c>
      <c r="F15" s="3032"/>
      <c r="G15" s="3032">
        <f t="shared" si="0"/>
        <v>219.82</v>
      </c>
      <c r="H15" s="3032"/>
      <c r="I15" s="3032"/>
      <c r="J15" s="3032">
        <f>J14</f>
        <v>108.89</v>
      </c>
      <c r="K15" s="3032">
        <f t="shared" si="2"/>
        <v>110.92999999999999</v>
      </c>
      <c r="L15" s="3032">
        <f t="shared" si="1"/>
        <v>219.82</v>
      </c>
      <c r="M15" s="3032"/>
    </row>
    <row r="16" spans="1:13">
      <c r="A16" s="3032"/>
      <c r="B16" s="3032"/>
      <c r="C16" s="3034">
        <v>103</v>
      </c>
      <c r="D16" s="3032">
        <v>134.63999999999999</v>
      </c>
      <c r="E16" s="3032">
        <v>84.58</v>
      </c>
      <c r="F16" s="3032"/>
      <c r="G16" s="3032">
        <f t="shared" si="0"/>
        <v>219.21999999999997</v>
      </c>
      <c r="H16" s="3032"/>
      <c r="I16" s="3032"/>
      <c r="J16" s="3032">
        <f>J14</f>
        <v>108.89</v>
      </c>
      <c r="K16" s="3032">
        <f t="shared" si="2"/>
        <v>110.32999999999997</v>
      </c>
      <c r="L16" s="3032">
        <f t="shared" si="1"/>
        <v>219.21999999999997</v>
      </c>
      <c r="M16" s="3032"/>
    </row>
    <row r="17" spans="1:13">
      <c r="A17" s="3032"/>
      <c r="B17" s="3032"/>
      <c r="C17" s="3034">
        <v>104</v>
      </c>
      <c r="D17" s="3032">
        <v>134.83000000000001</v>
      </c>
      <c r="E17" s="3032">
        <v>84.99</v>
      </c>
      <c r="F17" s="3032"/>
      <c r="G17" s="3032">
        <f t="shared" si="0"/>
        <v>219.82</v>
      </c>
      <c r="H17" s="3032"/>
      <c r="I17" s="3032"/>
      <c r="J17" s="3032">
        <f>J14</f>
        <v>108.89</v>
      </c>
      <c r="K17" s="3032">
        <f t="shared" si="2"/>
        <v>110.92999999999999</v>
      </c>
      <c r="L17" s="3032">
        <f t="shared" si="1"/>
        <v>219.82</v>
      </c>
      <c r="M17" s="3032"/>
    </row>
    <row r="18" spans="1:13">
      <c r="A18" s="3032" t="s">
        <v>3100</v>
      </c>
      <c r="B18" s="3032">
        <v>6</v>
      </c>
      <c r="C18" s="3034">
        <v>-201</v>
      </c>
      <c r="D18" s="3032"/>
      <c r="E18" s="3032">
        <v>83.43</v>
      </c>
      <c r="F18" s="3032"/>
      <c r="G18" s="3032">
        <f t="shared" si="0"/>
        <v>83.43</v>
      </c>
      <c r="H18" s="3032">
        <f>SUM(G18:G29)</f>
        <v>1815.6799999999998</v>
      </c>
      <c r="I18" s="3032"/>
      <c r="J18" s="3032"/>
      <c r="K18" s="3032">
        <f t="shared" si="2"/>
        <v>83.43</v>
      </c>
      <c r="L18" s="3032">
        <f t="shared" si="1"/>
        <v>83.43</v>
      </c>
      <c r="M18" s="3032"/>
    </row>
    <row r="19" spans="1:13">
      <c r="A19" s="3032"/>
      <c r="B19" s="3032"/>
      <c r="C19" s="3034">
        <v>-202</v>
      </c>
      <c r="D19" s="3032"/>
      <c r="E19" s="3032">
        <v>84.15</v>
      </c>
      <c r="F19" s="3032"/>
      <c r="G19" s="3032">
        <f t="shared" si="0"/>
        <v>84.15</v>
      </c>
      <c r="H19" s="3032"/>
      <c r="I19" s="3032"/>
      <c r="J19" s="3032"/>
      <c r="K19" s="3032">
        <f t="shared" si="2"/>
        <v>84.15</v>
      </c>
      <c r="L19" s="3032">
        <f t="shared" si="1"/>
        <v>84.15</v>
      </c>
      <c r="M19" s="3032"/>
    </row>
    <row r="20" spans="1:13">
      <c r="A20" s="3032"/>
      <c r="B20" s="3032"/>
      <c r="C20" s="3034">
        <v>-203</v>
      </c>
      <c r="D20" s="3032"/>
      <c r="E20" s="3032">
        <v>84.15</v>
      </c>
      <c r="F20" s="3032"/>
      <c r="G20" s="3032">
        <f t="shared" si="0"/>
        <v>84.15</v>
      </c>
      <c r="H20" s="3032"/>
      <c r="I20" s="3032"/>
      <c r="J20" s="3032"/>
      <c r="K20" s="3032">
        <f t="shared" si="2"/>
        <v>84.15</v>
      </c>
      <c r="L20" s="3032">
        <f t="shared" si="1"/>
        <v>84.15</v>
      </c>
      <c r="M20" s="3032"/>
    </row>
    <row r="21" spans="1:13">
      <c r="A21" s="3032"/>
      <c r="B21" s="3032"/>
      <c r="C21" s="3034">
        <v>-204</v>
      </c>
      <c r="D21" s="3032"/>
      <c r="E21" s="3032">
        <v>83.43</v>
      </c>
      <c r="F21" s="3032"/>
      <c r="G21" s="3032">
        <f t="shared" si="0"/>
        <v>83.43</v>
      </c>
      <c r="H21" s="3032"/>
      <c r="I21" s="3032"/>
      <c r="J21" s="3032"/>
      <c r="K21" s="3032">
        <f t="shared" si="2"/>
        <v>83.43</v>
      </c>
      <c r="L21" s="3032">
        <f t="shared" si="1"/>
        <v>83.43</v>
      </c>
      <c r="M21" s="3032"/>
    </row>
    <row r="22" spans="1:13">
      <c r="A22" s="3032"/>
      <c r="B22" s="3032"/>
      <c r="C22" s="3034">
        <v>-205</v>
      </c>
      <c r="D22" s="3032"/>
      <c r="E22" s="3032">
        <v>84.15</v>
      </c>
      <c r="F22" s="3032"/>
      <c r="G22" s="3032">
        <f t="shared" si="0"/>
        <v>84.15</v>
      </c>
      <c r="H22" s="3032"/>
      <c r="I22" s="3032"/>
      <c r="J22" s="3032"/>
      <c r="K22" s="3032">
        <f t="shared" si="2"/>
        <v>84.15</v>
      </c>
      <c r="L22" s="3032">
        <f t="shared" si="1"/>
        <v>84.15</v>
      </c>
      <c r="M22" s="3032"/>
    </row>
    <row r="23" spans="1:13">
      <c r="A23" s="3032"/>
      <c r="B23" s="3032"/>
      <c r="C23" s="3034">
        <v>-206</v>
      </c>
      <c r="D23" s="3032"/>
      <c r="E23" s="3032">
        <v>84.15</v>
      </c>
      <c r="F23" s="3032"/>
      <c r="G23" s="3032">
        <f t="shared" si="0"/>
        <v>84.15</v>
      </c>
      <c r="H23" s="3032"/>
      <c r="I23" s="3032"/>
      <c r="J23" s="3032"/>
      <c r="K23" s="3032">
        <f t="shared" si="2"/>
        <v>84.15</v>
      </c>
      <c r="L23" s="3032">
        <f t="shared" si="1"/>
        <v>84.15</v>
      </c>
      <c r="M23" s="3032"/>
    </row>
    <row r="24" spans="1:13">
      <c r="A24" s="3032"/>
      <c r="B24" s="3032"/>
      <c r="C24" s="3034">
        <v>101</v>
      </c>
      <c r="D24" s="3032">
        <v>134.18</v>
      </c>
      <c r="E24" s="3032">
        <v>84.28</v>
      </c>
      <c r="F24" s="3032"/>
      <c r="G24" s="3032">
        <f t="shared" si="0"/>
        <v>218.46</v>
      </c>
      <c r="H24" s="3032"/>
      <c r="I24" s="3032"/>
      <c r="J24" s="3032">
        <f>ROUND(652.01/6,2)</f>
        <v>108.67</v>
      </c>
      <c r="K24" s="3032">
        <f t="shared" si="2"/>
        <v>109.79</v>
      </c>
      <c r="L24" s="3032">
        <f t="shared" si="1"/>
        <v>218.46</v>
      </c>
      <c r="M24" s="3032">
        <f>J24+J25+J26+J27+J28+J29</f>
        <v>652.01</v>
      </c>
    </row>
    <row r="25" spans="1:13">
      <c r="A25" s="3032"/>
      <c r="B25" s="3032"/>
      <c r="C25" s="3034">
        <v>102</v>
      </c>
      <c r="D25" s="3032">
        <v>134.16999999999999</v>
      </c>
      <c r="E25" s="3032">
        <v>84.42</v>
      </c>
      <c r="F25" s="3032"/>
      <c r="G25" s="3032">
        <f t="shared" si="0"/>
        <v>218.58999999999997</v>
      </c>
      <c r="H25" s="3032"/>
      <c r="I25" s="3032"/>
      <c r="J25" s="3032">
        <f>J24</f>
        <v>108.67</v>
      </c>
      <c r="K25" s="3032">
        <f t="shared" si="2"/>
        <v>109.91999999999997</v>
      </c>
      <c r="L25" s="3032">
        <f t="shared" si="1"/>
        <v>218.58999999999997</v>
      </c>
      <c r="M25" s="3032"/>
    </row>
    <row r="26" spans="1:13">
      <c r="A26" s="3032"/>
      <c r="B26" s="3032"/>
      <c r="C26" s="3034">
        <v>103</v>
      </c>
      <c r="D26" s="3032">
        <v>134.36000000000001</v>
      </c>
      <c r="E26" s="3032">
        <v>84.7</v>
      </c>
      <c r="F26" s="3032"/>
      <c r="G26" s="3032">
        <f t="shared" si="0"/>
        <v>219.06</v>
      </c>
      <c r="H26" s="3032"/>
      <c r="I26" s="3032"/>
      <c r="J26" s="3032">
        <f>J24</f>
        <v>108.67</v>
      </c>
      <c r="K26" s="3032">
        <f t="shared" si="2"/>
        <v>110.39</v>
      </c>
      <c r="L26" s="3032">
        <f t="shared" si="1"/>
        <v>219.06</v>
      </c>
      <c r="M26" s="3032"/>
    </row>
    <row r="27" spans="1:13" ht="15" customHeight="1">
      <c r="A27" s="3032"/>
      <c r="B27" s="3032"/>
      <c r="C27" s="3034">
        <v>104</v>
      </c>
      <c r="D27" s="3032">
        <v>134.18</v>
      </c>
      <c r="E27" s="3032">
        <v>84.28</v>
      </c>
      <c r="F27" s="3032"/>
      <c r="G27" s="3032">
        <f t="shared" si="0"/>
        <v>218.46</v>
      </c>
      <c r="H27" s="3032"/>
      <c r="I27" s="3032"/>
      <c r="J27" s="3032">
        <f>J24</f>
        <v>108.67</v>
      </c>
      <c r="K27" s="3032">
        <f t="shared" si="2"/>
        <v>109.79</v>
      </c>
      <c r="L27" s="3032">
        <f t="shared" si="1"/>
        <v>218.46</v>
      </c>
      <c r="M27" s="3032"/>
    </row>
    <row r="28" spans="1:13">
      <c r="A28" s="3032"/>
      <c r="B28" s="3032"/>
      <c r="C28" s="3034">
        <v>105</v>
      </c>
      <c r="D28" s="3032">
        <v>134.16999999999999</v>
      </c>
      <c r="E28" s="3032">
        <v>84.42</v>
      </c>
      <c r="F28" s="3032"/>
      <c r="G28" s="3032">
        <f t="shared" si="0"/>
        <v>218.58999999999997</v>
      </c>
      <c r="H28" s="3032"/>
      <c r="I28" s="3032"/>
      <c r="J28" s="3032">
        <f>J24</f>
        <v>108.67</v>
      </c>
      <c r="K28" s="3032">
        <f t="shared" si="2"/>
        <v>109.91999999999997</v>
      </c>
      <c r="L28" s="3032">
        <f t="shared" si="1"/>
        <v>218.58999999999997</v>
      </c>
      <c r="M28" s="3032"/>
    </row>
    <row r="29" spans="1:13">
      <c r="A29" s="3032"/>
      <c r="B29" s="3032"/>
      <c r="C29" s="3034">
        <v>106</v>
      </c>
      <c r="D29" s="3032">
        <v>134.36000000000001</v>
      </c>
      <c r="E29" s="3032">
        <v>84.7</v>
      </c>
      <c r="F29" s="3032"/>
      <c r="G29" s="3032">
        <f t="shared" si="0"/>
        <v>219.06</v>
      </c>
      <c r="H29" s="3032"/>
      <c r="I29" s="3032"/>
      <c r="J29" s="3032">
        <v>108.66</v>
      </c>
      <c r="K29" s="3032">
        <f t="shared" si="2"/>
        <v>110.4</v>
      </c>
      <c r="L29" s="3032">
        <f t="shared" si="1"/>
        <v>219.06</v>
      </c>
      <c r="M29" s="3032"/>
    </row>
    <row r="30" spans="1:13">
      <c r="A30" s="3032" t="s">
        <v>3101</v>
      </c>
      <c r="B30" s="3032">
        <v>6</v>
      </c>
      <c r="C30" s="3034">
        <v>-201</v>
      </c>
      <c r="D30" s="3032"/>
      <c r="E30" s="3032">
        <v>83.44</v>
      </c>
      <c r="F30" s="3032"/>
      <c r="G30" s="3032">
        <f t="shared" si="0"/>
        <v>83.44</v>
      </c>
      <c r="H30" s="3032">
        <f>SUM(G30:G41)</f>
        <v>1816.2400000000002</v>
      </c>
      <c r="I30" s="3032"/>
      <c r="J30" s="3032"/>
      <c r="K30" s="3032">
        <f t="shared" si="2"/>
        <v>83.44</v>
      </c>
      <c r="L30" s="3032">
        <f t="shared" si="1"/>
        <v>83.44</v>
      </c>
      <c r="M30" s="3032"/>
    </row>
    <row r="31" spans="1:13">
      <c r="A31" s="3032"/>
      <c r="B31" s="3032"/>
      <c r="C31" s="3034">
        <v>-202</v>
      </c>
      <c r="D31" s="3032"/>
      <c r="E31" s="3032">
        <v>84.16</v>
      </c>
      <c r="F31" s="3032"/>
      <c r="G31" s="3032">
        <f t="shared" si="0"/>
        <v>84.16</v>
      </c>
      <c r="H31" s="3032"/>
      <c r="I31" s="3032"/>
      <c r="J31" s="3032"/>
      <c r="K31" s="3032">
        <f t="shared" si="2"/>
        <v>84.16</v>
      </c>
      <c r="L31" s="3032">
        <f t="shared" si="1"/>
        <v>84.16</v>
      </c>
      <c r="M31" s="3032"/>
    </row>
    <row r="32" spans="1:13">
      <c r="A32" s="3032"/>
      <c r="B32" s="3032"/>
      <c r="C32" s="3034">
        <v>-203</v>
      </c>
      <c r="D32" s="3032"/>
      <c r="E32" s="3032">
        <v>84.16</v>
      </c>
      <c r="F32" s="3032"/>
      <c r="G32" s="3032">
        <f t="shared" si="0"/>
        <v>84.16</v>
      </c>
      <c r="H32" s="3032"/>
      <c r="I32" s="3032"/>
      <c r="J32" s="3032"/>
      <c r="K32" s="3032">
        <f t="shared" si="2"/>
        <v>84.16</v>
      </c>
      <c r="L32" s="3032">
        <f t="shared" si="1"/>
        <v>84.16</v>
      </c>
      <c r="M32" s="3032"/>
    </row>
    <row r="33" spans="1:13">
      <c r="A33" s="3032"/>
      <c r="B33" s="3032"/>
      <c r="C33" s="3034">
        <v>-204</v>
      </c>
      <c r="D33" s="3032"/>
      <c r="E33" s="3032">
        <v>83.44</v>
      </c>
      <c r="F33" s="3032"/>
      <c r="G33" s="3032">
        <f t="shared" si="0"/>
        <v>83.44</v>
      </c>
      <c r="H33" s="3032"/>
      <c r="I33" s="3032"/>
      <c r="J33" s="3032"/>
      <c r="K33" s="3032">
        <f t="shared" si="2"/>
        <v>83.44</v>
      </c>
      <c r="L33" s="3032">
        <f t="shared" si="1"/>
        <v>83.44</v>
      </c>
      <c r="M33" s="3032"/>
    </row>
    <row r="34" spans="1:13">
      <c r="A34" s="3032"/>
      <c r="B34" s="3032"/>
      <c r="C34" s="3034">
        <v>-205</v>
      </c>
      <c r="D34" s="3032"/>
      <c r="E34" s="3032">
        <v>84.16</v>
      </c>
      <c r="F34" s="3032"/>
      <c r="G34" s="3032">
        <f t="shared" si="0"/>
        <v>84.16</v>
      </c>
      <c r="H34" s="3032"/>
      <c r="I34" s="3032"/>
      <c r="J34" s="3032"/>
      <c r="K34" s="3032">
        <f t="shared" si="2"/>
        <v>84.16</v>
      </c>
      <c r="L34" s="3032">
        <f t="shared" si="1"/>
        <v>84.16</v>
      </c>
      <c r="M34" s="3032"/>
    </row>
    <row r="35" spans="1:13">
      <c r="A35" s="3032"/>
      <c r="B35" s="3032"/>
      <c r="C35" s="3034">
        <v>-206</v>
      </c>
      <c r="D35" s="3032"/>
      <c r="E35" s="3032">
        <v>84.16</v>
      </c>
      <c r="F35" s="3032"/>
      <c r="G35" s="3032">
        <f t="shared" si="0"/>
        <v>84.16</v>
      </c>
      <c r="H35" s="3032"/>
      <c r="I35" s="3032"/>
      <c r="J35" s="3032"/>
      <c r="K35" s="3032">
        <f t="shared" si="2"/>
        <v>84.16</v>
      </c>
      <c r="L35" s="3032">
        <f t="shared" si="1"/>
        <v>84.16</v>
      </c>
      <c r="M35" s="3032"/>
    </row>
    <row r="36" spans="1:13">
      <c r="A36" s="3032"/>
      <c r="B36" s="3032"/>
      <c r="C36" s="3034">
        <v>101</v>
      </c>
      <c r="D36" s="3032">
        <v>134.22</v>
      </c>
      <c r="E36" s="3032">
        <v>84.32</v>
      </c>
      <c r="F36" s="3032"/>
      <c r="G36" s="3032">
        <f t="shared" si="0"/>
        <v>218.54</v>
      </c>
      <c r="H36" s="3032"/>
      <c r="I36" s="3032"/>
      <c r="J36" s="3032">
        <v>108.67</v>
      </c>
      <c r="K36" s="3032">
        <f t="shared" si="2"/>
        <v>109.86999999999999</v>
      </c>
      <c r="L36" s="3032">
        <f t="shared" si="1"/>
        <v>218.54</v>
      </c>
      <c r="M36" s="3032">
        <f>J36+J37+J38+J39+J40+J41</f>
        <v>652.01</v>
      </c>
    </row>
    <row r="37" spans="1:13">
      <c r="A37" s="3032"/>
      <c r="B37" s="3032"/>
      <c r="C37" s="3034">
        <v>102</v>
      </c>
      <c r="D37" s="3032">
        <v>134.22</v>
      </c>
      <c r="E37" s="3032">
        <v>84.46</v>
      </c>
      <c r="F37" s="3032"/>
      <c r="G37" s="3032">
        <f t="shared" si="0"/>
        <v>218.68</v>
      </c>
      <c r="H37" s="3032"/>
      <c r="I37" s="3032"/>
      <c r="J37" s="3032">
        <f>J36</f>
        <v>108.67</v>
      </c>
      <c r="K37" s="3032">
        <f t="shared" si="2"/>
        <v>110.01</v>
      </c>
      <c r="L37" s="3032">
        <f t="shared" si="1"/>
        <v>218.68</v>
      </c>
      <c r="M37" s="3032"/>
    </row>
    <row r="38" spans="1:13">
      <c r="A38" s="3032"/>
      <c r="B38" s="3032"/>
      <c r="C38" s="3034">
        <v>103</v>
      </c>
      <c r="D38" s="3032">
        <v>134.41</v>
      </c>
      <c r="E38" s="3032">
        <v>84.73</v>
      </c>
      <c r="F38" s="3032"/>
      <c r="G38" s="3032">
        <f t="shared" si="0"/>
        <v>219.14</v>
      </c>
      <c r="H38" s="3032"/>
      <c r="I38" s="3032"/>
      <c r="J38" s="3032">
        <f>J36</f>
        <v>108.67</v>
      </c>
      <c r="K38" s="3032">
        <f t="shared" si="2"/>
        <v>110.46999999999998</v>
      </c>
      <c r="L38" s="3032">
        <f t="shared" si="1"/>
        <v>219.14</v>
      </c>
      <c r="M38" s="3032"/>
    </row>
    <row r="39" spans="1:13">
      <c r="A39" s="3032"/>
      <c r="B39" s="3032"/>
      <c r="C39" s="3034">
        <v>104</v>
      </c>
      <c r="D39" s="3032">
        <v>134.22</v>
      </c>
      <c r="E39" s="3032">
        <v>84.32</v>
      </c>
      <c r="F39" s="3032"/>
      <c r="G39" s="3032">
        <f t="shared" si="0"/>
        <v>218.54</v>
      </c>
      <c r="H39" s="3032"/>
      <c r="I39" s="3032"/>
      <c r="J39" s="3032">
        <f>J36</f>
        <v>108.67</v>
      </c>
      <c r="K39" s="3032">
        <f t="shared" si="2"/>
        <v>109.86999999999999</v>
      </c>
      <c r="L39" s="3032">
        <f t="shared" si="1"/>
        <v>218.54</v>
      </c>
      <c r="M39" s="3032"/>
    </row>
    <row r="40" spans="1:13">
      <c r="A40" s="3032"/>
      <c r="B40" s="3032"/>
      <c r="C40" s="3034">
        <v>105</v>
      </c>
      <c r="D40" s="3032">
        <v>134.22</v>
      </c>
      <c r="E40" s="3032">
        <v>84.46</v>
      </c>
      <c r="F40" s="3032"/>
      <c r="G40" s="3032">
        <f t="shared" si="0"/>
        <v>218.68</v>
      </c>
      <c r="H40" s="3032"/>
      <c r="I40" s="3032"/>
      <c r="J40" s="3032">
        <f>J36</f>
        <v>108.67</v>
      </c>
      <c r="K40" s="3032">
        <f t="shared" si="2"/>
        <v>110.01</v>
      </c>
      <c r="L40" s="3032">
        <f t="shared" si="1"/>
        <v>218.68</v>
      </c>
      <c r="M40" s="3032"/>
    </row>
    <row r="41" spans="1:13">
      <c r="A41" s="3032"/>
      <c r="B41" s="3032"/>
      <c r="C41" s="3034">
        <v>106</v>
      </c>
      <c r="D41" s="3032">
        <v>134.41</v>
      </c>
      <c r="E41" s="3032">
        <v>84.73</v>
      </c>
      <c r="F41" s="3032"/>
      <c r="G41" s="3032">
        <f t="shared" si="0"/>
        <v>219.14</v>
      </c>
      <c r="H41" s="3032"/>
      <c r="I41" s="3032"/>
      <c r="J41" s="3032">
        <v>108.66</v>
      </c>
      <c r="K41" s="3032">
        <f t="shared" si="2"/>
        <v>110.47999999999999</v>
      </c>
      <c r="L41" s="3032">
        <f t="shared" si="1"/>
        <v>219.14</v>
      </c>
      <c r="M41" s="3032"/>
    </row>
    <row r="42" spans="1:13">
      <c r="A42" s="3032" t="s">
        <v>3103</v>
      </c>
      <c r="B42" s="3032">
        <v>4</v>
      </c>
      <c r="C42" s="3034">
        <v>-201</v>
      </c>
      <c r="D42" s="3032"/>
      <c r="E42" s="3032">
        <v>83.88</v>
      </c>
      <c r="F42" s="3032"/>
      <c r="G42" s="3032">
        <f t="shared" si="0"/>
        <v>83.88</v>
      </c>
      <c r="H42" s="3032">
        <f>SUM(G42:G49)</f>
        <v>1215.04</v>
      </c>
      <c r="I42" s="3032"/>
      <c r="J42" s="3032"/>
      <c r="K42" s="3032">
        <f t="shared" si="2"/>
        <v>83.88</v>
      </c>
      <c r="L42" s="3032">
        <f t="shared" si="1"/>
        <v>83.88</v>
      </c>
      <c r="M42" s="3032"/>
    </row>
    <row r="43" spans="1:13">
      <c r="A43" s="3032"/>
      <c r="B43" s="3032"/>
      <c r="C43" s="3034">
        <v>-202</v>
      </c>
      <c r="D43" s="3032"/>
      <c r="E43" s="3032">
        <v>84.6</v>
      </c>
      <c r="F43" s="3032"/>
      <c r="G43" s="3032">
        <f t="shared" si="0"/>
        <v>84.6</v>
      </c>
      <c r="H43" s="3032"/>
      <c r="I43" s="3032"/>
      <c r="J43" s="3032"/>
      <c r="K43" s="3032">
        <f t="shared" si="2"/>
        <v>84.6</v>
      </c>
      <c r="L43" s="3032">
        <f t="shared" si="1"/>
        <v>84.6</v>
      </c>
      <c r="M43" s="3032"/>
    </row>
    <row r="44" spans="1:13">
      <c r="A44" s="3032"/>
      <c r="B44" s="3032"/>
      <c r="C44" s="3034">
        <v>-203</v>
      </c>
      <c r="D44" s="3032"/>
      <c r="E44" s="3032">
        <v>83.88</v>
      </c>
      <c r="F44" s="3032"/>
      <c r="G44" s="3032">
        <f t="shared" si="0"/>
        <v>83.88</v>
      </c>
      <c r="H44" s="3032"/>
      <c r="I44" s="3032"/>
      <c r="J44" s="3032"/>
      <c r="K44" s="3032">
        <f t="shared" si="2"/>
        <v>83.88</v>
      </c>
      <c r="L44" s="3032">
        <f t="shared" si="1"/>
        <v>83.88</v>
      </c>
      <c r="M44" s="3032"/>
    </row>
    <row r="45" spans="1:13">
      <c r="A45" s="3032"/>
      <c r="B45" s="3032"/>
      <c r="C45" s="3034">
        <v>-204</v>
      </c>
      <c r="D45" s="3032"/>
      <c r="E45" s="3032">
        <v>84.6</v>
      </c>
      <c r="F45" s="3032"/>
      <c r="G45" s="3032">
        <f t="shared" si="0"/>
        <v>84.6</v>
      </c>
      <c r="H45" s="3032"/>
      <c r="I45" s="3032"/>
      <c r="J45" s="3032"/>
      <c r="K45" s="3032">
        <f t="shared" si="2"/>
        <v>84.6</v>
      </c>
      <c r="L45" s="3032">
        <f t="shared" si="1"/>
        <v>84.6</v>
      </c>
      <c r="M45" s="3032"/>
    </row>
    <row r="46" spans="1:13">
      <c r="A46" s="3032"/>
      <c r="B46" s="3032"/>
      <c r="C46" s="3034">
        <v>101</v>
      </c>
      <c r="D46" s="3032">
        <v>134.63999999999999</v>
      </c>
      <c r="E46" s="3032">
        <v>84.58</v>
      </c>
      <c r="F46" s="3032"/>
      <c r="G46" s="3032">
        <f t="shared" si="0"/>
        <v>219.21999999999997</v>
      </c>
      <c r="H46" s="3032"/>
      <c r="I46" s="3032"/>
      <c r="J46" s="3032">
        <f>435.56/4</f>
        <v>108.89</v>
      </c>
      <c r="K46" s="3032">
        <f t="shared" si="2"/>
        <v>110.32999999999997</v>
      </c>
      <c r="L46" s="3032">
        <f t="shared" si="1"/>
        <v>219.21999999999997</v>
      </c>
      <c r="M46" s="3032">
        <f>J46+J47+J48+J49</f>
        <v>435.56</v>
      </c>
    </row>
    <row r="47" spans="1:13">
      <c r="A47" s="3032"/>
      <c r="B47" s="3032"/>
      <c r="C47" s="3034">
        <v>102</v>
      </c>
      <c r="D47" s="3032">
        <v>134.83000000000001</v>
      </c>
      <c r="E47" s="3032">
        <v>84.99</v>
      </c>
      <c r="F47" s="3032"/>
      <c r="G47" s="3032">
        <f t="shared" si="0"/>
        <v>219.82</v>
      </c>
      <c r="H47" s="3032"/>
      <c r="I47" s="3032"/>
      <c r="J47" s="3032">
        <f>J46</f>
        <v>108.89</v>
      </c>
      <c r="K47" s="3032">
        <f t="shared" si="2"/>
        <v>110.92999999999999</v>
      </c>
      <c r="L47" s="3032">
        <f t="shared" si="1"/>
        <v>219.82</v>
      </c>
      <c r="M47" s="3032"/>
    </row>
    <row r="48" spans="1:13">
      <c r="A48" s="3032"/>
      <c r="B48" s="3032"/>
      <c r="C48" s="3034">
        <v>103</v>
      </c>
      <c r="D48" s="3032">
        <v>134.63999999999999</v>
      </c>
      <c r="E48" s="3032">
        <v>84.58</v>
      </c>
      <c r="F48" s="3032"/>
      <c r="G48" s="3032">
        <f t="shared" si="0"/>
        <v>219.21999999999997</v>
      </c>
      <c r="H48" s="3032"/>
      <c r="I48" s="3032"/>
      <c r="J48" s="3032">
        <f>J46</f>
        <v>108.89</v>
      </c>
      <c r="K48" s="3032">
        <f t="shared" si="2"/>
        <v>110.32999999999997</v>
      </c>
      <c r="L48" s="3032">
        <f t="shared" si="1"/>
        <v>219.21999999999997</v>
      </c>
      <c r="M48" s="3032"/>
    </row>
    <row r="49" spans="1:13">
      <c r="A49" s="3032"/>
      <c r="B49" s="3032"/>
      <c r="C49" s="3034">
        <v>104</v>
      </c>
      <c r="D49" s="3032">
        <v>134.83000000000001</v>
      </c>
      <c r="E49" s="3032">
        <v>84.99</v>
      </c>
      <c r="F49" s="3032"/>
      <c r="G49" s="3032">
        <f t="shared" si="0"/>
        <v>219.82</v>
      </c>
      <c r="H49" s="3032"/>
      <c r="I49" s="3032"/>
      <c r="J49" s="3032">
        <f>J46</f>
        <v>108.89</v>
      </c>
      <c r="K49" s="3032">
        <f t="shared" si="2"/>
        <v>110.92999999999999</v>
      </c>
      <c r="L49" s="3032">
        <f>J49+K49</f>
        <v>219.82</v>
      </c>
      <c r="M49" s="3032"/>
    </row>
    <row r="50" spans="1:13">
      <c r="A50" s="3032" t="s">
        <v>3105</v>
      </c>
      <c r="B50" s="3032">
        <v>6</v>
      </c>
      <c r="C50" s="3034">
        <v>-201</v>
      </c>
      <c r="D50" s="3032"/>
      <c r="E50" s="3032">
        <v>83.63</v>
      </c>
      <c r="F50" s="3032"/>
      <c r="G50" s="3032">
        <f t="shared" si="0"/>
        <v>83.63</v>
      </c>
      <c r="H50" s="3032">
        <f>SUM(G50:G61)</f>
        <v>1817.9800000000002</v>
      </c>
      <c r="I50" s="3032"/>
      <c r="J50" s="3032"/>
      <c r="K50" s="3032">
        <f t="shared" si="2"/>
        <v>83.63</v>
      </c>
      <c r="L50" s="3032">
        <f t="shared" si="1"/>
        <v>83.63</v>
      </c>
      <c r="M50" s="3032"/>
    </row>
    <row r="51" spans="1:13">
      <c r="A51" s="3032"/>
      <c r="B51" s="3032"/>
      <c r="C51" s="3034">
        <v>-202</v>
      </c>
      <c r="D51" s="3032"/>
      <c r="E51" s="3032">
        <v>84.36</v>
      </c>
      <c r="F51" s="3032"/>
      <c r="G51" s="3032">
        <f t="shared" si="0"/>
        <v>84.36</v>
      </c>
      <c r="H51" s="3032"/>
      <c r="I51" s="3032"/>
      <c r="J51" s="3032"/>
      <c r="K51" s="3032">
        <f t="shared" si="2"/>
        <v>84.36</v>
      </c>
      <c r="L51" s="3032">
        <f t="shared" si="1"/>
        <v>84.36</v>
      </c>
      <c r="M51" s="3032"/>
    </row>
    <row r="52" spans="1:13">
      <c r="A52" s="3032"/>
      <c r="B52" s="3032"/>
      <c r="C52" s="3034">
        <v>-203</v>
      </c>
      <c r="D52" s="3032"/>
      <c r="E52" s="3032">
        <v>84.36</v>
      </c>
      <c r="F52" s="3032"/>
      <c r="G52" s="3032">
        <f t="shared" si="0"/>
        <v>84.36</v>
      </c>
      <c r="H52" s="3032"/>
      <c r="I52" s="3032"/>
      <c r="J52" s="3032"/>
      <c r="K52" s="3032">
        <f t="shared" si="2"/>
        <v>84.36</v>
      </c>
      <c r="L52" s="3032">
        <f t="shared" si="1"/>
        <v>84.36</v>
      </c>
      <c r="M52" s="3032"/>
    </row>
    <row r="53" spans="1:13">
      <c r="A53" s="3032"/>
      <c r="B53" s="3032"/>
      <c r="C53" s="3034">
        <v>-204</v>
      </c>
      <c r="D53" s="3032"/>
      <c r="E53" s="3032">
        <v>83.63</v>
      </c>
      <c r="F53" s="3032"/>
      <c r="G53" s="3032">
        <f t="shared" si="0"/>
        <v>83.63</v>
      </c>
      <c r="H53" s="3032"/>
      <c r="I53" s="3032"/>
      <c r="J53" s="3032"/>
      <c r="K53" s="3032">
        <f t="shared" si="2"/>
        <v>83.63</v>
      </c>
      <c r="L53" s="3032">
        <f t="shared" si="1"/>
        <v>83.63</v>
      </c>
      <c r="M53" s="3032"/>
    </row>
    <row r="54" spans="1:13">
      <c r="A54" s="3032"/>
      <c r="B54" s="3032"/>
      <c r="C54" s="3034">
        <v>-205</v>
      </c>
      <c r="D54" s="3032"/>
      <c r="E54" s="3032">
        <v>84.36</v>
      </c>
      <c r="F54" s="3032"/>
      <c r="G54" s="3032">
        <f t="shared" si="0"/>
        <v>84.36</v>
      </c>
      <c r="H54" s="3032"/>
      <c r="I54" s="3032"/>
      <c r="J54" s="3032"/>
      <c r="K54" s="3032">
        <f t="shared" si="2"/>
        <v>84.36</v>
      </c>
      <c r="L54" s="3032">
        <f t="shared" si="1"/>
        <v>84.36</v>
      </c>
      <c r="M54" s="3032"/>
    </row>
    <row r="55" spans="1:13">
      <c r="A55" s="3032"/>
      <c r="B55" s="3032"/>
      <c r="C55" s="3034">
        <v>-206</v>
      </c>
      <c r="D55" s="3032"/>
      <c r="E55" s="3032">
        <v>84.36</v>
      </c>
      <c r="F55" s="3032"/>
      <c r="G55" s="3032">
        <f t="shared" si="0"/>
        <v>84.36</v>
      </c>
      <c r="H55" s="3032"/>
      <c r="I55" s="3032"/>
      <c r="J55" s="3032"/>
      <c r="K55" s="3032">
        <f t="shared" si="2"/>
        <v>84.36</v>
      </c>
      <c r="L55" s="3032">
        <f t="shared" si="1"/>
        <v>84.36</v>
      </c>
      <c r="M55" s="3032"/>
    </row>
    <row r="56" spans="1:13">
      <c r="A56" s="3032"/>
      <c r="B56" s="3032"/>
      <c r="C56" s="3034">
        <v>101</v>
      </c>
      <c r="D56" s="3032">
        <v>134.27000000000001</v>
      </c>
      <c r="E56" s="3032">
        <v>84.36</v>
      </c>
      <c r="F56" s="3032"/>
      <c r="G56" s="3032">
        <f t="shared" si="0"/>
        <v>218.63</v>
      </c>
      <c r="H56" s="3032"/>
      <c r="I56" s="3032"/>
      <c r="J56" s="3032">
        <v>108.67</v>
      </c>
      <c r="K56" s="3032">
        <f t="shared" si="2"/>
        <v>109.96</v>
      </c>
      <c r="L56" s="3032">
        <f t="shared" si="1"/>
        <v>218.63</v>
      </c>
      <c r="M56" s="3032">
        <f>J56+J57+J58+J59+J60+J61</f>
        <v>652.01</v>
      </c>
    </row>
    <row r="57" spans="1:13">
      <c r="A57" s="3032"/>
      <c r="B57" s="3032"/>
      <c r="C57" s="3034">
        <v>102</v>
      </c>
      <c r="D57" s="3032">
        <v>134.27000000000001</v>
      </c>
      <c r="E57" s="3032">
        <v>84.5</v>
      </c>
      <c r="F57" s="3032"/>
      <c r="G57" s="3032">
        <f t="shared" si="0"/>
        <v>218.77</v>
      </c>
      <c r="H57" s="3032"/>
      <c r="I57" s="3032"/>
      <c r="J57" s="3032">
        <f>J56</f>
        <v>108.67</v>
      </c>
      <c r="K57" s="3032">
        <f t="shared" si="2"/>
        <v>110.10000000000001</v>
      </c>
      <c r="L57" s="3032">
        <f t="shared" si="1"/>
        <v>218.77</v>
      </c>
      <c r="M57" s="3032"/>
    </row>
    <row r="58" spans="1:13">
      <c r="A58" s="3032"/>
      <c r="B58" s="3032"/>
      <c r="C58" s="3034">
        <v>103</v>
      </c>
      <c r="D58" s="3032">
        <v>134.47</v>
      </c>
      <c r="E58" s="3032">
        <v>84.77</v>
      </c>
      <c r="F58" s="3032"/>
      <c r="G58" s="3032">
        <f t="shared" si="0"/>
        <v>219.24</v>
      </c>
      <c r="H58" s="3032"/>
      <c r="I58" s="3032"/>
      <c r="J58" s="3032">
        <f>J56</f>
        <v>108.67</v>
      </c>
      <c r="K58" s="3032">
        <f t="shared" si="2"/>
        <v>110.57000000000001</v>
      </c>
      <c r="L58" s="3032">
        <f t="shared" si="1"/>
        <v>219.24</v>
      </c>
      <c r="M58" s="3032"/>
    </row>
    <row r="59" spans="1:13">
      <c r="A59" s="3032"/>
      <c r="B59" s="3032"/>
      <c r="C59" s="3034">
        <v>104</v>
      </c>
      <c r="D59" s="3032">
        <v>134.27000000000001</v>
      </c>
      <c r="E59" s="3032">
        <v>84.36</v>
      </c>
      <c r="F59" s="3032"/>
      <c r="G59" s="3032">
        <f t="shared" si="0"/>
        <v>218.63</v>
      </c>
      <c r="H59" s="3032"/>
      <c r="I59" s="3032"/>
      <c r="J59" s="3032">
        <f>J56</f>
        <v>108.67</v>
      </c>
      <c r="K59" s="3032">
        <f t="shared" si="2"/>
        <v>109.96</v>
      </c>
      <c r="L59" s="3032">
        <f t="shared" si="1"/>
        <v>218.63</v>
      </c>
      <c r="M59" s="3032"/>
    </row>
    <row r="60" spans="1:13">
      <c r="A60" s="3032"/>
      <c r="B60" s="3032"/>
      <c r="C60" s="3034">
        <v>105</v>
      </c>
      <c r="D60" s="3032">
        <v>134.27000000000001</v>
      </c>
      <c r="E60" s="3032">
        <v>84.5</v>
      </c>
      <c r="F60" s="3032"/>
      <c r="G60" s="3032">
        <f t="shared" si="0"/>
        <v>218.77</v>
      </c>
      <c r="H60" s="3032"/>
      <c r="I60" s="3032"/>
      <c r="J60" s="3032">
        <f>J56</f>
        <v>108.67</v>
      </c>
      <c r="K60" s="3032">
        <f t="shared" si="2"/>
        <v>110.10000000000001</v>
      </c>
      <c r="L60" s="3032">
        <f t="shared" si="1"/>
        <v>218.77</v>
      </c>
      <c r="M60" s="3032"/>
    </row>
    <row r="61" spans="1:13">
      <c r="A61" s="3032"/>
      <c r="B61" s="3032"/>
      <c r="C61" s="3034">
        <v>106</v>
      </c>
      <c r="D61" s="3032">
        <v>134.47</v>
      </c>
      <c r="E61" s="3032">
        <v>84.77</v>
      </c>
      <c r="F61" s="3032"/>
      <c r="G61" s="3032">
        <f t="shared" si="0"/>
        <v>219.24</v>
      </c>
      <c r="H61" s="3032"/>
      <c r="I61" s="3032"/>
      <c r="J61" s="3032">
        <v>108.66</v>
      </c>
      <c r="K61" s="3032">
        <f t="shared" si="2"/>
        <v>110.58000000000001</v>
      </c>
      <c r="L61" s="3032">
        <f t="shared" si="1"/>
        <v>219.24</v>
      </c>
      <c r="M61" s="3032"/>
    </row>
    <row r="62" spans="1:13">
      <c r="A62" s="3032" t="s">
        <v>3107</v>
      </c>
      <c r="B62" s="3032">
        <v>4</v>
      </c>
      <c r="C62" s="3034">
        <v>-201</v>
      </c>
      <c r="D62" s="3032"/>
      <c r="E62" s="3032">
        <v>83.6</v>
      </c>
      <c r="F62" s="3032"/>
      <c r="G62" s="3032">
        <f t="shared" si="0"/>
        <v>83.6</v>
      </c>
      <c r="H62" s="3032">
        <f>SUM(G62:G69)</f>
        <v>1213.9399999999998</v>
      </c>
      <c r="I62" s="3032"/>
      <c r="J62" s="3032"/>
      <c r="K62" s="3032">
        <f t="shared" si="2"/>
        <v>83.6</v>
      </c>
      <c r="L62" s="3032">
        <f t="shared" si="1"/>
        <v>83.6</v>
      </c>
      <c r="M62" s="3032"/>
    </row>
    <row r="63" spans="1:13">
      <c r="A63" s="3032"/>
      <c r="B63" s="3032"/>
      <c r="C63" s="3034">
        <v>-202</v>
      </c>
      <c r="D63" s="3032"/>
      <c r="E63" s="3032">
        <v>84.32</v>
      </c>
      <c r="F63" s="3032"/>
      <c r="G63" s="3032">
        <f t="shared" si="0"/>
        <v>84.32</v>
      </c>
      <c r="H63" s="3032"/>
      <c r="I63" s="3032"/>
      <c r="J63" s="3032"/>
      <c r="K63" s="3032">
        <f t="shared" si="2"/>
        <v>84.32</v>
      </c>
      <c r="L63" s="3032">
        <f t="shared" si="1"/>
        <v>84.32</v>
      </c>
      <c r="M63" s="3032"/>
    </row>
    <row r="64" spans="1:13">
      <c r="A64" s="3032"/>
      <c r="B64" s="3032"/>
      <c r="C64" s="3034">
        <v>-203</v>
      </c>
      <c r="D64" s="3032"/>
      <c r="E64" s="3032">
        <v>83.6</v>
      </c>
      <c r="F64" s="3032"/>
      <c r="G64" s="3032">
        <f t="shared" si="0"/>
        <v>83.6</v>
      </c>
      <c r="H64" s="3032"/>
      <c r="I64" s="3032"/>
      <c r="J64" s="3032"/>
      <c r="K64" s="3032">
        <f t="shared" si="2"/>
        <v>83.6</v>
      </c>
      <c r="L64" s="3032">
        <f t="shared" si="1"/>
        <v>83.6</v>
      </c>
      <c r="M64" s="3032"/>
    </row>
    <row r="65" spans="1:13">
      <c r="A65" s="3032"/>
      <c r="B65" s="3032"/>
      <c r="C65" s="3034">
        <v>-204</v>
      </c>
      <c r="D65" s="3032"/>
      <c r="E65" s="3032">
        <v>84.32</v>
      </c>
      <c r="F65" s="3032"/>
      <c r="G65" s="3032">
        <f t="shared" si="0"/>
        <v>84.32</v>
      </c>
      <c r="H65" s="3032"/>
      <c r="I65" s="3032"/>
      <c r="J65" s="3032"/>
      <c r="K65" s="3032">
        <f t="shared" si="2"/>
        <v>84.32</v>
      </c>
      <c r="L65" s="3032">
        <f t="shared" si="1"/>
        <v>84.32</v>
      </c>
      <c r="M65" s="3032"/>
    </row>
    <row r="66" spans="1:13">
      <c r="A66" s="3032"/>
      <c r="B66" s="3032"/>
      <c r="C66" s="3034">
        <v>101</v>
      </c>
      <c r="D66" s="3032">
        <v>134.63999999999999</v>
      </c>
      <c r="E66" s="3032">
        <v>84.58</v>
      </c>
      <c r="F66" s="3032"/>
      <c r="G66" s="3032">
        <f t="shared" ref="G66:G101" si="3">SUM(D66:F66)</f>
        <v>219.21999999999997</v>
      </c>
      <c r="H66" s="3032"/>
      <c r="I66" s="3032"/>
      <c r="J66" s="3032">
        <f>435.56/4</f>
        <v>108.89</v>
      </c>
      <c r="K66" s="3032">
        <f>G66-J66</f>
        <v>110.32999999999997</v>
      </c>
      <c r="L66" s="3032">
        <f>J66+K66</f>
        <v>219.21999999999997</v>
      </c>
      <c r="M66" s="3032">
        <f>J66+J67+J68+J69</f>
        <v>435.56</v>
      </c>
    </row>
    <row r="67" spans="1:13">
      <c r="A67" s="3032"/>
      <c r="B67" s="3032"/>
      <c r="C67" s="3034">
        <v>102</v>
      </c>
      <c r="D67" s="3032">
        <v>134.83000000000001</v>
      </c>
      <c r="E67" s="3032">
        <v>85</v>
      </c>
      <c r="F67" s="3032"/>
      <c r="G67" s="3032">
        <f t="shared" si="3"/>
        <v>219.83</v>
      </c>
      <c r="H67" s="3032"/>
      <c r="I67" s="3032"/>
      <c r="J67" s="3032">
        <f>J66</f>
        <v>108.89</v>
      </c>
      <c r="K67" s="3032">
        <f t="shared" si="2"/>
        <v>110.94000000000001</v>
      </c>
      <c r="L67" s="3032">
        <f t="shared" si="1"/>
        <v>219.83</v>
      </c>
      <c r="M67" s="3032"/>
    </row>
    <row r="68" spans="1:13">
      <c r="A68" s="3032"/>
      <c r="B68" s="3032"/>
      <c r="C68" s="3034">
        <v>103</v>
      </c>
      <c r="D68" s="3032">
        <v>134.63999999999999</v>
      </c>
      <c r="E68" s="3032">
        <v>84.58</v>
      </c>
      <c r="F68" s="3032"/>
      <c r="G68" s="3032">
        <f t="shared" si="3"/>
        <v>219.21999999999997</v>
      </c>
      <c r="H68" s="3032"/>
      <c r="I68" s="3032"/>
      <c r="J68" s="3032">
        <f>J66</f>
        <v>108.89</v>
      </c>
      <c r="K68" s="3032">
        <f t="shared" si="2"/>
        <v>110.32999999999997</v>
      </c>
      <c r="L68" s="3032">
        <f t="shared" si="1"/>
        <v>219.21999999999997</v>
      </c>
      <c r="M68" s="3032"/>
    </row>
    <row r="69" spans="1:13">
      <c r="A69" s="3032"/>
      <c r="B69" s="3032"/>
      <c r="C69" s="3034">
        <v>104</v>
      </c>
      <c r="D69" s="3032">
        <v>134.83000000000001</v>
      </c>
      <c r="E69" s="3032">
        <v>85</v>
      </c>
      <c r="F69" s="3032"/>
      <c r="G69" s="3032">
        <f t="shared" si="3"/>
        <v>219.83</v>
      </c>
      <c r="H69" s="3032"/>
      <c r="I69" s="3032"/>
      <c r="J69" s="3032">
        <f>J66</f>
        <v>108.89</v>
      </c>
      <c r="K69" s="3032">
        <f t="shared" si="2"/>
        <v>110.94000000000001</v>
      </c>
      <c r="L69" s="3032">
        <f t="shared" si="1"/>
        <v>219.83</v>
      </c>
      <c r="M69" s="3032"/>
    </row>
    <row r="70" spans="1:13">
      <c r="A70" s="3032" t="s">
        <v>3109</v>
      </c>
      <c r="B70" s="3032">
        <v>4</v>
      </c>
      <c r="C70" s="3034">
        <v>-201</v>
      </c>
      <c r="D70" s="3032"/>
      <c r="E70" s="3032">
        <v>83.6</v>
      </c>
      <c r="F70" s="3032"/>
      <c r="G70" s="3032">
        <f t="shared" si="3"/>
        <v>83.6</v>
      </c>
      <c r="H70" s="3032">
        <f>SUM(G70:G77)</f>
        <v>1213.9399999999998</v>
      </c>
      <c r="I70" s="3032"/>
      <c r="J70" s="3032"/>
      <c r="K70" s="3032">
        <f>G70-J70</f>
        <v>83.6</v>
      </c>
      <c r="L70" s="3032">
        <f t="shared" si="1"/>
        <v>83.6</v>
      </c>
      <c r="M70" s="3032"/>
    </row>
    <row r="71" spans="1:13">
      <c r="A71" s="3032"/>
      <c r="B71" s="3032"/>
      <c r="C71" s="3034">
        <v>-202</v>
      </c>
      <c r="D71" s="3032"/>
      <c r="E71" s="3032">
        <v>84.32</v>
      </c>
      <c r="F71" s="3032"/>
      <c r="G71" s="3032">
        <f t="shared" si="3"/>
        <v>84.32</v>
      </c>
      <c r="H71" s="3032"/>
      <c r="I71" s="3032"/>
      <c r="J71" s="3032"/>
      <c r="K71" s="3032">
        <f t="shared" si="2"/>
        <v>84.32</v>
      </c>
      <c r="L71" s="3032">
        <f t="shared" si="1"/>
        <v>84.32</v>
      </c>
      <c r="M71" s="3032"/>
    </row>
    <row r="72" spans="1:13">
      <c r="A72" s="3032"/>
      <c r="B72" s="3032"/>
      <c r="C72" s="3034">
        <v>-203</v>
      </c>
      <c r="D72" s="3032"/>
      <c r="E72" s="3032">
        <v>83.6</v>
      </c>
      <c r="F72" s="3032"/>
      <c r="G72" s="3032">
        <f t="shared" si="3"/>
        <v>83.6</v>
      </c>
      <c r="H72" s="3032"/>
      <c r="I72" s="3032"/>
      <c r="J72" s="3032"/>
      <c r="K72" s="3032">
        <f t="shared" si="2"/>
        <v>83.6</v>
      </c>
      <c r="L72" s="3032">
        <f t="shared" si="1"/>
        <v>83.6</v>
      </c>
      <c r="M72" s="3032"/>
    </row>
    <row r="73" spans="1:13">
      <c r="A73" s="3032"/>
      <c r="B73" s="3032"/>
      <c r="C73" s="3034">
        <v>-204</v>
      </c>
      <c r="D73" s="3032"/>
      <c r="E73" s="3032">
        <v>84.32</v>
      </c>
      <c r="F73" s="3032"/>
      <c r="G73" s="3032">
        <f t="shared" si="3"/>
        <v>84.32</v>
      </c>
      <c r="H73" s="3032"/>
      <c r="I73" s="3032"/>
      <c r="J73" s="3032"/>
      <c r="K73" s="3032">
        <f t="shared" si="2"/>
        <v>84.32</v>
      </c>
      <c r="L73" s="3032">
        <f t="shared" si="1"/>
        <v>84.32</v>
      </c>
      <c r="M73" s="3032"/>
    </row>
    <row r="74" spans="1:13">
      <c r="A74" s="3032"/>
      <c r="B74" s="3032"/>
      <c r="C74" s="3034">
        <v>101</v>
      </c>
      <c r="D74" s="3032">
        <v>134.63999999999999</v>
      </c>
      <c r="E74" s="3032">
        <v>84.58</v>
      </c>
      <c r="F74" s="3032"/>
      <c r="G74" s="3032">
        <f t="shared" si="3"/>
        <v>219.21999999999997</v>
      </c>
      <c r="H74" s="3032"/>
      <c r="I74" s="3032"/>
      <c r="J74" s="3032">
        <v>108.89</v>
      </c>
      <c r="K74" s="3032">
        <f t="shared" si="2"/>
        <v>110.32999999999997</v>
      </c>
      <c r="L74" s="3032">
        <f t="shared" si="1"/>
        <v>219.21999999999997</v>
      </c>
      <c r="M74" s="3032">
        <f>J74+J75+J76+J77</f>
        <v>435.56</v>
      </c>
    </row>
    <row r="75" spans="1:13">
      <c r="A75" s="3032"/>
      <c r="B75" s="3032"/>
      <c r="C75" s="3034">
        <v>102</v>
      </c>
      <c r="D75" s="3032">
        <v>134.83000000000001</v>
      </c>
      <c r="E75" s="3032">
        <v>85</v>
      </c>
      <c r="F75" s="3032"/>
      <c r="G75" s="3032">
        <f t="shared" si="3"/>
        <v>219.83</v>
      </c>
      <c r="H75" s="3032"/>
      <c r="I75" s="3032"/>
      <c r="J75" s="3032">
        <f>J74</f>
        <v>108.89</v>
      </c>
      <c r="K75" s="3032">
        <f t="shared" si="2"/>
        <v>110.94000000000001</v>
      </c>
      <c r="L75" s="3032">
        <f t="shared" si="1"/>
        <v>219.83</v>
      </c>
      <c r="M75" s="3032"/>
    </row>
    <row r="76" spans="1:13">
      <c r="A76" s="3032"/>
      <c r="B76" s="3032"/>
      <c r="C76" s="3034">
        <v>103</v>
      </c>
      <c r="D76" s="3032">
        <v>134.63999999999999</v>
      </c>
      <c r="E76" s="3032">
        <v>84.58</v>
      </c>
      <c r="F76" s="3032"/>
      <c r="G76" s="3032">
        <f t="shared" si="3"/>
        <v>219.21999999999997</v>
      </c>
      <c r="H76" s="3032"/>
      <c r="I76" s="3032"/>
      <c r="J76" s="3032">
        <f>J74</f>
        <v>108.89</v>
      </c>
      <c r="K76" s="3032">
        <f t="shared" si="2"/>
        <v>110.32999999999997</v>
      </c>
      <c r="L76" s="3032">
        <f t="shared" si="1"/>
        <v>219.21999999999997</v>
      </c>
      <c r="M76" s="3032"/>
    </row>
    <row r="77" spans="1:13">
      <c r="A77" s="3032"/>
      <c r="B77" s="3032"/>
      <c r="C77" s="3034">
        <v>104</v>
      </c>
      <c r="D77" s="3032">
        <v>134.83000000000001</v>
      </c>
      <c r="E77" s="3032">
        <v>85</v>
      </c>
      <c r="F77" s="3032"/>
      <c r="G77" s="3032">
        <f t="shared" si="3"/>
        <v>219.83</v>
      </c>
      <c r="H77" s="3032"/>
      <c r="I77" s="3032"/>
      <c r="J77" s="3032">
        <f>J74</f>
        <v>108.89</v>
      </c>
      <c r="K77" s="3032">
        <f t="shared" si="2"/>
        <v>110.94000000000001</v>
      </c>
      <c r="L77" s="3032">
        <f t="shared" si="1"/>
        <v>219.83</v>
      </c>
      <c r="M77" s="3032"/>
    </row>
    <row r="78" spans="1:13">
      <c r="A78" s="3032" t="s">
        <v>3110</v>
      </c>
      <c r="B78" s="3032">
        <v>6</v>
      </c>
      <c r="C78" s="3034">
        <v>-201</v>
      </c>
      <c r="D78" s="3032"/>
      <c r="E78" s="3032">
        <v>83.62</v>
      </c>
      <c r="F78" s="3032"/>
      <c r="G78" s="3032">
        <f t="shared" si="3"/>
        <v>83.62</v>
      </c>
      <c r="H78" s="3032">
        <f>SUM(G78:G89)</f>
        <v>1817.92</v>
      </c>
      <c r="I78" s="3032"/>
      <c r="J78" s="3032"/>
      <c r="K78" s="3032">
        <f>G78-J78</f>
        <v>83.62</v>
      </c>
      <c r="L78" s="3032">
        <f t="shared" si="1"/>
        <v>83.62</v>
      </c>
      <c r="M78" s="3032"/>
    </row>
    <row r="79" spans="1:13">
      <c r="A79" s="3032"/>
      <c r="B79" s="3032"/>
      <c r="C79" s="3034">
        <v>-202</v>
      </c>
      <c r="D79" s="3032"/>
      <c r="E79" s="3032">
        <v>84.34</v>
      </c>
      <c r="F79" s="3032"/>
      <c r="G79" s="3032">
        <f t="shared" si="3"/>
        <v>84.34</v>
      </c>
      <c r="H79" s="3032"/>
      <c r="I79" s="3032"/>
      <c r="J79" s="3032"/>
      <c r="K79" s="3032">
        <f t="shared" ref="K79:K86" si="4">G79-J79</f>
        <v>84.34</v>
      </c>
      <c r="L79" s="3032">
        <f t="shared" si="1"/>
        <v>84.34</v>
      </c>
      <c r="M79" s="3032"/>
    </row>
    <row r="80" spans="1:13">
      <c r="A80" s="3032"/>
      <c r="B80" s="3032"/>
      <c r="C80" s="3034">
        <v>-203</v>
      </c>
      <c r="D80" s="3032"/>
      <c r="E80" s="3032">
        <v>84.34</v>
      </c>
      <c r="F80" s="3032"/>
      <c r="G80" s="3032">
        <f t="shared" si="3"/>
        <v>84.34</v>
      </c>
      <c r="H80" s="3032"/>
      <c r="I80" s="3032"/>
      <c r="J80" s="3032"/>
      <c r="K80" s="3032">
        <f t="shared" si="4"/>
        <v>84.34</v>
      </c>
      <c r="L80" s="3032">
        <f t="shared" si="1"/>
        <v>84.34</v>
      </c>
      <c r="M80" s="3032"/>
    </row>
    <row r="81" spans="1:13">
      <c r="A81" s="3032"/>
      <c r="B81" s="3032"/>
      <c r="C81" s="3034">
        <v>-204</v>
      </c>
      <c r="D81" s="3032"/>
      <c r="E81" s="3032">
        <v>83.62</v>
      </c>
      <c r="F81" s="3032"/>
      <c r="G81" s="3032">
        <f t="shared" si="3"/>
        <v>83.62</v>
      </c>
      <c r="H81" s="3032"/>
      <c r="I81" s="3032"/>
      <c r="J81" s="3032"/>
      <c r="K81" s="3032">
        <f t="shared" si="4"/>
        <v>83.62</v>
      </c>
      <c r="L81" s="3032">
        <f t="shared" si="1"/>
        <v>83.62</v>
      </c>
      <c r="M81" s="3032"/>
    </row>
    <row r="82" spans="1:13">
      <c r="A82" s="3032"/>
      <c r="B82" s="3032"/>
      <c r="C82" s="3034">
        <v>-205</v>
      </c>
      <c r="D82" s="3032"/>
      <c r="E82" s="3032">
        <v>84.34</v>
      </c>
      <c r="F82" s="3032"/>
      <c r="G82" s="3032">
        <f t="shared" si="3"/>
        <v>84.34</v>
      </c>
      <c r="H82" s="3032"/>
      <c r="I82" s="3032"/>
      <c r="J82" s="3032"/>
      <c r="K82" s="3032">
        <f t="shared" si="4"/>
        <v>84.34</v>
      </c>
      <c r="L82" s="3032">
        <f t="shared" si="1"/>
        <v>84.34</v>
      </c>
      <c r="M82" s="3032"/>
    </row>
    <row r="83" spans="1:13">
      <c r="A83" s="3032"/>
      <c r="B83" s="3032"/>
      <c r="C83" s="3034">
        <v>-206</v>
      </c>
      <c r="D83" s="3032"/>
      <c r="E83" s="3032">
        <v>84.34</v>
      </c>
      <c r="F83" s="3032"/>
      <c r="G83" s="3032">
        <f t="shared" si="3"/>
        <v>84.34</v>
      </c>
      <c r="H83" s="3032"/>
      <c r="I83" s="3032"/>
      <c r="J83" s="3032"/>
      <c r="K83" s="3032">
        <f t="shared" si="4"/>
        <v>84.34</v>
      </c>
      <c r="L83" s="3032">
        <f t="shared" si="1"/>
        <v>84.34</v>
      </c>
      <c r="M83" s="3032"/>
    </row>
    <row r="84" spans="1:13">
      <c r="A84" s="3032"/>
      <c r="B84" s="3032"/>
      <c r="C84" s="3034">
        <v>101</v>
      </c>
      <c r="D84" s="3032">
        <v>134.29</v>
      </c>
      <c r="E84" s="3032">
        <v>84.35</v>
      </c>
      <c r="F84" s="3032"/>
      <c r="G84" s="3032">
        <f t="shared" si="3"/>
        <v>218.64</v>
      </c>
      <c r="H84" s="3032"/>
      <c r="I84" s="3032"/>
      <c r="J84" s="3032">
        <v>108.67</v>
      </c>
      <c r="K84" s="3032">
        <f t="shared" si="4"/>
        <v>109.96999999999998</v>
      </c>
      <c r="L84" s="3032">
        <f t="shared" si="1"/>
        <v>218.64</v>
      </c>
      <c r="M84" s="3032">
        <f>J84+J85+J86+J87+J88+J89</f>
        <v>652.01</v>
      </c>
    </row>
    <row r="85" spans="1:13">
      <c r="A85" s="3032"/>
      <c r="B85" s="3032"/>
      <c r="C85" s="3034">
        <v>102</v>
      </c>
      <c r="D85" s="3032">
        <v>134.29</v>
      </c>
      <c r="E85" s="3032">
        <v>84.49</v>
      </c>
      <c r="F85" s="3032"/>
      <c r="G85" s="3032">
        <f t="shared" si="3"/>
        <v>218.77999999999997</v>
      </c>
      <c r="H85" s="3032"/>
      <c r="I85" s="3032"/>
      <c r="J85" s="3032">
        <f>J84</f>
        <v>108.67</v>
      </c>
      <c r="K85" s="3032">
        <f t="shared" si="4"/>
        <v>110.10999999999997</v>
      </c>
      <c r="L85" s="3032">
        <f t="shared" si="1"/>
        <v>218.77999999999997</v>
      </c>
      <c r="M85" s="3032"/>
    </row>
    <row r="86" spans="1:13">
      <c r="A86" s="3032"/>
      <c r="B86" s="3032"/>
      <c r="C86" s="3034">
        <v>103</v>
      </c>
      <c r="D86" s="3032">
        <v>134.47</v>
      </c>
      <c r="E86" s="3032">
        <v>84.77</v>
      </c>
      <c r="F86" s="3032"/>
      <c r="G86" s="3032">
        <f t="shared" si="3"/>
        <v>219.24</v>
      </c>
      <c r="H86" s="3032"/>
      <c r="I86" s="3032"/>
      <c r="J86" s="3032">
        <f>J84</f>
        <v>108.67</v>
      </c>
      <c r="K86" s="3032">
        <f t="shared" si="4"/>
        <v>110.57000000000001</v>
      </c>
      <c r="L86" s="3032">
        <f t="shared" si="1"/>
        <v>219.24</v>
      </c>
      <c r="M86" s="3032"/>
    </row>
    <row r="87" spans="1:13">
      <c r="A87" s="3032"/>
      <c r="B87" s="3032"/>
      <c r="C87" s="3034">
        <v>104</v>
      </c>
      <c r="D87" s="3032">
        <v>134.29</v>
      </c>
      <c r="E87" s="3032">
        <v>84.35</v>
      </c>
      <c r="F87" s="3032"/>
      <c r="G87" s="3032">
        <f t="shared" si="3"/>
        <v>218.64</v>
      </c>
      <c r="H87" s="3032"/>
      <c r="I87" s="3032"/>
      <c r="J87" s="3032">
        <f>J84</f>
        <v>108.67</v>
      </c>
      <c r="K87" s="3032">
        <f>G87-J87</f>
        <v>109.96999999999998</v>
      </c>
      <c r="L87" s="3032">
        <f t="shared" si="1"/>
        <v>218.64</v>
      </c>
      <c r="M87" s="3032"/>
    </row>
    <row r="88" spans="1:13">
      <c r="A88" s="3032"/>
      <c r="B88" s="3032"/>
      <c r="C88" s="3034">
        <v>105</v>
      </c>
      <c r="D88" s="3032">
        <v>134.29</v>
      </c>
      <c r="E88" s="3032">
        <v>84.49</v>
      </c>
      <c r="F88" s="3032"/>
      <c r="G88" s="3032">
        <f t="shared" si="3"/>
        <v>218.77999999999997</v>
      </c>
      <c r="H88" s="3032"/>
      <c r="I88" s="3032"/>
      <c r="J88" s="3032">
        <f>J84</f>
        <v>108.67</v>
      </c>
      <c r="K88" s="3032">
        <f>G88-J88</f>
        <v>110.10999999999997</v>
      </c>
      <c r="L88" s="3032">
        <f t="shared" si="1"/>
        <v>218.77999999999997</v>
      </c>
      <c r="M88" s="3032"/>
    </row>
    <row r="89" spans="1:13">
      <c r="A89" s="3032"/>
      <c r="B89" s="3032"/>
      <c r="C89" s="3034">
        <v>106</v>
      </c>
      <c r="D89" s="3032">
        <v>134.47</v>
      </c>
      <c r="E89" s="3032">
        <v>84.77</v>
      </c>
      <c r="F89" s="3032"/>
      <c r="G89" s="3032">
        <f t="shared" si="3"/>
        <v>219.24</v>
      </c>
      <c r="H89" s="3032"/>
      <c r="I89" s="3032"/>
      <c r="J89" s="3032">
        <v>108.66</v>
      </c>
      <c r="K89" s="3032">
        <f>G89-J89</f>
        <v>110.58000000000001</v>
      </c>
      <c r="L89" s="3032">
        <f t="shared" si="1"/>
        <v>219.24</v>
      </c>
      <c r="M89" s="3032"/>
    </row>
    <row r="90" spans="1:13">
      <c r="A90" s="3032" t="s">
        <v>3111</v>
      </c>
      <c r="B90" s="3032">
        <v>6</v>
      </c>
      <c r="C90" s="3034">
        <v>-201</v>
      </c>
      <c r="D90" s="3032"/>
      <c r="E90" s="3032">
        <v>123.72</v>
      </c>
      <c r="F90" s="3032"/>
      <c r="G90" s="3032">
        <f t="shared" si="3"/>
        <v>123.72</v>
      </c>
      <c r="H90" s="3032">
        <f>SUM(G90:G101)</f>
        <v>1817.96</v>
      </c>
      <c r="I90" s="3032"/>
      <c r="J90" s="3032"/>
      <c r="K90" s="3032">
        <f>G90-J90</f>
        <v>123.72</v>
      </c>
      <c r="L90" s="3032">
        <f t="shared" si="1"/>
        <v>123.72</v>
      </c>
      <c r="M90" s="3032"/>
    </row>
    <row r="91" spans="1:13">
      <c r="A91" s="3032"/>
      <c r="B91" s="3032"/>
      <c r="C91" s="3034">
        <v>-202</v>
      </c>
      <c r="D91" s="3032"/>
      <c r="E91" s="3032">
        <v>124.79</v>
      </c>
      <c r="F91" s="3032"/>
      <c r="G91" s="3032">
        <f t="shared" si="3"/>
        <v>124.79</v>
      </c>
      <c r="H91" s="3032"/>
      <c r="I91" s="3032"/>
      <c r="J91" s="3032"/>
      <c r="K91" s="3032">
        <f t="shared" ref="K91:K101" si="5">G91-J91</f>
        <v>124.79</v>
      </c>
      <c r="L91" s="3032">
        <f t="shared" si="1"/>
        <v>124.79</v>
      </c>
      <c r="M91" s="3032"/>
    </row>
    <row r="92" spans="1:13">
      <c r="A92" s="3032"/>
      <c r="B92" s="3032"/>
      <c r="C92" s="3034">
        <v>-203</v>
      </c>
      <c r="D92" s="3032"/>
      <c r="E92" s="3032">
        <v>124.79</v>
      </c>
      <c r="F92" s="3032"/>
      <c r="G92" s="3032">
        <f t="shared" si="3"/>
        <v>124.79</v>
      </c>
      <c r="H92" s="3032"/>
      <c r="I92" s="3032"/>
      <c r="J92" s="3032"/>
      <c r="K92" s="3032">
        <f t="shared" si="5"/>
        <v>124.79</v>
      </c>
      <c r="L92" s="3032">
        <f t="shared" si="1"/>
        <v>124.79</v>
      </c>
      <c r="M92" s="3032"/>
    </row>
    <row r="93" spans="1:13">
      <c r="A93" s="3032"/>
      <c r="B93" s="3032"/>
      <c r="C93" s="3034">
        <v>-204</v>
      </c>
      <c r="D93" s="3032"/>
      <c r="E93" s="3032">
        <v>123.72</v>
      </c>
      <c r="F93" s="3032"/>
      <c r="G93" s="3032">
        <f t="shared" si="3"/>
        <v>123.72</v>
      </c>
      <c r="H93" s="3032"/>
      <c r="I93" s="3032"/>
      <c r="J93" s="3032"/>
      <c r="K93" s="3032">
        <f t="shared" si="5"/>
        <v>123.72</v>
      </c>
      <c r="L93" s="3032">
        <f t="shared" si="1"/>
        <v>123.72</v>
      </c>
      <c r="M93" s="3032"/>
    </row>
    <row r="94" spans="1:13">
      <c r="A94" s="3032"/>
      <c r="B94" s="3032"/>
      <c r="C94" s="3034">
        <v>-205</v>
      </c>
      <c r="D94" s="3032"/>
      <c r="E94" s="3032">
        <v>124.79</v>
      </c>
      <c r="F94" s="3032"/>
      <c r="G94" s="3032">
        <f t="shared" si="3"/>
        <v>124.79</v>
      </c>
      <c r="H94" s="3032"/>
      <c r="I94" s="3032"/>
      <c r="J94" s="3032"/>
      <c r="K94" s="3032">
        <f t="shared" si="5"/>
        <v>124.79</v>
      </c>
      <c r="L94" s="3032">
        <f t="shared" si="1"/>
        <v>124.79</v>
      </c>
      <c r="M94" s="3032"/>
    </row>
    <row r="95" spans="1:13">
      <c r="A95" s="3032"/>
      <c r="B95" s="3032"/>
      <c r="C95" s="3034">
        <v>-206</v>
      </c>
      <c r="D95" s="3032"/>
      <c r="E95" s="3032">
        <v>124.79</v>
      </c>
      <c r="F95" s="3032"/>
      <c r="G95" s="3032">
        <f t="shared" si="3"/>
        <v>124.79</v>
      </c>
      <c r="H95" s="3032"/>
      <c r="I95" s="3032"/>
      <c r="J95" s="3032"/>
      <c r="K95" s="3032">
        <f t="shared" si="5"/>
        <v>124.79</v>
      </c>
      <c r="L95" s="3032">
        <f t="shared" si="1"/>
        <v>124.79</v>
      </c>
      <c r="M95" s="3032"/>
    </row>
    <row r="96" spans="1:13">
      <c r="A96" s="3032"/>
      <c r="B96" s="3032"/>
      <c r="C96" s="3034">
        <v>101</v>
      </c>
      <c r="D96" s="3032">
        <v>109.54</v>
      </c>
      <c r="E96" s="3032">
        <v>68.819999999999993</v>
      </c>
      <c r="F96" s="3032"/>
      <c r="G96" s="3032">
        <f t="shared" si="3"/>
        <v>178.36</v>
      </c>
      <c r="H96" s="3032"/>
      <c r="I96" s="3032"/>
      <c r="J96" s="3032">
        <f>J84</f>
        <v>108.67</v>
      </c>
      <c r="K96" s="3032">
        <f t="shared" si="5"/>
        <v>69.690000000000012</v>
      </c>
      <c r="L96" s="3032">
        <f t="shared" si="1"/>
        <v>178.36</v>
      </c>
      <c r="M96" s="3032">
        <f>J96+J97+J98+J99+J100+J101</f>
        <v>652.01</v>
      </c>
    </row>
    <row r="97" spans="1:13">
      <c r="A97" s="3032"/>
      <c r="B97" s="3032"/>
      <c r="C97" s="3034">
        <v>102</v>
      </c>
      <c r="D97" s="3032">
        <v>109.54</v>
      </c>
      <c r="E97" s="3032">
        <v>68.930000000000007</v>
      </c>
      <c r="F97" s="3032"/>
      <c r="G97" s="3032">
        <f t="shared" si="3"/>
        <v>178.47000000000003</v>
      </c>
      <c r="H97" s="3032"/>
      <c r="I97" s="3032"/>
      <c r="J97" s="3032">
        <f>J96</f>
        <v>108.67</v>
      </c>
      <c r="K97" s="3032">
        <f t="shared" si="5"/>
        <v>69.800000000000026</v>
      </c>
      <c r="L97" s="3032">
        <f t="shared" si="1"/>
        <v>178.47000000000003</v>
      </c>
      <c r="M97" s="3032"/>
    </row>
    <row r="98" spans="1:13">
      <c r="A98" s="3032"/>
      <c r="B98" s="3032"/>
      <c r="C98" s="3034">
        <v>103</v>
      </c>
      <c r="D98" s="3032">
        <v>109.7</v>
      </c>
      <c r="E98" s="3032">
        <v>69.150000000000006</v>
      </c>
      <c r="F98" s="3032"/>
      <c r="G98" s="3032">
        <f t="shared" si="3"/>
        <v>178.85000000000002</v>
      </c>
      <c r="H98" s="3032"/>
      <c r="I98" s="3032"/>
      <c r="J98" s="3032">
        <f>J96</f>
        <v>108.67</v>
      </c>
      <c r="K98" s="3032">
        <f t="shared" si="5"/>
        <v>70.180000000000021</v>
      </c>
      <c r="L98" s="3032">
        <f t="shared" si="1"/>
        <v>178.85000000000002</v>
      </c>
      <c r="M98" s="3032"/>
    </row>
    <row r="99" spans="1:13">
      <c r="A99" s="3032"/>
      <c r="B99" s="3032"/>
      <c r="C99" s="3034">
        <v>104</v>
      </c>
      <c r="D99" s="3032">
        <v>109.54</v>
      </c>
      <c r="E99" s="3032">
        <v>68.819999999999993</v>
      </c>
      <c r="F99" s="3032"/>
      <c r="G99" s="3032">
        <f t="shared" si="3"/>
        <v>178.36</v>
      </c>
      <c r="H99" s="3032"/>
      <c r="I99" s="3032"/>
      <c r="J99" s="3032">
        <f>J96</f>
        <v>108.67</v>
      </c>
      <c r="K99" s="3032">
        <f t="shared" si="5"/>
        <v>69.690000000000012</v>
      </c>
      <c r="L99" s="3032">
        <f t="shared" si="1"/>
        <v>178.36</v>
      </c>
      <c r="M99" s="3032"/>
    </row>
    <row r="100" spans="1:13">
      <c r="A100" s="3032"/>
      <c r="B100" s="3032"/>
      <c r="C100" s="3034">
        <v>105</v>
      </c>
      <c r="D100" s="3032">
        <v>109.54</v>
      </c>
      <c r="E100" s="3032">
        <v>68.930000000000007</v>
      </c>
      <c r="F100" s="3032"/>
      <c r="G100" s="3032">
        <f t="shared" si="3"/>
        <v>178.47000000000003</v>
      </c>
      <c r="H100" s="3032"/>
      <c r="I100" s="3032"/>
      <c r="J100" s="3032">
        <f>J96</f>
        <v>108.67</v>
      </c>
      <c r="K100" s="3032">
        <f t="shared" si="5"/>
        <v>69.800000000000026</v>
      </c>
      <c r="L100" s="3032">
        <f t="shared" si="1"/>
        <v>178.47000000000003</v>
      </c>
      <c r="M100" s="3032"/>
    </row>
    <row r="101" spans="1:13">
      <c r="A101" s="3032"/>
      <c r="B101" s="3032"/>
      <c r="C101" s="3034">
        <v>106</v>
      </c>
      <c r="D101" s="3032">
        <v>109.7</v>
      </c>
      <c r="E101" s="3032">
        <v>69.150000000000006</v>
      </c>
      <c r="F101" s="3032"/>
      <c r="G101" s="3032">
        <f t="shared" si="3"/>
        <v>178.85000000000002</v>
      </c>
      <c r="H101" s="3032"/>
      <c r="I101" s="3032"/>
      <c r="J101" s="3032">
        <f>J89</f>
        <v>108.66</v>
      </c>
      <c r="K101" s="3032">
        <f t="shared" si="5"/>
        <v>70.190000000000026</v>
      </c>
      <c r="L101" s="3032">
        <f t="shared" si="1"/>
        <v>178.85000000000002</v>
      </c>
      <c r="M101" s="3032"/>
    </row>
    <row r="102" spans="1:13">
      <c r="A102" s="3032" t="s">
        <v>3112</v>
      </c>
      <c r="B102" s="3032">
        <v>4</v>
      </c>
      <c r="C102" s="3034">
        <v>-201</v>
      </c>
      <c r="D102" s="3032"/>
      <c r="E102" s="3032">
        <v>83.6</v>
      </c>
      <c r="F102" s="3032"/>
      <c r="G102" s="3032">
        <f t="shared" ref="G102:G133" si="6">SUM(D102:F102)</f>
        <v>83.6</v>
      </c>
      <c r="H102" s="3032">
        <f>SUM(G102:G109)</f>
        <v>1213.9399999999998</v>
      </c>
      <c r="I102" s="3032"/>
      <c r="J102" s="3032"/>
      <c r="K102" s="3032">
        <f t="shared" si="2"/>
        <v>83.6</v>
      </c>
      <c r="L102" s="3032">
        <f t="shared" si="1"/>
        <v>83.6</v>
      </c>
      <c r="M102" s="3032"/>
    </row>
    <row r="103" spans="1:13">
      <c r="A103" s="3032"/>
      <c r="B103" s="3032"/>
      <c r="C103" s="3034">
        <v>-202</v>
      </c>
      <c r="D103" s="3032"/>
      <c r="E103" s="3032">
        <v>84.32</v>
      </c>
      <c r="F103" s="3032"/>
      <c r="G103" s="3032">
        <f t="shared" si="6"/>
        <v>84.32</v>
      </c>
      <c r="H103" s="3032"/>
      <c r="I103" s="3032"/>
      <c r="J103" s="3032"/>
      <c r="K103" s="3032">
        <f t="shared" si="2"/>
        <v>84.32</v>
      </c>
      <c r="L103" s="3032">
        <f t="shared" si="1"/>
        <v>84.32</v>
      </c>
      <c r="M103" s="3032"/>
    </row>
    <row r="104" spans="1:13">
      <c r="A104" s="3032"/>
      <c r="B104" s="3032"/>
      <c r="C104" s="3034">
        <v>-203</v>
      </c>
      <c r="D104" s="3032"/>
      <c r="E104" s="3032">
        <v>83.6</v>
      </c>
      <c r="F104" s="3032"/>
      <c r="G104" s="3032">
        <f t="shared" si="6"/>
        <v>83.6</v>
      </c>
      <c r="H104" s="3032"/>
      <c r="I104" s="3032"/>
      <c r="J104" s="3032"/>
      <c r="K104" s="3032">
        <f t="shared" si="2"/>
        <v>83.6</v>
      </c>
      <c r="L104" s="3032">
        <f t="shared" si="1"/>
        <v>83.6</v>
      </c>
      <c r="M104" s="3032"/>
    </row>
    <row r="105" spans="1:13">
      <c r="A105" s="3032"/>
      <c r="B105" s="3032"/>
      <c r="C105" s="3034">
        <v>-204</v>
      </c>
      <c r="D105" s="3032"/>
      <c r="E105" s="3032">
        <v>84.32</v>
      </c>
      <c r="F105" s="3032"/>
      <c r="G105" s="3032">
        <f t="shared" si="6"/>
        <v>84.32</v>
      </c>
      <c r="H105" s="3032"/>
      <c r="I105" s="3032"/>
      <c r="J105" s="3032"/>
      <c r="K105" s="3032">
        <f t="shared" si="2"/>
        <v>84.32</v>
      </c>
      <c r="L105" s="3032">
        <f t="shared" si="1"/>
        <v>84.32</v>
      </c>
      <c r="M105" s="3032"/>
    </row>
    <row r="106" spans="1:13">
      <c r="A106" s="3032"/>
      <c r="B106" s="3032"/>
      <c r="C106" s="3034">
        <v>101</v>
      </c>
      <c r="D106" s="3032">
        <v>134.63999999999999</v>
      </c>
      <c r="E106" s="3032">
        <v>84.58</v>
      </c>
      <c r="F106" s="3032"/>
      <c r="G106" s="3032">
        <f t="shared" si="6"/>
        <v>219.21999999999997</v>
      </c>
      <c r="H106" s="3032"/>
      <c r="I106" s="3032"/>
      <c r="J106" s="3032">
        <v>108.89</v>
      </c>
      <c r="K106" s="3032">
        <f t="shared" si="2"/>
        <v>110.32999999999997</v>
      </c>
      <c r="L106" s="3032">
        <f t="shared" si="1"/>
        <v>219.21999999999997</v>
      </c>
      <c r="M106" s="3032">
        <f>J106+J107+J108+J109</f>
        <v>435.56</v>
      </c>
    </row>
    <row r="107" spans="1:13">
      <c r="A107" s="3032"/>
      <c r="B107" s="3032"/>
      <c r="C107" s="3034">
        <v>102</v>
      </c>
      <c r="D107" s="3032">
        <v>134.83000000000001</v>
      </c>
      <c r="E107" s="3032">
        <v>85</v>
      </c>
      <c r="F107" s="3032"/>
      <c r="G107" s="3032">
        <f t="shared" si="6"/>
        <v>219.83</v>
      </c>
      <c r="H107" s="3032"/>
      <c r="I107" s="3032"/>
      <c r="J107" s="3032">
        <f>J106</f>
        <v>108.89</v>
      </c>
      <c r="K107" s="3032">
        <f t="shared" si="2"/>
        <v>110.94000000000001</v>
      </c>
      <c r="L107" s="3032">
        <f t="shared" si="1"/>
        <v>219.83</v>
      </c>
      <c r="M107" s="3032"/>
    </row>
    <row r="108" spans="1:13">
      <c r="A108" s="3032"/>
      <c r="B108" s="3032"/>
      <c r="C108" s="3034">
        <v>103</v>
      </c>
      <c r="D108" s="3032">
        <v>134.63999999999999</v>
      </c>
      <c r="E108" s="3032">
        <v>84.58</v>
      </c>
      <c r="F108" s="3032"/>
      <c r="G108" s="3032">
        <f t="shared" si="6"/>
        <v>219.21999999999997</v>
      </c>
      <c r="H108" s="3032"/>
      <c r="I108" s="3032"/>
      <c r="J108" s="3032">
        <f>J106</f>
        <v>108.89</v>
      </c>
      <c r="K108" s="3032">
        <f t="shared" si="2"/>
        <v>110.32999999999997</v>
      </c>
      <c r="L108" s="3032">
        <f t="shared" si="1"/>
        <v>219.21999999999997</v>
      </c>
      <c r="M108" s="3032"/>
    </row>
    <row r="109" spans="1:13">
      <c r="A109" s="3032"/>
      <c r="B109" s="3032"/>
      <c r="C109" s="3034">
        <v>104</v>
      </c>
      <c r="D109" s="3032">
        <v>134.83000000000001</v>
      </c>
      <c r="E109" s="3032">
        <v>85</v>
      </c>
      <c r="F109" s="3032"/>
      <c r="G109" s="3032">
        <f t="shared" si="6"/>
        <v>219.83</v>
      </c>
      <c r="H109" s="3032"/>
      <c r="I109" s="3032"/>
      <c r="J109" s="3032">
        <f>J106</f>
        <v>108.89</v>
      </c>
      <c r="K109" s="3032">
        <f t="shared" si="2"/>
        <v>110.94000000000001</v>
      </c>
      <c r="L109" s="3032">
        <f t="shared" si="1"/>
        <v>219.83</v>
      </c>
      <c r="M109" s="3032"/>
    </row>
    <row r="110" spans="1:13">
      <c r="A110" s="3032" t="s">
        <v>3113</v>
      </c>
      <c r="B110" s="3032">
        <v>6</v>
      </c>
      <c r="C110" s="3034">
        <v>-201</v>
      </c>
      <c r="D110" s="3032"/>
      <c r="E110" s="3032">
        <v>83.45</v>
      </c>
      <c r="F110" s="3032"/>
      <c r="G110" s="3032">
        <f t="shared" si="6"/>
        <v>83.45</v>
      </c>
      <c r="H110" s="3032">
        <f>SUM(G110:G121)</f>
        <v>1816.8799999999999</v>
      </c>
      <c r="I110" s="3032"/>
      <c r="J110" s="3032"/>
      <c r="K110" s="3032">
        <f t="shared" si="2"/>
        <v>83.45</v>
      </c>
      <c r="L110" s="3032">
        <f t="shared" si="1"/>
        <v>83.45</v>
      </c>
      <c r="M110" s="3032"/>
    </row>
    <row r="111" spans="1:13">
      <c r="A111" s="3032"/>
      <c r="B111" s="3032"/>
      <c r="C111" s="3034">
        <v>-202</v>
      </c>
      <c r="D111" s="3032"/>
      <c r="E111" s="3032">
        <v>84.17</v>
      </c>
      <c r="F111" s="3032"/>
      <c r="G111" s="3032">
        <f t="shared" si="6"/>
        <v>84.17</v>
      </c>
      <c r="H111" s="3032"/>
      <c r="I111" s="3032"/>
      <c r="J111" s="3032"/>
      <c r="K111" s="3032">
        <f t="shared" si="2"/>
        <v>84.17</v>
      </c>
      <c r="L111" s="3032">
        <f t="shared" si="1"/>
        <v>84.17</v>
      </c>
      <c r="M111" s="3032"/>
    </row>
    <row r="112" spans="1:13">
      <c r="A112" s="3032"/>
      <c r="B112" s="3032"/>
      <c r="C112" s="3034">
        <v>-203</v>
      </c>
      <c r="D112" s="3032"/>
      <c r="E112" s="3032">
        <v>84.17</v>
      </c>
      <c r="F112" s="3032"/>
      <c r="G112" s="3032">
        <f t="shared" si="6"/>
        <v>84.17</v>
      </c>
      <c r="H112" s="3032"/>
      <c r="I112" s="3032"/>
      <c r="J112" s="3032"/>
      <c r="K112" s="3032">
        <f t="shared" si="2"/>
        <v>84.17</v>
      </c>
      <c r="L112" s="3032">
        <f t="shared" si="1"/>
        <v>84.17</v>
      </c>
      <c r="M112" s="3032"/>
    </row>
    <row r="113" spans="1:13">
      <c r="A113" s="3032"/>
      <c r="B113" s="3032"/>
      <c r="C113" s="3034">
        <v>-204</v>
      </c>
      <c r="D113" s="3032"/>
      <c r="E113" s="3032">
        <v>83.45</v>
      </c>
      <c r="F113" s="3032"/>
      <c r="G113" s="3032">
        <f t="shared" si="6"/>
        <v>83.45</v>
      </c>
      <c r="H113" s="3032"/>
      <c r="I113" s="3032"/>
      <c r="J113" s="3032"/>
      <c r="K113" s="3032">
        <f t="shared" si="2"/>
        <v>83.45</v>
      </c>
      <c r="L113" s="3032">
        <f t="shared" si="1"/>
        <v>83.45</v>
      </c>
      <c r="M113" s="3032"/>
    </row>
    <row r="114" spans="1:13">
      <c r="A114" s="3032"/>
      <c r="B114" s="3032"/>
      <c r="C114" s="3034">
        <v>-205</v>
      </c>
      <c r="D114" s="3032"/>
      <c r="E114" s="3032">
        <v>84.17</v>
      </c>
      <c r="F114" s="3032"/>
      <c r="G114" s="3032">
        <f t="shared" si="6"/>
        <v>84.17</v>
      </c>
      <c r="H114" s="3032"/>
      <c r="I114" s="3032"/>
      <c r="J114" s="3032"/>
      <c r="K114" s="3032">
        <f t="shared" si="2"/>
        <v>84.17</v>
      </c>
      <c r="L114" s="3032">
        <f t="shared" si="1"/>
        <v>84.17</v>
      </c>
      <c r="M114" s="3032"/>
    </row>
    <row r="115" spans="1:13">
      <c r="A115" s="3032"/>
      <c r="B115" s="3032"/>
      <c r="C115" s="3034">
        <v>-206</v>
      </c>
      <c r="D115" s="3032"/>
      <c r="E115" s="3032">
        <v>84.17</v>
      </c>
      <c r="F115" s="3032"/>
      <c r="G115" s="3032">
        <f t="shared" si="6"/>
        <v>84.17</v>
      </c>
      <c r="H115" s="3032"/>
      <c r="I115" s="3032"/>
      <c r="J115" s="3032"/>
      <c r="K115" s="3032">
        <f t="shared" si="2"/>
        <v>84.17</v>
      </c>
      <c r="L115" s="3032">
        <f t="shared" si="1"/>
        <v>84.17</v>
      </c>
      <c r="M115" s="3032"/>
    </row>
    <row r="116" spans="1:13">
      <c r="A116" s="3032"/>
      <c r="B116" s="3032"/>
      <c r="C116" s="3034">
        <v>101</v>
      </c>
      <c r="D116" s="3032">
        <v>134.29</v>
      </c>
      <c r="E116" s="3032">
        <v>84.35</v>
      </c>
      <c r="F116" s="3032"/>
      <c r="G116" s="3032">
        <f t="shared" si="6"/>
        <v>218.64</v>
      </c>
      <c r="H116" s="3032"/>
      <c r="I116" s="3032"/>
      <c r="J116" s="3032">
        <f>J96</f>
        <v>108.67</v>
      </c>
      <c r="K116" s="3032">
        <f t="shared" si="2"/>
        <v>109.96999999999998</v>
      </c>
      <c r="L116" s="3032">
        <f t="shared" si="1"/>
        <v>218.64</v>
      </c>
      <c r="M116" s="3032">
        <f>J116+J117+J118+J119+J120+J121</f>
        <v>652.01</v>
      </c>
    </row>
    <row r="117" spans="1:13">
      <c r="A117" s="3032"/>
      <c r="B117" s="3032"/>
      <c r="C117" s="3034">
        <v>102</v>
      </c>
      <c r="D117" s="3032">
        <v>134.28</v>
      </c>
      <c r="E117" s="3032">
        <v>84.49</v>
      </c>
      <c r="F117" s="3032"/>
      <c r="G117" s="3032">
        <f t="shared" si="6"/>
        <v>218.76999999999998</v>
      </c>
      <c r="H117" s="3032"/>
      <c r="I117" s="3032"/>
      <c r="J117" s="3032">
        <f>J116</f>
        <v>108.67</v>
      </c>
      <c r="K117" s="3032">
        <f t="shared" si="2"/>
        <v>110.09999999999998</v>
      </c>
      <c r="L117" s="3032">
        <f t="shared" si="1"/>
        <v>218.76999999999998</v>
      </c>
      <c r="M117" s="3032"/>
    </row>
    <row r="118" spans="1:13">
      <c r="A118" s="3032"/>
      <c r="B118" s="3032"/>
      <c r="C118" s="3034">
        <v>103</v>
      </c>
      <c r="D118" s="3032">
        <v>134.47</v>
      </c>
      <c r="E118" s="3032">
        <v>84.77</v>
      </c>
      <c r="F118" s="3032"/>
      <c r="G118" s="3032">
        <f t="shared" si="6"/>
        <v>219.24</v>
      </c>
      <c r="H118" s="3032"/>
      <c r="I118" s="3032"/>
      <c r="J118" s="3032">
        <f>J116</f>
        <v>108.67</v>
      </c>
      <c r="K118" s="3032">
        <f t="shared" si="2"/>
        <v>110.57000000000001</v>
      </c>
      <c r="L118" s="3032">
        <f t="shared" si="1"/>
        <v>219.24</v>
      </c>
      <c r="M118" s="3032"/>
    </row>
    <row r="119" spans="1:13">
      <c r="A119" s="3032"/>
      <c r="B119" s="3032"/>
      <c r="C119" s="3034">
        <v>104</v>
      </c>
      <c r="D119" s="3032">
        <v>134.29</v>
      </c>
      <c r="E119" s="3032">
        <v>84.35</v>
      </c>
      <c r="F119" s="3032"/>
      <c r="G119" s="3032">
        <f t="shared" si="6"/>
        <v>218.64</v>
      </c>
      <c r="H119" s="3032"/>
      <c r="I119" s="3032"/>
      <c r="J119" s="3032">
        <f>J116</f>
        <v>108.67</v>
      </c>
      <c r="K119" s="3032">
        <f t="shared" si="2"/>
        <v>109.96999999999998</v>
      </c>
      <c r="L119" s="3032">
        <f t="shared" si="1"/>
        <v>218.64</v>
      </c>
      <c r="M119" s="3032"/>
    </row>
    <row r="120" spans="1:13">
      <c r="A120" s="3032"/>
      <c r="B120" s="3032"/>
      <c r="C120" s="3034">
        <v>105</v>
      </c>
      <c r="D120" s="3032">
        <v>134.28</v>
      </c>
      <c r="E120" s="3032">
        <v>84.49</v>
      </c>
      <c r="F120" s="3032"/>
      <c r="G120" s="3032">
        <f t="shared" si="6"/>
        <v>218.76999999999998</v>
      </c>
      <c r="H120" s="3032"/>
      <c r="I120" s="3032"/>
      <c r="J120" s="3032">
        <f>J116</f>
        <v>108.67</v>
      </c>
      <c r="K120" s="3032">
        <f t="shared" si="2"/>
        <v>110.09999999999998</v>
      </c>
      <c r="L120" s="3032">
        <f t="shared" si="1"/>
        <v>218.76999999999998</v>
      </c>
      <c r="M120" s="3032"/>
    </row>
    <row r="121" spans="1:13">
      <c r="A121" s="3032"/>
      <c r="B121" s="3032"/>
      <c r="C121" s="3034">
        <v>106</v>
      </c>
      <c r="D121" s="3032">
        <v>134.47</v>
      </c>
      <c r="E121" s="3032">
        <v>84.77</v>
      </c>
      <c r="F121" s="3032"/>
      <c r="G121" s="3032">
        <f t="shared" si="6"/>
        <v>219.24</v>
      </c>
      <c r="H121" s="3032"/>
      <c r="I121" s="3032"/>
      <c r="J121" s="3032">
        <v>108.66</v>
      </c>
      <c r="K121" s="3032">
        <f t="shared" si="2"/>
        <v>110.58000000000001</v>
      </c>
      <c r="L121" s="3032">
        <f t="shared" si="1"/>
        <v>219.24</v>
      </c>
      <c r="M121" s="3032"/>
    </row>
    <row r="122" spans="1:13">
      <c r="A122" s="3032" t="s">
        <v>3114</v>
      </c>
      <c r="B122" s="3032">
        <v>4</v>
      </c>
      <c r="C122" s="3034">
        <v>-201</v>
      </c>
      <c r="D122" s="3032"/>
      <c r="E122" s="3032">
        <v>83.88</v>
      </c>
      <c r="F122" s="3032"/>
      <c r="G122" s="3032">
        <f t="shared" si="6"/>
        <v>83.88</v>
      </c>
      <c r="H122" s="3032">
        <f>SUM(G122:G129)</f>
        <v>1215.04</v>
      </c>
      <c r="I122" s="3032"/>
      <c r="J122" s="3032"/>
      <c r="K122" s="3032">
        <f t="shared" si="2"/>
        <v>83.88</v>
      </c>
      <c r="L122" s="3032">
        <f t="shared" si="1"/>
        <v>83.88</v>
      </c>
      <c r="M122" s="3032"/>
    </row>
    <row r="123" spans="1:13">
      <c r="A123" s="3032"/>
      <c r="B123" s="3032"/>
      <c r="C123" s="3034">
        <v>-202</v>
      </c>
      <c r="D123" s="3032"/>
      <c r="E123" s="3032">
        <v>84.6</v>
      </c>
      <c r="F123" s="3032"/>
      <c r="G123" s="3032">
        <f t="shared" si="6"/>
        <v>84.6</v>
      </c>
      <c r="H123" s="3032"/>
      <c r="I123" s="3032"/>
      <c r="J123" s="3032"/>
      <c r="K123" s="3032">
        <f t="shared" si="2"/>
        <v>84.6</v>
      </c>
      <c r="L123" s="3032">
        <f t="shared" si="1"/>
        <v>84.6</v>
      </c>
      <c r="M123" s="3032"/>
    </row>
    <row r="124" spans="1:13">
      <c r="A124" s="3032"/>
      <c r="B124" s="3032"/>
      <c r="C124" s="3034">
        <v>-203</v>
      </c>
      <c r="D124" s="3032"/>
      <c r="E124" s="3032">
        <v>83.88</v>
      </c>
      <c r="F124" s="3032"/>
      <c r="G124" s="3032">
        <f t="shared" si="6"/>
        <v>83.88</v>
      </c>
      <c r="H124" s="3032"/>
      <c r="I124" s="3032"/>
      <c r="J124" s="3032"/>
      <c r="K124" s="3032">
        <f t="shared" si="2"/>
        <v>83.88</v>
      </c>
      <c r="L124" s="3032">
        <f t="shared" si="1"/>
        <v>83.88</v>
      </c>
      <c r="M124" s="3032"/>
    </row>
    <row r="125" spans="1:13">
      <c r="A125" s="3032"/>
      <c r="B125" s="3032"/>
      <c r="C125" s="3034">
        <v>-204</v>
      </c>
      <c r="D125" s="3032"/>
      <c r="E125" s="3032">
        <v>84.6</v>
      </c>
      <c r="F125" s="3032"/>
      <c r="G125" s="3032">
        <f t="shared" si="6"/>
        <v>84.6</v>
      </c>
      <c r="H125" s="3032"/>
      <c r="I125" s="3032"/>
      <c r="J125" s="3032"/>
      <c r="K125" s="3032">
        <f t="shared" si="2"/>
        <v>84.6</v>
      </c>
      <c r="L125" s="3032">
        <f t="shared" si="1"/>
        <v>84.6</v>
      </c>
      <c r="M125" s="3032"/>
    </row>
    <row r="126" spans="1:13">
      <c r="A126" s="3032"/>
      <c r="B126" s="3032"/>
      <c r="C126" s="3034">
        <v>101</v>
      </c>
      <c r="D126" s="3032">
        <v>134.63999999999999</v>
      </c>
      <c r="E126" s="3032">
        <v>84.58</v>
      </c>
      <c r="F126" s="3032"/>
      <c r="G126" s="3032">
        <f t="shared" si="6"/>
        <v>219.21999999999997</v>
      </c>
      <c r="H126" s="3032"/>
      <c r="I126" s="3032"/>
      <c r="J126" s="3032">
        <f>J106</f>
        <v>108.89</v>
      </c>
      <c r="K126" s="3032">
        <f t="shared" si="2"/>
        <v>110.32999999999997</v>
      </c>
      <c r="L126" s="3032">
        <f t="shared" si="1"/>
        <v>219.21999999999997</v>
      </c>
      <c r="M126" s="3032">
        <f>J126+J127+J128+J129</f>
        <v>435.56</v>
      </c>
    </row>
    <row r="127" spans="1:13">
      <c r="A127" s="3032"/>
      <c r="B127" s="3032"/>
      <c r="C127" s="3034">
        <v>102</v>
      </c>
      <c r="D127" s="3032">
        <v>134.83000000000001</v>
      </c>
      <c r="E127" s="3032">
        <v>84.99</v>
      </c>
      <c r="F127" s="3032"/>
      <c r="G127" s="3032">
        <f t="shared" si="6"/>
        <v>219.82</v>
      </c>
      <c r="H127" s="3032"/>
      <c r="I127" s="3032"/>
      <c r="J127" s="3032">
        <f>J107</f>
        <v>108.89</v>
      </c>
      <c r="K127" s="3032">
        <f t="shared" si="2"/>
        <v>110.92999999999999</v>
      </c>
      <c r="L127" s="3032">
        <f t="shared" si="1"/>
        <v>219.82</v>
      </c>
      <c r="M127" s="3032"/>
    </row>
    <row r="128" spans="1:13">
      <c r="A128" s="3032"/>
      <c r="B128" s="3032"/>
      <c r="C128" s="3034">
        <v>103</v>
      </c>
      <c r="D128" s="3032">
        <v>134.63999999999999</v>
      </c>
      <c r="E128" s="3032">
        <v>84.58</v>
      </c>
      <c r="F128" s="3032"/>
      <c r="G128" s="3032">
        <f t="shared" si="6"/>
        <v>219.21999999999997</v>
      </c>
      <c r="H128" s="3032"/>
      <c r="I128" s="3032"/>
      <c r="J128" s="3032">
        <f>J108</f>
        <v>108.89</v>
      </c>
      <c r="K128" s="3032">
        <f t="shared" si="2"/>
        <v>110.32999999999997</v>
      </c>
      <c r="L128" s="3032">
        <f t="shared" si="1"/>
        <v>219.21999999999997</v>
      </c>
      <c r="M128" s="3032"/>
    </row>
    <row r="129" spans="1:13">
      <c r="A129" s="3032"/>
      <c r="B129" s="3032"/>
      <c r="C129" s="3034">
        <v>104</v>
      </c>
      <c r="D129" s="3032">
        <v>134.83000000000001</v>
      </c>
      <c r="E129" s="3032">
        <v>84.99</v>
      </c>
      <c r="F129" s="3032"/>
      <c r="G129" s="3032">
        <f t="shared" si="6"/>
        <v>219.82</v>
      </c>
      <c r="H129" s="3032"/>
      <c r="I129" s="3032"/>
      <c r="J129" s="3032">
        <f>J109</f>
        <v>108.89</v>
      </c>
      <c r="K129" s="3032">
        <f t="shared" si="2"/>
        <v>110.92999999999999</v>
      </c>
      <c r="L129" s="3032">
        <f t="shared" si="1"/>
        <v>219.82</v>
      </c>
      <c r="M129" s="3032"/>
    </row>
    <row r="130" spans="1:13">
      <c r="A130" s="3032" t="s">
        <v>3115</v>
      </c>
      <c r="B130" s="3032">
        <v>2</v>
      </c>
      <c r="C130" s="3034">
        <v>-201</v>
      </c>
      <c r="D130" s="3032"/>
      <c r="E130" s="3032">
        <v>84.75</v>
      </c>
      <c r="F130" s="3032"/>
      <c r="G130" s="3032">
        <f t="shared" si="6"/>
        <v>84.75</v>
      </c>
      <c r="H130" s="3032">
        <f>SUM(G130:G133)</f>
        <v>622.58000000000004</v>
      </c>
      <c r="I130" s="3032"/>
      <c r="J130" s="3032"/>
      <c r="K130" s="3032">
        <f t="shared" si="2"/>
        <v>84.75</v>
      </c>
      <c r="L130" s="3032">
        <f t="shared" si="1"/>
        <v>84.75</v>
      </c>
      <c r="M130" s="3032"/>
    </row>
    <row r="131" spans="1:13">
      <c r="A131" s="3032"/>
      <c r="B131" s="3032"/>
      <c r="C131" s="3034">
        <v>-202</v>
      </c>
      <c r="D131" s="3032"/>
      <c r="E131" s="3032">
        <v>85.48</v>
      </c>
      <c r="F131" s="3032"/>
      <c r="G131" s="3032">
        <f t="shared" si="6"/>
        <v>85.48</v>
      </c>
      <c r="H131" s="3032"/>
      <c r="I131" s="3032"/>
      <c r="J131" s="3032"/>
      <c r="K131" s="3032">
        <f t="shared" si="2"/>
        <v>85.48</v>
      </c>
      <c r="L131" s="3032">
        <f t="shared" si="1"/>
        <v>85.48</v>
      </c>
      <c r="M131" s="3032"/>
    </row>
    <row r="132" spans="1:13">
      <c r="A132" s="3032"/>
      <c r="B132" s="3032"/>
      <c r="C132" s="3034">
        <v>101</v>
      </c>
      <c r="D132" s="3032">
        <v>139.03</v>
      </c>
      <c r="E132" s="3032">
        <v>86.83</v>
      </c>
      <c r="F132" s="3032"/>
      <c r="G132" s="3032">
        <f t="shared" si="6"/>
        <v>225.86</v>
      </c>
      <c r="H132" s="3032"/>
      <c r="I132" s="3032"/>
      <c r="J132" s="3032">
        <f>ROUND(225.49/2,2)</f>
        <v>112.75</v>
      </c>
      <c r="K132" s="3032">
        <f t="shared" si="2"/>
        <v>113.11000000000001</v>
      </c>
      <c r="L132" s="3032">
        <f t="shared" si="1"/>
        <v>225.86</v>
      </c>
      <c r="M132" s="3032">
        <f>J132+J133</f>
        <v>225.49</v>
      </c>
    </row>
    <row r="133" spans="1:13">
      <c r="A133" s="3032"/>
      <c r="B133" s="3032"/>
      <c r="C133" s="3034">
        <v>102</v>
      </c>
      <c r="D133" s="3032">
        <v>139.24</v>
      </c>
      <c r="E133" s="3032">
        <v>87.25</v>
      </c>
      <c r="F133" s="3032"/>
      <c r="G133" s="3032">
        <f t="shared" si="6"/>
        <v>226.49</v>
      </c>
      <c r="H133" s="3032"/>
      <c r="I133" s="3032"/>
      <c r="J133" s="3032">
        <f>225.49-J132</f>
        <v>112.74000000000001</v>
      </c>
      <c r="K133" s="3032">
        <f t="shared" si="2"/>
        <v>113.75</v>
      </c>
      <c r="L133" s="3032">
        <f t="shared" si="1"/>
        <v>226.49</v>
      </c>
      <c r="M133" s="3032"/>
    </row>
    <row r="134" spans="1:13">
      <c r="A134" s="3032" t="s">
        <v>3116</v>
      </c>
      <c r="B134" s="3032">
        <v>3</v>
      </c>
      <c r="C134" s="3034">
        <v>-201</v>
      </c>
      <c r="D134" s="3032"/>
      <c r="E134" s="3032">
        <v>85.35</v>
      </c>
      <c r="F134" s="3032"/>
      <c r="G134" s="3032">
        <f t="shared" ref="G134:G165" si="7">SUM(D134:F134)</f>
        <v>85.35</v>
      </c>
      <c r="H134" s="3032">
        <f>SUM(G134:G139)</f>
        <v>935.79</v>
      </c>
      <c r="I134" s="3032"/>
      <c r="J134" s="3032"/>
      <c r="K134" s="3032">
        <f t="shared" si="2"/>
        <v>85.35</v>
      </c>
      <c r="L134" s="3032">
        <f t="shared" si="1"/>
        <v>85.35</v>
      </c>
      <c r="M134" s="3032"/>
    </row>
    <row r="135" spans="1:13">
      <c r="A135" s="3032"/>
      <c r="B135" s="3032"/>
      <c r="C135" s="3034">
        <v>-202</v>
      </c>
      <c r="D135" s="3032"/>
      <c r="E135" s="3032">
        <v>86.06</v>
      </c>
      <c r="F135" s="3032"/>
      <c r="G135" s="3032">
        <f t="shared" si="7"/>
        <v>86.06</v>
      </c>
      <c r="H135" s="3032"/>
      <c r="I135" s="3032"/>
      <c r="J135" s="3032"/>
      <c r="K135" s="3032">
        <f t="shared" si="2"/>
        <v>86.06</v>
      </c>
      <c r="L135" s="3032">
        <f t="shared" si="1"/>
        <v>86.06</v>
      </c>
      <c r="M135" s="3032"/>
    </row>
    <row r="136" spans="1:13">
      <c r="A136" s="3032"/>
      <c r="B136" s="3032"/>
      <c r="C136" s="3034">
        <v>-203</v>
      </c>
      <c r="D136" s="3032"/>
      <c r="E136" s="3032">
        <v>86.06</v>
      </c>
      <c r="F136" s="3032"/>
      <c r="G136" s="3032">
        <f t="shared" si="7"/>
        <v>86.06</v>
      </c>
      <c r="H136" s="3032"/>
      <c r="I136" s="3032"/>
      <c r="J136" s="3032"/>
      <c r="K136" s="3032">
        <f t="shared" si="2"/>
        <v>86.06</v>
      </c>
      <c r="L136" s="3032">
        <f t="shared" si="1"/>
        <v>86.06</v>
      </c>
      <c r="M136" s="3032"/>
    </row>
    <row r="137" spans="1:13">
      <c r="A137" s="3032"/>
      <c r="B137" s="3032"/>
      <c r="C137" s="3034">
        <v>101</v>
      </c>
      <c r="D137" s="3032">
        <v>138.47</v>
      </c>
      <c r="E137" s="3032">
        <v>86.98</v>
      </c>
      <c r="F137" s="3032"/>
      <c r="G137" s="3032">
        <f t="shared" si="7"/>
        <v>225.45</v>
      </c>
      <c r="H137" s="3032"/>
      <c r="I137" s="3032"/>
      <c r="J137" s="3032">
        <f>ROUND(337.54/3,2)</f>
        <v>112.51</v>
      </c>
      <c r="K137" s="3032">
        <f t="shared" si="2"/>
        <v>112.93999999999998</v>
      </c>
      <c r="L137" s="3032">
        <f t="shared" si="1"/>
        <v>225.45</v>
      </c>
      <c r="M137" s="3032">
        <f>J137+J138+J139</f>
        <v>337.54</v>
      </c>
    </row>
    <row r="138" spans="1:13">
      <c r="A138" s="3032"/>
      <c r="B138" s="3032"/>
      <c r="C138" s="3034">
        <v>102</v>
      </c>
      <c r="D138" s="3032">
        <v>138.47</v>
      </c>
      <c r="E138" s="3032">
        <v>87.12</v>
      </c>
      <c r="F138" s="3032"/>
      <c r="G138" s="3032">
        <f t="shared" si="7"/>
        <v>225.59</v>
      </c>
      <c r="H138" s="3032"/>
      <c r="I138" s="3032"/>
      <c r="J138" s="3032">
        <f>J137</f>
        <v>112.51</v>
      </c>
      <c r="K138" s="3032">
        <f t="shared" si="2"/>
        <v>113.08</v>
      </c>
      <c r="L138" s="3032">
        <f t="shared" si="1"/>
        <v>225.59</v>
      </c>
      <c r="M138" s="3032"/>
    </row>
    <row r="139" spans="1:13">
      <c r="A139" s="3032"/>
      <c r="B139" s="3032"/>
      <c r="C139" s="3034">
        <v>103</v>
      </c>
      <c r="D139" s="3032">
        <v>138.68</v>
      </c>
      <c r="E139" s="3032">
        <v>88.6</v>
      </c>
      <c r="F139" s="3032"/>
      <c r="G139" s="3032">
        <f t="shared" si="7"/>
        <v>227.28</v>
      </c>
      <c r="H139" s="3032"/>
      <c r="I139" s="3032"/>
      <c r="J139" s="3032">
        <f>337.54-J137-J138</f>
        <v>112.52000000000002</v>
      </c>
      <c r="K139" s="3032">
        <f t="shared" si="2"/>
        <v>114.75999999999998</v>
      </c>
      <c r="L139" s="3032">
        <f t="shared" si="1"/>
        <v>227.28</v>
      </c>
      <c r="M139" s="3032"/>
    </row>
    <row r="140" spans="1:13">
      <c r="A140" s="3032" t="s">
        <v>3117</v>
      </c>
      <c r="B140" s="3032">
        <v>6</v>
      </c>
      <c r="C140" s="3034">
        <v>-201</v>
      </c>
      <c r="D140" s="3032"/>
      <c r="E140" s="3032">
        <v>83.45</v>
      </c>
      <c r="F140" s="3032"/>
      <c r="G140" s="3032">
        <f t="shared" si="7"/>
        <v>83.45</v>
      </c>
      <c r="H140" s="3032">
        <f>SUM(G140:G151)</f>
        <v>1816.8799999999999</v>
      </c>
      <c r="I140" s="3032"/>
      <c r="J140" s="3032"/>
      <c r="K140" s="3032">
        <f t="shared" si="2"/>
        <v>83.45</v>
      </c>
      <c r="L140" s="3032">
        <f t="shared" si="1"/>
        <v>83.45</v>
      </c>
      <c r="M140" s="3032"/>
    </row>
    <row r="141" spans="1:13">
      <c r="A141" s="3032"/>
      <c r="B141" s="3032"/>
      <c r="C141" s="3034">
        <v>-202</v>
      </c>
      <c r="D141" s="3032"/>
      <c r="E141" s="3032">
        <v>84.17</v>
      </c>
      <c r="F141" s="3032"/>
      <c r="G141" s="3032">
        <f t="shared" si="7"/>
        <v>84.17</v>
      </c>
      <c r="H141" s="3032"/>
      <c r="I141" s="3032"/>
      <c r="J141" s="3032"/>
      <c r="K141" s="3032">
        <f t="shared" si="2"/>
        <v>84.17</v>
      </c>
      <c r="L141" s="3032">
        <f t="shared" si="1"/>
        <v>84.17</v>
      </c>
      <c r="M141" s="3032"/>
    </row>
    <row r="142" spans="1:13">
      <c r="A142" s="3032"/>
      <c r="B142" s="3032"/>
      <c r="C142" s="3034">
        <v>-203</v>
      </c>
      <c r="D142" s="3032"/>
      <c r="E142" s="3032">
        <v>84.17</v>
      </c>
      <c r="F142" s="3032"/>
      <c r="G142" s="3032">
        <f t="shared" si="7"/>
        <v>84.17</v>
      </c>
      <c r="H142" s="3032"/>
      <c r="I142" s="3032"/>
      <c r="J142" s="3032"/>
      <c r="K142" s="3032">
        <f t="shared" si="2"/>
        <v>84.17</v>
      </c>
      <c r="L142" s="3032">
        <f t="shared" si="1"/>
        <v>84.17</v>
      </c>
      <c r="M142" s="3032"/>
    </row>
    <row r="143" spans="1:13">
      <c r="A143" s="3032"/>
      <c r="B143" s="3032"/>
      <c r="C143" s="3034">
        <v>-204</v>
      </c>
      <c r="D143" s="3032"/>
      <c r="E143" s="3032">
        <v>83.45</v>
      </c>
      <c r="F143" s="3032"/>
      <c r="G143" s="3032">
        <f t="shared" si="7"/>
        <v>83.45</v>
      </c>
      <c r="H143" s="3032"/>
      <c r="I143" s="3032"/>
      <c r="J143" s="3032"/>
      <c r="K143" s="3032">
        <f t="shared" si="2"/>
        <v>83.45</v>
      </c>
      <c r="L143" s="3032">
        <f t="shared" si="1"/>
        <v>83.45</v>
      </c>
      <c r="M143" s="3032"/>
    </row>
    <row r="144" spans="1:13">
      <c r="A144" s="3032"/>
      <c r="B144" s="3032"/>
      <c r="C144" s="3034">
        <v>-205</v>
      </c>
      <c r="D144" s="3032"/>
      <c r="E144" s="3032">
        <v>84.17</v>
      </c>
      <c r="F144" s="3032"/>
      <c r="G144" s="3032">
        <f t="shared" si="7"/>
        <v>84.17</v>
      </c>
      <c r="H144" s="3032"/>
      <c r="I144" s="3032"/>
      <c r="J144" s="3032"/>
      <c r="K144" s="3032">
        <f t="shared" si="2"/>
        <v>84.17</v>
      </c>
      <c r="L144" s="3032">
        <f t="shared" si="1"/>
        <v>84.17</v>
      </c>
      <c r="M144" s="3032"/>
    </row>
    <row r="145" spans="1:13">
      <c r="A145" s="3032"/>
      <c r="B145" s="3032"/>
      <c r="C145" s="3034">
        <v>-206</v>
      </c>
      <c r="D145" s="3032"/>
      <c r="E145" s="3032">
        <v>84.17</v>
      </c>
      <c r="F145" s="3032"/>
      <c r="G145" s="3032">
        <f t="shared" si="7"/>
        <v>84.17</v>
      </c>
      <c r="H145" s="3032"/>
      <c r="I145" s="3032"/>
      <c r="J145" s="3032"/>
      <c r="K145" s="3032">
        <f t="shared" si="2"/>
        <v>84.17</v>
      </c>
      <c r="L145" s="3032">
        <f t="shared" si="1"/>
        <v>84.17</v>
      </c>
      <c r="M145" s="3032"/>
    </row>
    <row r="146" spans="1:13">
      <c r="A146" s="3032"/>
      <c r="B146" s="3032"/>
      <c r="C146" s="3034">
        <v>101</v>
      </c>
      <c r="D146" s="3032">
        <v>134.29</v>
      </c>
      <c r="E146" s="3032">
        <v>84.35</v>
      </c>
      <c r="F146" s="3032"/>
      <c r="G146" s="3032">
        <f t="shared" si="7"/>
        <v>218.64</v>
      </c>
      <c r="H146" s="3032"/>
      <c r="I146" s="3032"/>
      <c r="J146" s="3032">
        <f>J116</f>
        <v>108.67</v>
      </c>
      <c r="K146" s="3032">
        <f t="shared" si="2"/>
        <v>109.96999999999998</v>
      </c>
      <c r="L146" s="3032">
        <f t="shared" si="1"/>
        <v>218.64</v>
      </c>
      <c r="M146" s="3032">
        <f>J146+J147+J148+J149+J150+J151</f>
        <v>652.01</v>
      </c>
    </row>
    <row r="147" spans="1:13">
      <c r="A147" s="3032"/>
      <c r="B147" s="3032"/>
      <c r="C147" s="3034">
        <v>102</v>
      </c>
      <c r="D147" s="3032">
        <v>134.28</v>
      </c>
      <c r="E147" s="3032">
        <v>84.49</v>
      </c>
      <c r="F147" s="3032"/>
      <c r="G147" s="3032">
        <f t="shared" si="7"/>
        <v>218.76999999999998</v>
      </c>
      <c r="H147" s="3032"/>
      <c r="I147" s="3032"/>
      <c r="J147" s="3032">
        <f>J146</f>
        <v>108.67</v>
      </c>
      <c r="K147" s="3032">
        <f t="shared" si="2"/>
        <v>110.09999999999998</v>
      </c>
      <c r="L147" s="3032">
        <f t="shared" si="1"/>
        <v>218.76999999999998</v>
      </c>
      <c r="M147" s="3032"/>
    </row>
    <row r="148" spans="1:13">
      <c r="A148" s="3032"/>
      <c r="B148" s="3032"/>
      <c r="C148" s="3034">
        <v>103</v>
      </c>
      <c r="D148" s="3032">
        <v>134.47</v>
      </c>
      <c r="E148" s="3032">
        <v>84.77</v>
      </c>
      <c r="F148" s="3032"/>
      <c r="G148" s="3032">
        <f t="shared" si="7"/>
        <v>219.24</v>
      </c>
      <c r="H148" s="3032"/>
      <c r="I148" s="3032"/>
      <c r="J148" s="3032">
        <f>J146</f>
        <v>108.67</v>
      </c>
      <c r="K148" s="3032">
        <f t="shared" si="2"/>
        <v>110.57000000000001</v>
      </c>
      <c r="L148" s="3032">
        <f t="shared" si="1"/>
        <v>219.24</v>
      </c>
      <c r="M148" s="3032"/>
    </row>
    <row r="149" spans="1:13">
      <c r="A149" s="3032"/>
      <c r="B149" s="3032"/>
      <c r="C149" s="3034">
        <v>104</v>
      </c>
      <c r="D149" s="3032">
        <v>134.29</v>
      </c>
      <c r="E149" s="3032">
        <v>84.35</v>
      </c>
      <c r="F149" s="3032"/>
      <c r="G149" s="3032">
        <f t="shared" si="7"/>
        <v>218.64</v>
      </c>
      <c r="H149" s="3032"/>
      <c r="I149" s="3032"/>
      <c r="J149" s="3032">
        <f>J146</f>
        <v>108.67</v>
      </c>
      <c r="K149" s="3032">
        <f t="shared" si="2"/>
        <v>109.96999999999998</v>
      </c>
      <c r="L149" s="3032">
        <f t="shared" si="1"/>
        <v>218.64</v>
      </c>
      <c r="M149" s="3032"/>
    </row>
    <row r="150" spans="1:13">
      <c r="A150" s="3032"/>
      <c r="B150" s="3032"/>
      <c r="C150" s="3034">
        <v>105</v>
      </c>
      <c r="D150" s="3032">
        <v>134.28</v>
      </c>
      <c r="E150" s="3032">
        <v>84.49</v>
      </c>
      <c r="F150" s="3032"/>
      <c r="G150" s="3032">
        <f t="shared" si="7"/>
        <v>218.76999999999998</v>
      </c>
      <c r="H150" s="3032"/>
      <c r="I150" s="3032"/>
      <c r="J150" s="3032">
        <f>J146</f>
        <v>108.67</v>
      </c>
      <c r="K150" s="3032">
        <f t="shared" si="2"/>
        <v>110.09999999999998</v>
      </c>
      <c r="L150" s="3032">
        <f t="shared" si="1"/>
        <v>218.76999999999998</v>
      </c>
      <c r="M150" s="3032"/>
    </row>
    <row r="151" spans="1:13">
      <c r="A151" s="3032"/>
      <c r="B151" s="3032"/>
      <c r="C151" s="3034">
        <v>106</v>
      </c>
      <c r="D151" s="3032">
        <v>134.47</v>
      </c>
      <c r="E151" s="3032">
        <v>84.77</v>
      </c>
      <c r="F151" s="3032"/>
      <c r="G151" s="3032">
        <f t="shared" si="7"/>
        <v>219.24</v>
      </c>
      <c r="H151" s="3032"/>
      <c r="I151" s="3032"/>
      <c r="J151" s="3032">
        <f>J121</f>
        <v>108.66</v>
      </c>
      <c r="K151" s="3032">
        <f t="shared" si="2"/>
        <v>110.58000000000001</v>
      </c>
      <c r="L151" s="3032">
        <f t="shared" si="1"/>
        <v>219.24</v>
      </c>
      <c r="M151" s="3032"/>
    </row>
    <row r="152" spans="1:13">
      <c r="A152" s="3032" t="s">
        <v>3118</v>
      </c>
      <c r="B152" s="3032">
        <v>4</v>
      </c>
      <c r="C152" s="3034">
        <v>-201</v>
      </c>
      <c r="D152" s="3032"/>
      <c r="E152" s="3032">
        <v>83.88</v>
      </c>
      <c r="F152" s="3032"/>
      <c r="G152" s="3032">
        <f t="shared" si="7"/>
        <v>83.88</v>
      </c>
      <c r="H152" s="3032">
        <f>SUM(G152:G159)</f>
        <v>1215.04</v>
      </c>
      <c r="I152" s="3032"/>
      <c r="J152" s="3032"/>
      <c r="K152" s="3032">
        <f t="shared" si="2"/>
        <v>83.88</v>
      </c>
      <c r="L152" s="3032">
        <f t="shared" si="1"/>
        <v>83.88</v>
      </c>
      <c r="M152" s="3032"/>
    </row>
    <row r="153" spans="1:13">
      <c r="A153" s="3032"/>
      <c r="B153" s="3032"/>
      <c r="C153" s="3034">
        <v>-202</v>
      </c>
      <c r="D153" s="3032"/>
      <c r="E153" s="3032">
        <v>84.6</v>
      </c>
      <c r="F153" s="3032"/>
      <c r="G153" s="3032">
        <f t="shared" si="7"/>
        <v>84.6</v>
      </c>
      <c r="H153" s="3032"/>
      <c r="I153" s="3032"/>
      <c r="J153" s="3032"/>
      <c r="K153" s="3032">
        <f t="shared" si="2"/>
        <v>84.6</v>
      </c>
      <c r="L153" s="3032">
        <f t="shared" si="1"/>
        <v>84.6</v>
      </c>
      <c r="M153" s="3032"/>
    </row>
    <row r="154" spans="1:13">
      <c r="A154" s="3032"/>
      <c r="B154" s="3032"/>
      <c r="C154" s="3034">
        <v>-203</v>
      </c>
      <c r="D154" s="3032"/>
      <c r="E154" s="3032">
        <v>83.88</v>
      </c>
      <c r="F154" s="3032"/>
      <c r="G154" s="3032">
        <f t="shared" si="7"/>
        <v>83.88</v>
      </c>
      <c r="H154" s="3032"/>
      <c r="I154" s="3032"/>
      <c r="J154" s="3032"/>
      <c r="K154" s="3032">
        <f t="shared" si="2"/>
        <v>83.88</v>
      </c>
      <c r="L154" s="3032">
        <f t="shared" si="1"/>
        <v>83.88</v>
      </c>
      <c r="M154" s="3032"/>
    </row>
    <row r="155" spans="1:13">
      <c r="A155" s="3032"/>
      <c r="B155" s="3032"/>
      <c r="C155" s="3034">
        <v>-204</v>
      </c>
      <c r="D155" s="3032"/>
      <c r="E155" s="3032">
        <v>84.6</v>
      </c>
      <c r="F155" s="3032"/>
      <c r="G155" s="3032">
        <f t="shared" si="7"/>
        <v>84.6</v>
      </c>
      <c r="H155" s="3032"/>
      <c r="I155" s="3032"/>
      <c r="J155" s="3032"/>
      <c r="K155" s="3032">
        <f t="shared" si="2"/>
        <v>84.6</v>
      </c>
      <c r="L155" s="3032">
        <f t="shared" si="1"/>
        <v>84.6</v>
      </c>
      <c r="M155" s="3032"/>
    </row>
    <row r="156" spans="1:13">
      <c r="A156" s="3032"/>
      <c r="B156" s="3032"/>
      <c r="C156" s="3034">
        <v>101</v>
      </c>
      <c r="D156" s="3032">
        <v>134.63999999999999</v>
      </c>
      <c r="E156" s="3032">
        <v>84.58</v>
      </c>
      <c r="F156" s="3032"/>
      <c r="G156" s="3032">
        <f t="shared" si="7"/>
        <v>219.21999999999997</v>
      </c>
      <c r="H156" s="3032"/>
      <c r="I156" s="3032"/>
      <c r="J156" s="3032">
        <f>J126</f>
        <v>108.89</v>
      </c>
      <c r="K156" s="3032">
        <f t="shared" si="2"/>
        <v>110.32999999999997</v>
      </c>
      <c r="L156" s="3032">
        <f t="shared" si="1"/>
        <v>219.21999999999997</v>
      </c>
      <c r="M156" s="3032">
        <f>J156+J157+J158+J159</f>
        <v>435.56</v>
      </c>
    </row>
    <row r="157" spans="1:13">
      <c r="A157" s="3032"/>
      <c r="B157" s="3032"/>
      <c r="C157" s="3034">
        <v>102</v>
      </c>
      <c r="D157" s="3032">
        <v>134.83000000000001</v>
      </c>
      <c r="E157" s="3032">
        <v>84.99</v>
      </c>
      <c r="F157" s="3032"/>
      <c r="G157" s="3032">
        <f t="shared" si="7"/>
        <v>219.82</v>
      </c>
      <c r="H157" s="3032"/>
      <c r="I157" s="3032"/>
      <c r="J157" s="3032">
        <f>J156</f>
        <v>108.89</v>
      </c>
      <c r="K157" s="3032">
        <f t="shared" si="2"/>
        <v>110.92999999999999</v>
      </c>
      <c r="L157" s="3032">
        <f t="shared" si="1"/>
        <v>219.82</v>
      </c>
      <c r="M157" s="3032"/>
    </row>
    <row r="158" spans="1:13">
      <c r="A158" s="3032"/>
      <c r="B158" s="3032"/>
      <c r="C158" s="3034">
        <v>103</v>
      </c>
      <c r="D158" s="3032">
        <v>134.63999999999999</v>
      </c>
      <c r="E158" s="3032">
        <v>84.58</v>
      </c>
      <c r="F158" s="3032"/>
      <c r="G158" s="3032">
        <f t="shared" si="7"/>
        <v>219.21999999999997</v>
      </c>
      <c r="H158" s="3032"/>
      <c r="I158" s="3032"/>
      <c r="J158" s="3032">
        <f>J156</f>
        <v>108.89</v>
      </c>
      <c r="K158" s="3032">
        <f t="shared" si="2"/>
        <v>110.32999999999997</v>
      </c>
      <c r="L158" s="3032">
        <f t="shared" si="1"/>
        <v>219.21999999999997</v>
      </c>
      <c r="M158" s="3032"/>
    </row>
    <row r="159" spans="1:13">
      <c r="A159" s="3032"/>
      <c r="B159" s="3032"/>
      <c r="C159" s="3034">
        <v>104</v>
      </c>
      <c r="D159" s="3032">
        <v>134.83000000000001</v>
      </c>
      <c r="E159" s="3032">
        <v>84.99</v>
      </c>
      <c r="F159" s="3032"/>
      <c r="G159" s="3032">
        <f t="shared" si="7"/>
        <v>219.82</v>
      </c>
      <c r="H159" s="3032"/>
      <c r="I159" s="3032"/>
      <c r="J159" s="3032">
        <f>J156</f>
        <v>108.89</v>
      </c>
      <c r="K159" s="3032">
        <f t="shared" si="2"/>
        <v>110.92999999999999</v>
      </c>
      <c r="L159" s="3032">
        <f t="shared" si="1"/>
        <v>219.82</v>
      </c>
      <c r="M159" s="3032"/>
    </row>
    <row r="160" spans="1:13">
      <c r="A160" s="3032" t="s">
        <v>3119</v>
      </c>
      <c r="B160" s="3032">
        <v>6</v>
      </c>
      <c r="C160" s="3034">
        <v>-201</v>
      </c>
      <c r="D160" s="3032"/>
      <c r="E160" s="3032">
        <v>83.63</v>
      </c>
      <c r="F160" s="3032"/>
      <c r="G160" s="3032">
        <f t="shared" si="7"/>
        <v>83.63</v>
      </c>
      <c r="H160" s="3032">
        <f>SUM(G160:G171)</f>
        <v>1817.96</v>
      </c>
      <c r="I160" s="3032"/>
      <c r="J160" s="3032"/>
      <c r="K160" s="3032">
        <f t="shared" si="2"/>
        <v>83.63</v>
      </c>
      <c r="L160" s="3032">
        <f t="shared" si="1"/>
        <v>83.63</v>
      </c>
      <c r="M160" s="3032"/>
    </row>
    <row r="161" spans="1:13">
      <c r="A161" s="3032"/>
      <c r="B161" s="3032"/>
      <c r="C161" s="3034">
        <v>-202</v>
      </c>
      <c r="D161" s="3032"/>
      <c r="E161" s="3032">
        <v>84.36</v>
      </c>
      <c r="F161" s="3032"/>
      <c r="G161" s="3032">
        <f t="shared" si="7"/>
        <v>84.36</v>
      </c>
      <c r="H161" s="3032"/>
      <c r="I161" s="3032"/>
      <c r="J161" s="3032"/>
      <c r="K161" s="3032">
        <f t="shared" si="2"/>
        <v>84.36</v>
      </c>
      <c r="L161" s="3032">
        <f t="shared" si="1"/>
        <v>84.36</v>
      </c>
      <c r="M161" s="3032"/>
    </row>
    <row r="162" spans="1:13">
      <c r="A162" s="3032"/>
      <c r="B162" s="3032"/>
      <c r="C162" s="3034">
        <v>-203</v>
      </c>
      <c r="D162" s="3032"/>
      <c r="E162" s="3032">
        <v>84.36</v>
      </c>
      <c r="F162" s="3032"/>
      <c r="G162" s="3032">
        <f t="shared" si="7"/>
        <v>84.36</v>
      </c>
      <c r="H162" s="3032"/>
      <c r="I162" s="3032"/>
      <c r="J162" s="3032"/>
      <c r="K162" s="3032">
        <f t="shared" si="2"/>
        <v>84.36</v>
      </c>
      <c r="L162" s="3032">
        <f t="shared" si="1"/>
        <v>84.36</v>
      </c>
      <c r="M162" s="3032"/>
    </row>
    <row r="163" spans="1:13">
      <c r="A163" s="3032"/>
      <c r="B163" s="3032"/>
      <c r="C163" s="3034">
        <v>-204</v>
      </c>
      <c r="D163" s="3032"/>
      <c r="E163" s="3032">
        <v>83.63</v>
      </c>
      <c r="F163" s="3032"/>
      <c r="G163" s="3032">
        <f t="shared" si="7"/>
        <v>83.63</v>
      </c>
      <c r="H163" s="3032"/>
      <c r="I163" s="3032"/>
      <c r="J163" s="3032"/>
      <c r="K163" s="3032">
        <f t="shared" si="2"/>
        <v>83.63</v>
      </c>
      <c r="L163" s="3032">
        <f>J163+K163</f>
        <v>83.63</v>
      </c>
      <c r="M163" s="3032"/>
    </row>
    <row r="164" spans="1:13">
      <c r="A164" s="3032"/>
      <c r="B164" s="3032"/>
      <c r="C164" s="3034">
        <v>-205</v>
      </c>
      <c r="D164" s="3032"/>
      <c r="E164" s="3032">
        <v>84.36</v>
      </c>
      <c r="F164" s="3032"/>
      <c r="G164" s="3032">
        <f t="shared" si="7"/>
        <v>84.36</v>
      </c>
      <c r="H164" s="3032"/>
      <c r="I164" s="3032"/>
      <c r="J164" s="3032"/>
      <c r="K164" s="3032">
        <f t="shared" si="2"/>
        <v>84.36</v>
      </c>
      <c r="L164" s="3032">
        <f t="shared" ref="L164:L171" si="8">J164+K164</f>
        <v>84.36</v>
      </c>
      <c r="M164" s="3032"/>
    </row>
    <row r="165" spans="1:13">
      <c r="A165" s="3032"/>
      <c r="B165" s="3032"/>
      <c r="C165" s="3034">
        <v>-206</v>
      </c>
      <c r="D165" s="3032"/>
      <c r="E165" s="3032">
        <v>84.36</v>
      </c>
      <c r="F165" s="3032"/>
      <c r="G165" s="3032">
        <f t="shared" si="7"/>
        <v>84.36</v>
      </c>
      <c r="H165" s="3032"/>
      <c r="I165" s="3032"/>
      <c r="J165" s="3032"/>
      <c r="K165" s="3032">
        <f t="shared" si="2"/>
        <v>84.36</v>
      </c>
      <c r="L165" s="3032">
        <f t="shared" si="8"/>
        <v>84.36</v>
      </c>
      <c r="M165" s="3032"/>
    </row>
    <row r="166" spans="1:13">
      <c r="A166" s="3032"/>
      <c r="B166" s="3032"/>
      <c r="C166" s="3034">
        <v>101</v>
      </c>
      <c r="D166" s="3032">
        <v>134.27000000000001</v>
      </c>
      <c r="E166" s="3032">
        <v>84.36</v>
      </c>
      <c r="F166" s="3032"/>
      <c r="G166" s="3032">
        <f t="shared" ref="G166:G197" si="9">SUM(D166:F166)</f>
        <v>218.63</v>
      </c>
      <c r="H166" s="3032"/>
      <c r="I166" s="3032"/>
      <c r="J166" s="3032">
        <f>J146</f>
        <v>108.67</v>
      </c>
      <c r="K166" s="3032">
        <f t="shared" si="2"/>
        <v>109.96</v>
      </c>
      <c r="L166" s="3032">
        <f t="shared" si="8"/>
        <v>218.63</v>
      </c>
      <c r="M166" s="3032">
        <f>J166+J167+J168+J169+J170+J171</f>
        <v>652.01</v>
      </c>
    </row>
    <row r="167" spans="1:13">
      <c r="A167" s="3032"/>
      <c r="B167" s="3032"/>
      <c r="C167" s="3034">
        <v>102</v>
      </c>
      <c r="D167" s="3032">
        <v>134.27000000000001</v>
      </c>
      <c r="E167" s="3032">
        <v>84.5</v>
      </c>
      <c r="F167" s="3032"/>
      <c r="G167" s="3032">
        <f t="shared" si="9"/>
        <v>218.77</v>
      </c>
      <c r="H167" s="3032"/>
      <c r="I167" s="3032"/>
      <c r="J167" s="3032">
        <f>J166</f>
        <v>108.67</v>
      </c>
      <c r="K167" s="3032">
        <f t="shared" si="2"/>
        <v>110.10000000000001</v>
      </c>
      <c r="L167" s="3032">
        <f t="shared" si="8"/>
        <v>218.77</v>
      </c>
      <c r="M167" s="3032"/>
    </row>
    <row r="168" spans="1:13">
      <c r="A168" s="3032"/>
      <c r="B168" s="3032"/>
      <c r="C168" s="3034">
        <v>103</v>
      </c>
      <c r="D168" s="3032">
        <v>134.46</v>
      </c>
      <c r="E168" s="3032">
        <v>84.77</v>
      </c>
      <c r="F168" s="3032"/>
      <c r="G168" s="3032">
        <f t="shared" si="9"/>
        <v>219.23000000000002</v>
      </c>
      <c r="H168" s="3032"/>
      <c r="I168" s="3032"/>
      <c r="J168" s="3032">
        <f>J166</f>
        <v>108.67</v>
      </c>
      <c r="K168" s="3032">
        <f t="shared" si="2"/>
        <v>110.56000000000002</v>
      </c>
      <c r="L168" s="3032">
        <f t="shared" si="8"/>
        <v>219.23000000000002</v>
      </c>
      <c r="M168" s="3032"/>
    </row>
    <row r="169" spans="1:13">
      <c r="A169" s="3032"/>
      <c r="B169" s="3032"/>
      <c r="C169" s="3034">
        <v>104</v>
      </c>
      <c r="D169" s="3032">
        <v>134.27000000000001</v>
      </c>
      <c r="E169" s="3032">
        <v>84.36</v>
      </c>
      <c r="F169" s="3032"/>
      <c r="G169" s="3032">
        <f t="shared" si="9"/>
        <v>218.63</v>
      </c>
      <c r="H169" s="3032"/>
      <c r="I169" s="3032"/>
      <c r="J169" s="3032">
        <f>J166</f>
        <v>108.67</v>
      </c>
      <c r="K169" s="3032">
        <f t="shared" si="2"/>
        <v>109.96</v>
      </c>
      <c r="L169" s="3032">
        <f t="shared" si="8"/>
        <v>218.63</v>
      </c>
      <c r="M169" s="3032"/>
    </row>
    <row r="170" spans="1:13">
      <c r="A170" s="3032"/>
      <c r="B170" s="3032"/>
      <c r="C170" s="3034">
        <v>105</v>
      </c>
      <c r="D170" s="3032">
        <v>134.27000000000001</v>
      </c>
      <c r="E170" s="3032">
        <v>84.5</v>
      </c>
      <c r="F170" s="3032"/>
      <c r="G170" s="3032">
        <f t="shared" si="9"/>
        <v>218.77</v>
      </c>
      <c r="H170" s="3032"/>
      <c r="I170" s="3032"/>
      <c r="J170" s="3032">
        <f>J166</f>
        <v>108.67</v>
      </c>
      <c r="K170" s="3032">
        <f t="shared" si="2"/>
        <v>110.10000000000001</v>
      </c>
      <c r="L170" s="3032">
        <f t="shared" si="8"/>
        <v>218.77</v>
      </c>
      <c r="M170" s="3032"/>
    </row>
    <row r="171" spans="1:13">
      <c r="A171" s="3032"/>
      <c r="B171" s="3032"/>
      <c r="C171" s="3034">
        <v>106</v>
      </c>
      <c r="D171" s="3032">
        <v>134.46</v>
      </c>
      <c r="E171" s="3032">
        <v>84.77</v>
      </c>
      <c r="F171" s="3032"/>
      <c r="G171" s="3032">
        <f t="shared" si="9"/>
        <v>219.23000000000002</v>
      </c>
      <c r="H171" s="3032"/>
      <c r="I171" s="3032"/>
      <c r="J171" s="3032">
        <f>J151</f>
        <v>108.66</v>
      </c>
      <c r="K171" s="3032">
        <f t="shared" si="2"/>
        <v>110.57000000000002</v>
      </c>
      <c r="L171" s="3032">
        <f t="shared" si="8"/>
        <v>219.23000000000002</v>
      </c>
      <c r="M171" s="3032"/>
    </row>
    <row r="172" spans="1:13">
      <c r="A172" s="3032" t="s">
        <v>3120</v>
      </c>
      <c r="B172" s="3032">
        <v>4</v>
      </c>
      <c r="C172" s="3034">
        <v>-201</v>
      </c>
      <c r="D172" s="3032"/>
      <c r="E172" s="3032">
        <v>83.59</v>
      </c>
      <c r="F172" s="3032"/>
      <c r="G172" s="3032">
        <f t="shared" si="9"/>
        <v>83.59</v>
      </c>
      <c r="H172" s="3032">
        <f>SUM(G172:G179)</f>
        <v>1213.4000000000001</v>
      </c>
      <c r="I172" s="3032"/>
      <c r="J172" s="3032"/>
      <c r="K172" s="3032">
        <f>G172-J172</f>
        <v>83.59</v>
      </c>
      <c r="L172" s="3032">
        <f t="shared" si="1"/>
        <v>83.59</v>
      </c>
      <c r="M172" s="3032"/>
    </row>
    <row r="173" spans="1:13">
      <c r="A173" s="3032"/>
      <c r="B173" s="3032"/>
      <c r="C173" s="3034">
        <v>-202</v>
      </c>
      <c r="D173" s="3032"/>
      <c r="E173" s="3032">
        <v>84.31</v>
      </c>
      <c r="F173" s="3032"/>
      <c r="G173" s="3032">
        <f t="shared" si="9"/>
        <v>84.31</v>
      </c>
      <c r="H173" s="3032"/>
      <c r="I173" s="3032"/>
      <c r="J173" s="3032"/>
      <c r="K173" s="3032">
        <f t="shared" ref="K173:K179" si="10">G173-J173</f>
        <v>84.31</v>
      </c>
      <c r="L173" s="3032">
        <f t="shared" si="1"/>
        <v>84.31</v>
      </c>
      <c r="M173" s="3032"/>
    </row>
    <row r="174" spans="1:13">
      <c r="A174" s="3032"/>
      <c r="B174" s="3032"/>
      <c r="C174" s="3034">
        <v>-203</v>
      </c>
      <c r="D174" s="3032"/>
      <c r="E174" s="3032">
        <v>83.59</v>
      </c>
      <c r="F174" s="3032"/>
      <c r="G174" s="3032">
        <f t="shared" si="9"/>
        <v>83.59</v>
      </c>
      <c r="H174" s="3032"/>
      <c r="I174" s="3032"/>
      <c r="J174" s="3032"/>
      <c r="K174" s="3032">
        <f t="shared" si="10"/>
        <v>83.59</v>
      </c>
      <c r="L174" s="3032">
        <f t="shared" si="1"/>
        <v>83.59</v>
      </c>
      <c r="M174" s="3032"/>
    </row>
    <row r="175" spans="1:13">
      <c r="A175" s="3032"/>
      <c r="B175" s="3032"/>
      <c r="C175" s="3034">
        <v>-204</v>
      </c>
      <c r="D175" s="3032"/>
      <c r="E175" s="3032">
        <v>84.31</v>
      </c>
      <c r="F175" s="3032"/>
      <c r="G175" s="3032">
        <f t="shared" si="9"/>
        <v>84.31</v>
      </c>
      <c r="H175" s="3032"/>
      <c r="I175" s="3032"/>
      <c r="J175" s="3032"/>
      <c r="K175" s="3032">
        <f t="shared" si="10"/>
        <v>84.31</v>
      </c>
      <c r="L175" s="3032">
        <f t="shared" si="1"/>
        <v>84.31</v>
      </c>
      <c r="M175" s="3032"/>
    </row>
    <row r="176" spans="1:13">
      <c r="A176" s="3032"/>
      <c r="B176" s="3032"/>
      <c r="C176" s="3034">
        <v>101</v>
      </c>
      <c r="D176" s="3032">
        <v>134.56</v>
      </c>
      <c r="E176" s="3032">
        <v>84.54</v>
      </c>
      <c r="F176" s="3032"/>
      <c r="G176" s="3032">
        <f t="shared" si="9"/>
        <v>219.10000000000002</v>
      </c>
      <c r="H176" s="3032"/>
      <c r="I176" s="3032"/>
      <c r="J176" s="3032">
        <f>J156</f>
        <v>108.89</v>
      </c>
      <c r="K176" s="3032">
        <f t="shared" si="10"/>
        <v>110.21000000000002</v>
      </c>
      <c r="L176" s="3032">
        <f t="shared" si="1"/>
        <v>219.10000000000002</v>
      </c>
      <c r="M176" s="3032">
        <f>J176+J177+J178+J179</f>
        <v>435.56</v>
      </c>
    </row>
    <row r="177" spans="1:13">
      <c r="A177" s="3032"/>
      <c r="B177" s="3032"/>
      <c r="C177" s="3034">
        <v>102</v>
      </c>
      <c r="D177" s="3032">
        <v>134.75</v>
      </c>
      <c r="E177" s="3032">
        <v>84.95</v>
      </c>
      <c r="F177" s="3032"/>
      <c r="G177" s="3032">
        <f t="shared" si="9"/>
        <v>219.7</v>
      </c>
      <c r="H177" s="3032"/>
      <c r="I177" s="3032"/>
      <c r="J177" s="3032">
        <f>J176</f>
        <v>108.89</v>
      </c>
      <c r="K177" s="3032">
        <f t="shared" si="10"/>
        <v>110.80999999999999</v>
      </c>
      <c r="L177" s="3032">
        <f t="shared" si="1"/>
        <v>219.7</v>
      </c>
      <c r="M177" s="3032"/>
    </row>
    <row r="178" spans="1:13">
      <c r="A178" s="3032"/>
      <c r="B178" s="3032"/>
      <c r="C178" s="3034">
        <v>103</v>
      </c>
      <c r="D178" s="3032">
        <v>134.56</v>
      </c>
      <c r="E178" s="3032">
        <v>84.54</v>
      </c>
      <c r="F178" s="3032"/>
      <c r="G178" s="3032">
        <f t="shared" si="9"/>
        <v>219.10000000000002</v>
      </c>
      <c r="H178" s="3032"/>
      <c r="I178" s="3032"/>
      <c r="J178" s="3032">
        <f>J177</f>
        <v>108.89</v>
      </c>
      <c r="K178" s="3032">
        <f t="shared" si="10"/>
        <v>110.21000000000002</v>
      </c>
      <c r="L178" s="3032">
        <f t="shared" si="1"/>
        <v>219.10000000000002</v>
      </c>
      <c r="M178" s="3032"/>
    </row>
    <row r="179" spans="1:13">
      <c r="A179" s="3032"/>
      <c r="B179" s="3032"/>
      <c r="C179" s="3034">
        <v>104</v>
      </c>
      <c r="D179" s="3032">
        <v>134.75</v>
      </c>
      <c r="E179" s="3032">
        <v>84.95</v>
      </c>
      <c r="F179" s="3032"/>
      <c r="G179" s="3032">
        <f t="shared" si="9"/>
        <v>219.7</v>
      </c>
      <c r="H179" s="3032"/>
      <c r="I179" s="3032"/>
      <c r="J179" s="3032">
        <f>J176</f>
        <v>108.89</v>
      </c>
      <c r="K179" s="3032">
        <f t="shared" si="10"/>
        <v>110.80999999999999</v>
      </c>
      <c r="L179" s="3032">
        <f t="shared" si="1"/>
        <v>219.7</v>
      </c>
      <c r="M179" s="3032"/>
    </row>
    <row r="180" spans="1:13">
      <c r="A180" s="3032" t="s">
        <v>3121</v>
      </c>
      <c r="B180" s="3032">
        <v>4</v>
      </c>
      <c r="C180" s="3034">
        <v>-201</v>
      </c>
      <c r="D180" s="3032"/>
      <c r="E180" s="3032">
        <v>83.6</v>
      </c>
      <c r="F180" s="3032"/>
      <c r="G180" s="3032">
        <f t="shared" si="9"/>
        <v>83.6</v>
      </c>
      <c r="H180" s="3032">
        <f>SUM(G180:G187)</f>
        <v>1213.9399999999998</v>
      </c>
      <c r="I180" s="3032"/>
      <c r="J180" s="3032"/>
      <c r="K180" s="3032">
        <f t="shared" si="2"/>
        <v>83.6</v>
      </c>
      <c r="L180" s="3032">
        <f t="shared" si="1"/>
        <v>83.6</v>
      </c>
      <c r="M180" s="3032"/>
    </row>
    <row r="181" spans="1:13">
      <c r="A181" s="3032"/>
      <c r="B181" s="3032"/>
      <c r="C181" s="3034">
        <v>-202</v>
      </c>
      <c r="D181" s="3032"/>
      <c r="E181" s="3032">
        <v>84.32</v>
      </c>
      <c r="F181" s="3032"/>
      <c r="G181" s="3032">
        <f t="shared" si="9"/>
        <v>84.32</v>
      </c>
      <c r="H181" s="3032"/>
      <c r="I181" s="3032"/>
      <c r="J181" s="3032"/>
      <c r="K181" s="3032">
        <f t="shared" si="2"/>
        <v>84.32</v>
      </c>
      <c r="L181" s="3032">
        <f t="shared" si="1"/>
        <v>84.32</v>
      </c>
      <c r="M181" s="3032"/>
    </row>
    <row r="182" spans="1:13">
      <c r="A182" s="3032"/>
      <c r="B182" s="3032"/>
      <c r="C182" s="3034">
        <v>-203</v>
      </c>
      <c r="D182" s="3032"/>
      <c r="E182" s="3032">
        <v>83.6</v>
      </c>
      <c r="F182" s="3032"/>
      <c r="G182" s="3032">
        <f t="shared" si="9"/>
        <v>83.6</v>
      </c>
      <c r="H182" s="3032"/>
      <c r="I182" s="3032"/>
      <c r="J182" s="3032"/>
      <c r="K182" s="3032">
        <f t="shared" si="2"/>
        <v>83.6</v>
      </c>
      <c r="L182" s="3032">
        <f t="shared" si="1"/>
        <v>83.6</v>
      </c>
      <c r="M182" s="3032"/>
    </row>
    <row r="183" spans="1:13">
      <c r="A183" s="3032"/>
      <c r="B183" s="3032"/>
      <c r="C183" s="3034">
        <v>-204</v>
      </c>
      <c r="D183" s="3032"/>
      <c r="E183" s="3032">
        <v>84.32</v>
      </c>
      <c r="F183" s="3032"/>
      <c r="G183" s="3032">
        <f t="shared" si="9"/>
        <v>84.32</v>
      </c>
      <c r="H183" s="3032"/>
      <c r="I183" s="3032"/>
      <c r="J183" s="3032"/>
      <c r="K183" s="3032">
        <f t="shared" si="2"/>
        <v>84.32</v>
      </c>
      <c r="L183" s="3032">
        <f t="shared" si="1"/>
        <v>84.32</v>
      </c>
      <c r="M183" s="3032"/>
    </row>
    <row r="184" spans="1:13">
      <c r="A184" s="3032"/>
      <c r="B184" s="3032"/>
      <c r="C184" s="3034">
        <v>101</v>
      </c>
      <c r="D184" s="3032">
        <v>134.63999999999999</v>
      </c>
      <c r="E184" s="3032">
        <v>84.58</v>
      </c>
      <c r="F184" s="3032"/>
      <c r="G184" s="3032">
        <f t="shared" si="9"/>
        <v>219.21999999999997</v>
      </c>
      <c r="H184" s="3032"/>
      <c r="I184" s="3032"/>
      <c r="J184" s="3032">
        <f>J176</f>
        <v>108.89</v>
      </c>
      <c r="K184" s="3032">
        <f t="shared" si="2"/>
        <v>110.32999999999997</v>
      </c>
      <c r="L184" s="3032">
        <f t="shared" si="1"/>
        <v>219.21999999999997</v>
      </c>
      <c r="M184" s="3032">
        <f>J184+J185+J186+J187</f>
        <v>435.56</v>
      </c>
    </row>
    <row r="185" spans="1:13">
      <c r="A185" s="3032"/>
      <c r="B185" s="3032"/>
      <c r="C185" s="3034">
        <v>102</v>
      </c>
      <c r="D185" s="3032">
        <v>134.83000000000001</v>
      </c>
      <c r="E185" s="3032">
        <v>85</v>
      </c>
      <c r="F185" s="3032"/>
      <c r="G185" s="3032">
        <f t="shared" si="9"/>
        <v>219.83</v>
      </c>
      <c r="H185" s="3032"/>
      <c r="I185" s="3032"/>
      <c r="J185" s="3032">
        <f>J184</f>
        <v>108.89</v>
      </c>
      <c r="K185" s="3032">
        <f t="shared" si="2"/>
        <v>110.94000000000001</v>
      </c>
      <c r="L185" s="3032">
        <f t="shared" si="1"/>
        <v>219.83</v>
      </c>
      <c r="M185" s="3032"/>
    </row>
    <row r="186" spans="1:13">
      <c r="A186" s="3032"/>
      <c r="B186" s="3032"/>
      <c r="C186" s="3034">
        <v>103</v>
      </c>
      <c r="D186" s="3032">
        <v>134.63999999999999</v>
      </c>
      <c r="E186" s="3032">
        <v>84.58</v>
      </c>
      <c r="F186" s="3032"/>
      <c r="G186" s="3032">
        <f t="shared" si="9"/>
        <v>219.21999999999997</v>
      </c>
      <c r="H186" s="3032"/>
      <c r="I186" s="3032"/>
      <c r="J186" s="3032">
        <f>J184</f>
        <v>108.89</v>
      </c>
      <c r="K186" s="3032">
        <f t="shared" si="2"/>
        <v>110.32999999999997</v>
      </c>
      <c r="L186" s="3032">
        <f t="shared" si="1"/>
        <v>219.21999999999997</v>
      </c>
      <c r="M186" s="3032"/>
    </row>
    <row r="187" spans="1:13">
      <c r="A187" s="3032"/>
      <c r="B187" s="3032"/>
      <c r="C187" s="3034">
        <v>104</v>
      </c>
      <c r="D187" s="3032">
        <v>134.83000000000001</v>
      </c>
      <c r="E187" s="3032">
        <v>85</v>
      </c>
      <c r="F187" s="3032"/>
      <c r="G187" s="3032">
        <f t="shared" si="9"/>
        <v>219.83</v>
      </c>
      <c r="H187" s="3032"/>
      <c r="I187" s="3032"/>
      <c r="J187" s="3032">
        <f>J184</f>
        <v>108.89</v>
      </c>
      <c r="K187" s="3032">
        <f t="shared" si="2"/>
        <v>110.94000000000001</v>
      </c>
      <c r="L187" s="3032">
        <f t="shared" si="1"/>
        <v>219.83</v>
      </c>
      <c r="M187" s="3032"/>
    </row>
    <row r="188" spans="1:13">
      <c r="A188" s="3032" t="s">
        <v>3122</v>
      </c>
      <c r="B188" s="3032">
        <v>6</v>
      </c>
      <c r="C188" s="3034">
        <v>-201</v>
      </c>
      <c r="D188" s="3032"/>
      <c r="E188" s="3032">
        <v>83.63</v>
      </c>
      <c r="F188" s="3032"/>
      <c r="G188" s="3032">
        <f t="shared" si="9"/>
        <v>83.63</v>
      </c>
      <c r="H188" s="3032">
        <f>SUM(G188:G199)</f>
        <v>1817.9800000000002</v>
      </c>
      <c r="I188" s="3032"/>
      <c r="J188" s="3032"/>
      <c r="K188" s="3032">
        <f t="shared" si="2"/>
        <v>83.63</v>
      </c>
      <c r="L188" s="3032">
        <f t="shared" si="1"/>
        <v>83.63</v>
      </c>
      <c r="M188" s="3032"/>
    </row>
    <row r="189" spans="1:13">
      <c r="A189" s="3032"/>
      <c r="B189" s="3032"/>
      <c r="C189" s="3034">
        <v>-202</v>
      </c>
      <c r="D189" s="3032"/>
      <c r="E189" s="3032">
        <v>84.36</v>
      </c>
      <c r="F189" s="3032"/>
      <c r="G189" s="3032">
        <f t="shared" si="9"/>
        <v>84.36</v>
      </c>
      <c r="H189" s="3032"/>
      <c r="I189" s="3032"/>
      <c r="J189" s="3032"/>
      <c r="K189" s="3032">
        <f t="shared" si="2"/>
        <v>84.36</v>
      </c>
      <c r="L189" s="3032">
        <f t="shared" si="1"/>
        <v>84.36</v>
      </c>
      <c r="M189" s="3032"/>
    </row>
    <row r="190" spans="1:13">
      <c r="A190" s="3032"/>
      <c r="B190" s="3032"/>
      <c r="C190" s="3034">
        <v>-203</v>
      </c>
      <c r="D190" s="3032"/>
      <c r="E190" s="3032">
        <v>84.36</v>
      </c>
      <c r="F190" s="3032"/>
      <c r="G190" s="3032">
        <f t="shared" si="9"/>
        <v>84.36</v>
      </c>
      <c r="H190" s="3032"/>
      <c r="I190" s="3032"/>
      <c r="J190" s="3032"/>
      <c r="K190" s="3032">
        <f t="shared" si="2"/>
        <v>84.36</v>
      </c>
      <c r="L190" s="3032">
        <f t="shared" si="1"/>
        <v>84.36</v>
      </c>
      <c r="M190" s="3032"/>
    </row>
    <row r="191" spans="1:13">
      <c r="A191" s="3032"/>
      <c r="B191" s="3032"/>
      <c r="C191" s="3034">
        <v>-204</v>
      </c>
      <c r="D191" s="3032"/>
      <c r="E191" s="3032">
        <v>83.63</v>
      </c>
      <c r="F191" s="3032"/>
      <c r="G191" s="3032">
        <f t="shared" si="9"/>
        <v>83.63</v>
      </c>
      <c r="H191" s="3032"/>
      <c r="I191" s="3032"/>
      <c r="J191" s="3032"/>
      <c r="K191" s="3032">
        <f t="shared" si="2"/>
        <v>83.63</v>
      </c>
      <c r="L191" s="3032">
        <f t="shared" si="1"/>
        <v>83.63</v>
      </c>
      <c r="M191" s="3032"/>
    </row>
    <row r="192" spans="1:13">
      <c r="A192" s="3032"/>
      <c r="B192" s="3032"/>
      <c r="C192" s="3034">
        <v>-205</v>
      </c>
      <c r="D192" s="3032"/>
      <c r="E192" s="3032">
        <v>84.36</v>
      </c>
      <c r="F192" s="3032"/>
      <c r="G192" s="3032">
        <f t="shared" si="9"/>
        <v>84.36</v>
      </c>
      <c r="H192" s="3032"/>
      <c r="I192" s="3032"/>
      <c r="J192" s="3032"/>
      <c r="K192" s="3032">
        <f t="shared" si="2"/>
        <v>84.36</v>
      </c>
      <c r="L192" s="3032">
        <f t="shared" si="1"/>
        <v>84.36</v>
      </c>
      <c r="M192" s="3032"/>
    </row>
    <row r="193" spans="1:13">
      <c r="A193" s="3032"/>
      <c r="B193" s="3032"/>
      <c r="C193" s="3034">
        <v>-206</v>
      </c>
      <c r="D193" s="3032"/>
      <c r="E193" s="3032">
        <v>84.36</v>
      </c>
      <c r="F193" s="3032"/>
      <c r="G193" s="3032">
        <f t="shared" si="9"/>
        <v>84.36</v>
      </c>
      <c r="H193" s="3032"/>
      <c r="I193" s="3032"/>
      <c r="J193" s="3032"/>
      <c r="K193" s="3032">
        <f t="shared" si="2"/>
        <v>84.36</v>
      </c>
      <c r="L193" s="3032">
        <f t="shared" si="1"/>
        <v>84.36</v>
      </c>
      <c r="M193" s="3032"/>
    </row>
    <row r="194" spans="1:13">
      <c r="A194" s="3032"/>
      <c r="B194" s="3032"/>
      <c r="C194" s="3034">
        <v>101</v>
      </c>
      <c r="D194" s="3032">
        <v>134.27000000000001</v>
      </c>
      <c r="E194" s="3032">
        <v>84.36</v>
      </c>
      <c r="F194" s="3032"/>
      <c r="G194" s="3032">
        <f t="shared" si="9"/>
        <v>218.63</v>
      </c>
      <c r="H194" s="3032"/>
      <c r="I194" s="3032"/>
      <c r="J194" s="3032">
        <f>J166</f>
        <v>108.67</v>
      </c>
      <c r="K194" s="3032">
        <f t="shared" si="2"/>
        <v>109.96</v>
      </c>
      <c r="L194" s="3032">
        <f t="shared" si="1"/>
        <v>218.63</v>
      </c>
      <c r="M194" s="3032">
        <f>J194+J195+J196+J197+J198+J199</f>
        <v>652.01</v>
      </c>
    </row>
    <row r="195" spans="1:13">
      <c r="A195" s="3032"/>
      <c r="B195" s="3032"/>
      <c r="C195" s="3034">
        <v>102</v>
      </c>
      <c r="D195" s="3032">
        <v>134.27000000000001</v>
      </c>
      <c r="E195" s="3032">
        <v>84.5</v>
      </c>
      <c r="F195" s="3032"/>
      <c r="G195" s="3032">
        <f t="shared" si="9"/>
        <v>218.77</v>
      </c>
      <c r="H195" s="3032"/>
      <c r="I195" s="3032"/>
      <c r="J195" s="3032">
        <f>J194</f>
        <v>108.67</v>
      </c>
      <c r="K195" s="3032">
        <f t="shared" si="2"/>
        <v>110.10000000000001</v>
      </c>
      <c r="L195" s="3032">
        <f t="shared" si="1"/>
        <v>218.77</v>
      </c>
      <c r="M195" s="3032"/>
    </row>
    <row r="196" spans="1:13">
      <c r="A196" s="3032"/>
      <c r="B196" s="3032"/>
      <c r="C196" s="3034">
        <v>103</v>
      </c>
      <c r="D196" s="3032">
        <v>134.47</v>
      </c>
      <c r="E196" s="3032">
        <v>84.77</v>
      </c>
      <c r="F196" s="3032"/>
      <c r="G196" s="3032">
        <f t="shared" si="9"/>
        <v>219.24</v>
      </c>
      <c r="H196" s="3032"/>
      <c r="I196" s="3032"/>
      <c r="J196" s="3032">
        <f>J194</f>
        <v>108.67</v>
      </c>
      <c r="K196" s="3032">
        <f t="shared" si="2"/>
        <v>110.57000000000001</v>
      </c>
      <c r="L196" s="3032">
        <f t="shared" si="1"/>
        <v>219.24</v>
      </c>
      <c r="M196" s="3032"/>
    </row>
    <row r="197" spans="1:13">
      <c r="A197" s="3032"/>
      <c r="B197" s="3032"/>
      <c r="C197" s="3034">
        <v>104</v>
      </c>
      <c r="D197" s="3032">
        <v>134.27000000000001</v>
      </c>
      <c r="E197" s="3032">
        <v>84.36</v>
      </c>
      <c r="F197" s="3032"/>
      <c r="G197" s="3032">
        <f t="shared" si="9"/>
        <v>218.63</v>
      </c>
      <c r="H197" s="3032"/>
      <c r="I197" s="3032"/>
      <c r="J197" s="3032">
        <f>J194</f>
        <v>108.67</v>
      </c>
      <c r="K197" s="3032">
        <f t="shared" si="2"/>
        <v>109.96</v>
      </c>
      <c r="L197" s="3032">
        <f t="shared" si="1"/>
        <v>218.63</v>
      </c>
      <c r="M197" s="3032"/>
    </row>
    <row r="198" spans="1:13">
      <c r="A198" s="3032"/>
      <c r="B198" s="3032"/>
      <c r="C198" s="3034">
        <v>105</v>
      </c>
      <c r="D198" s="3032">
        <v>134.27000000000001</v>
      </c>
      <c r="E198" s="3032">
        <v>84.5</v>
      </c>
      <c r="F198" s="3032"/>
      <c r="G198" s="3032">
        <f t="shared" ref="G198:G229" si="11">SUM(D198:F198)</f>
        <v>218.77</v>
      </c>
      <c r="H198" s="3032"/>
      <c r="I198" s="3032"/>
      <c r="J198" s="3032">
        <f>J194</f>
        <v>108.67</v>
      </c>
      <c r="K198" s="3032">
        <f t="shared" si="2"/>
        <v>110.10000000000001</v>
      </c>
      <c r="L198" s="3032">
        <f t="shared" si="1"/>
        <v>218.77</v>
      </c>
      <c r="M198" s="3032"/>
    </row>
    <row r="199" spans="1:13">
      <c r="A199" s="3032"/>
      <c r="B199" s="3032"/>
      <c r="C199" s="3034">
        <v>106</v>
      </c>
      <c r="D199" s="3032">
        <v>134.47</v>
      </c>
      <c r="E199" s="3032">
        <v>84.77</v>
      </c>
      <c r="F199" s="3032"/>
      <c r="G199" s="3032">
        <f t="shared" si="11"/>
        <v>219.24</v>
      </c>
      <c r="H199" s="3032"/>
      <c r="I199" s="3032"/>
      <c r="J199" s="3032">
        <f>J171</f>
        <v>108.66</v>
      </c>
      <c r="K199" s="3032">
        <f t="shared" si="2"/>
        <v>110.58000000000001</v>
      </c>
      <c r="L199" s="3032">
        <f t="shared" si="1"/>
        <v>219.24</v>
      </c>
      <c r="M199" s="3032"/>
    </row>
    <row r="200" spans="1:13">
      <c r="A200" s="3032" t="s">
        <v>3123</v>
      </c>
      <c r="B200" s="3032">
        <v>6</v>
      </c>
      <c r="C200" s="3034">
        <v>-201</v>
      </c>
      <c r="D200" s="3032"/>
      <c r="E200" s="3032">
        <v>83.64</v>
      </c>
      <c r="F200" s="3032"/>
      <c r="G200" s="3032">
        <f t="shared" si="11"/>
        <v>83.64</v>
      </c>
      <c r="H200" s="3032">
        <f>SUM(G200:G211)</f>
        <v>1818.18</v>
      </c>
      <c r="I200" s="3032"/>
      <c r="J200" s="3032"/>
      <c r="K200" s="3032">
        <f t="shared" si="2"/>
        <v>83.64</v>
      </c>
      <c r="L200" s="3032">
        <f t="shared" si="1"/>
        <v>83.64</v>
      </c>
      <c r="M200" s="3032"/>
    </row>
    <row r="201" spans="1:13">
      <c r="A201" s="3032"/>
      <c r="B201" s="3032"/>
      <c r="C201" s="3034">
        <v>-202</v>
      </c>
      <c r="D201" s="3032"/>
      <c r="E201" s="3032">
        <v>84.36</v>
      </c>
      <c r="F201" s="3032"/>
      <c r="G201" s="3032">
        <f t="shared" si="11"/>
        <v>84.36</v>
      </c>
      <c r="H201" s="3032"/>
      <c r="I201" s="3032"/>
      <c r="J201" s="3032"/>
      <c r="K201" s="3032">
        <f t="shared" si="2"/>
        <v>84.36</v>
      </c>
      <c r="L201" s="3032">
        <f t="shared" si="1"/>
        <v>84.36</v>
      </c>
      <c r="M201" s="3032"/>
    </row>
    <row r="202" spans="1:13">
      <c r="A202" s="3032"/>
      <c r="B202" s="3032"/>
      <c r="C202" s="3034">
        <v>-203</v>
      </c>
      <c r="D202" s="3032"/>
      <c r="E202" s="3032">
        <v>84.36</v>
      </c>
      <c r="F202" s="3032"/>
      <c r="G202" s="3032">
        <f t="shared" si="11"/>
        <v>84.36</v>
      </c>
      <c r="H202" s="3032"/>
      <c r="I202" s="3032"/>
      <c r="J202" s="3032"/>
      <c r="K202" s="3032">
        <f t="shared" si="2"/>
        <v>84.36</v>
      </c>
      <c r="L202" s="3032">
        <f t="shared" si="1"/>
        <v>84.36</v>
      </c>
      <c r="M202" s="3032"/>
    </row>
    <row r="203" spans="1:13">
      <c r="A203" s="3032"/>
      <c r="B203" s="3032"/>
      <c r="C203" s="3034">
        <v>-204</v>
      </c>
      <c r="D203" s="3032"/>
      <c r="E203" s="3032">
        <v>83.64</v>
      </c>
      <c r="F203" s="3032"/>
      <c r="G203" s="3032">
        <f t="shared" si="11"/>
        <v>83.64</v>
      </c>
      <c r="H203" s="3032"/>
      <c r="I203" s="3032"/>
      <c r="J203" s="3032"/>
      <c r="K203" s="3032">
        <f t="shared" si="2"/>
        <v>83.64</v>
      </c>
      <c r="L203" s="3032">
        <f t="shared" si="1"/>
        <v>83.64</v>
      </c>
      <c r="M203" s="3032"/>
    </row>
    <row r="204" spans="1:13">
      <c r="A204" s="3032"/>
      <c r="B204" s="3032"/>
      <c r="C204" s="3034">
        <v>-205</v>
      </c>
      <c r="D204" s="3032"/>
      <c r="E204" s="3032">
        <v>84.36</v>
      </c>
      <c r="F204" s="3032"/>
      <c r="G204" s="3032">
        <f t="shared" si="11"/>
        <v>84.36</v>
      </c>
      <c r="H204" s="3032"/>
      <c r="I204" s="3032"/>
      <c r="J204" s="3032"/>
      <c r="K204" s="3032">
        <f t="shared" si="2"/>
        <v>84.36</v>
      </c>
      <c r="L204" s="3032">
        <f t="shared" si="1"/>
        <v>84.36</v>
      </c>
      <c r="M204" s="3032"/>
    </row>
    <row r="205" spans="1:13">
      <c r="A205" s="3032"/>
      <c r="B205" s="3032"/>
      <c r="C205" s="3034">
        <v>-206</v>
      </c>
      <c r="D205" s="3032"/>
      <c r="E205" s="3032">
        <v>84.36</v>
      </c>
      <c r="F205" s="3032"/>
      <c r="G205" s="3032">
        <f t="shared" si="11"/>
        <v>84.36</v>
      </c>
      <c r="H205" s="3032"/>
      <c r="I205" s="3032"/>
      <c r="J205" s="3032"/>
      <c r="K205" s="3032">
        <f t="shared" si="2"/>
        <v>84.36</v>
      </c>
      <c r="L205" s="3032">
        <f t="shared" si="1"/>
        <v>84.36</v>
      </c>
      <c r="M205" s="3032"/>
    </row>
    <row r="206" spans="1:13">
      <c r="A206" s="3032"/>
      <c r="B206" s="3032"/>
      <c r="C206" s="3034">
        <v>101</v>
      </c>
      <c r="D206" s="3032">
        <v>134.29</v>
      </c>
      <c r="E206" s="3032">
        <v>84.37</v>
      </c>
      <c r="F206" s="3032"/>
      <c r="G206" s="3032">
        <f t="shared" si="11"/>
        <v>218.66</v>
      </c>
      <c r="H206" s="3032"/>
      <c r="I206" s="3032"/>
      <c r="J206" s="3032">
        <f>J194</f>
        <v>108.67</v>
      </c>
      <c r="K206" s="3032">
        <f t="shared" si="2"/>
        <v>109.99</v>
      </c>
      <c r="L206" s="3032">
        <f t="shared" si="1"/>
        <v>218.66</v>
      </c>
      <c r="M206" s="3032">
        <f>J206+J207+J208+J209+J210+J211</f>
        <v>652.01</v>
      </c>
    </row>
    <row r="207" spans="1:13">
      <c r="A207" s="3032"/>
      <c r="B207" s="3032"/>
      <c r="C207" s="3034">
        <v>102</v>
      </c>
      <c r="D207" s="3032">
        <v>134.29</v>
      </c>
      <c r="E207" s="3032">
        <v>84.51</v>
      </c>
      <c r="F207" s="3032"/>
      <c r="G207" s="3032">
        <f t="shared" si="11"/>
        <v>218.8</v>
      </c>
      <c r="H207" s="3032"/>
      <c r="I207" s="3032"/>
      <c r="J207" s="3032">
        <f>J206</f>
        <v>108.67</v>
      </c>
      <c r="K207" s="3032">
        <f t="shared" si="2"/>
        <v>110.13000000000001</v>
      </c>
      <c r="L207" s="3032">
        <f t="shared" si="1"/>
        <v>218.8</v>
      </c>
      <c r="M207" s="3032"/>
    </row>
    <row r="208" spans="1:13">
      <c r="A208" s="3032"/>
      <c r="B208" s="3032"/>
      <c r="C208" s="3034">
        <v>103</v>
      </c>
      <c r="D208" s="3032">
        <v>134.49</v>
      </c>
      <c r="E208" s="3032">
        <v>84.78</v>
      </c>
      <c r="F208" s="3032"/>
      <c r="G208" s="3032">
        <f t="shared" si="11"/>
        <v>219.27</v>
      </c>
      <c r="H208" s="3032"/>
      <c r="I208" s="3032"/>
      <c r="J208" s="3032">
        <f>J206</f>
        <v>108.67</v>
      </c>
      <c r="K208" s="3032">
        <f t="shared" si="2"/>
        <v>110.60000000000001</v>
      </c>
      <c r="L208" s="3032">
        <f t="shared" si="1"/>
        <v>219.27</v>
      </c>
      <c r="M208" s="3032"/>
    </row>
    <row r="209" spans="1:13">
      <c r="A209" s="3032"/>
      <c r="B209" s="3032"/>
      <c r="C209" s="3034">
        <v>104</v>
      </c>
      <c r="D209" s="3032">
        <v>134.29</v>
      </c>
      <c r="E209" s="3032">
        <v>84.37</v>
      </c>
      <c r="F209" s="3032"/>
      <c r="G209" s="3032">
        <f t="shared" si="11"/>
        <v>218.66</v>
      </c>
      <c r="H209" s="3032"/>
      <c r="I209" s="3032"/>
      <c r="J209" s="3032">
        <f>J206</f>
        <v>108.67</v>
      </c>
      <c r="K209" s="3032">
        <f t="shared" si="2"/>
        <v>109.99</v>
      </c>
      <c r="L209" s="3032">
        <f t="shared" si="1"/>
        <v>218.66</v>
      </c>
      <c r="M209" s="3032"/>
    </row>
    <row r="210" spans="1:13">
      <c r="A210" s="3032"/>
      <c r="B210" s="3032"/>
      <c r="C210" s="3034">
        <v>105</v>
      </c>
      <c r="D210" s="3032">
        <v>134.29</v>
      </c>
      <c r="E210" s="3032">
        <v>84.51</v>
      </c>
      <c r="F210" s="3032"/>
      <c r="G210" s="3032">
        <f t="shared" si="11"/>
        <v>218.8</v>
      </c>
      <c r="H210" s="3032"/>
      <c r="I210" s="3032"/>
      <c r="J210" s="3032">
        <f>J206</f>
        <v>108.67</v>
      </c>
      <c r="K210" s="3032">
        <f t="shared" si="2"/>
        <v>110.13000000000001</v>
      </c>
      <c r="L210" s="3032">
        <f t="shared" si="1"/>
        <v>218.8</v>
      </c>
      <c r="M210" s="3032"/>
    </row>
    <row r="211" spans="1:13">
      <c r="A211" s="3032"/>
      <c r="B211" s="3032"/>
      <c r="C211" s="3034">
        <v>106</v>
      </c>
      <c r="D211" s="3032">
        <v>134.49</v>
      </c>
      <c r="E211" s="3032">
        <v>84.78</v>
      </c>
      <c r="F211" s="3032"/>
      <c r="G211" s="3032">
        <f t="shared" si="11"/>
        <v>219.27</v>
      </c>
      <c r="H211" s="3032"/>
      <c r="I211" s="3032"/>
      <c r="J211" s="3032">
        <f>J199</f>
        <v>108.66</v>
      </c>
      <c r="K211" s="3032">
        <f t="shared" si="2"/>
        <v>110.61000000000001</v>
      </c>
      <c r="L211" s="3032">
        <f t="shared" si="1"/>
        <v>219.27</v>
      </c>
      <c r="M211" s="3032"/>
    </row>
    <row r="212" spans="1:13">
      <c r="A212" s="3032" t="s">
        <v>3124</v>
      </c>
      <c r="B212" s="3032">
        <v>4</v>
      </c>
      <c r="C212" s="3034">
        <v>-201</v>
      </c>
      <c r="D212" s="3032"/>
      <c r="E212" s="3032">
        <v>83.6</v>
      </c>
      <c r="F212" s="3032"/>
      <c r="G212" s="3032">
        <f t="shared" si="11"/>
        <v>83.6</v>
      </c>
      <c r="H212" s="3032">
        <f>SUM(G212:G219)</f>
        <v>1213.9399999999998</v>
      </c>
      <c r="I212" s="3032"/>
      <c r="J212" s="3032"/>
      <c r="K212" s="3032">
        <f t="shared" si="2"/>
        <v>83.6</v>
      </c>
      <c r="L212" s="3032">
        <f t="shared" si="1"/>
        <v>83.6</v>
      </c>
      <c r="M212" s="3032"/>
    </row>
    <row r="213" spans="1:13">
      <c r="A213" s="3032"/>
      <c r="B213" s="3032"/>
      <c r="C213" s="3034">
        <v>-202</v>
      </c>
      <c r="D213" s="3032"/>
      <c r="E213" s="3032">
        <v>84.32</v>
      </c>
      <c r="F213" s="3032"/>
      <c r="G213" s="3032">
        <f t="shared" si="11"/>
        <v>84.32</v>
      </c>
      <c r="H213" s="3032"/>
      <c r="I213" s="3032"/>
      <c r="J213" s="3032"/>
      <c r="K213" s="3032">
        <f t="shared" si="2"/>
        <v>84.32</v>
      </c>
      <c r="L213" s="3032">
        <f t="shared" si="1"/>
        <v>84.32</v>
      </c>
      <c r="M213" s="3032"/>
    </row>
    <row r="214" spans="1:13">
      <c r="A214" s="3032"/>
      <c r="B214" s="3032"/>
      <c r="C214" s="3034">
        <v>-203</v>
      </c>
      <c r="D214" s="3032"/>
      <c r="E214" s="3032">
        <v>83.6</v>
      </c>
      <c r="F214" s="3032"/>
      <c r="G214" s="3032">
        <f t="shared" si="11"/>
        <v>83.6</v>
      </c>
      <c r="H214" s="3032"/>
      <c r="I214" s="3032"/>
      <c r="J214" s="3032"/>
      <c r="K214" s="3032">
        <f t="shared" si="2"/>
        <v>83.6</v>
      </c>
      <c r="L214" s="3032">
        <f t="shared" si="1"/>
        <v>83.6</v>
      </c>
      <c r="M214" s="3032"/>
    </row>
    <row r="215" spans="1:13">
      <c r="A215" s="3032"/>
      <c r="B215" s="3032"/>
      <c r="C215" s="3034">
        <v>-204</v>
      </c>
      <c r="D215" s="3032"/>
      <c r="E215" s="3032">
        <v>84.32</v>
      </c>
      <c r="F215" s="3032"/>
      <c r="G215" s="3032">
        <f t="shared" si="11"/>
        <v>84.32</v>
      </c>
      <c r="H215" s="3032"/>
      <c r="I215" s="3032"/>
      <c r="J215" s="3032"/>
      <c r="K215" s="3032">
        <f t="shared" si="2"/>
        <v>84.32</v>
      </c>
      <c r="L215" s="3032">
        <f t="shared" si="1"/>
        <v>84.32</v>
      </c>
      <c r="M215" s="3032"/>
    </row>
    <row r="216" spans="1:13">
      <c r="A216" s="3032"/>
      <c r="B216" s="3032"/>
      <c r="C216" s="3034">
        <v>101</v>
      </c>
      <c r="D216" s="3032">
        <v>134.63999999999999</v>
      </c>
      <c r="E216" s="3032">
        <v>84.58</v>
      </c>
      <c r="F216" s="3032"/>
      <c r="G216" s="3032">
        <f t="shared" si="11"/>
        <v>219.21999999999997</v>
      </c>
      <c r="H216" s="3032"/>
      <c r="I216" s="3032"/>
      <c r="J216" s="3032">
        <f>J184</f>
        <v>108.89</v>
      </c>
      <c r="K216" s="3032">
        <f t="shared" si="2"/>
        <v>110.32999999999997</v>
      </c>
      <c r="L216" s="3032">
        <f t="shared" si="1"/>
        <v>219.21999999999997</v>
      </c>
      <c r="M216" s="3032">
        <f>J216+J217+J218+J219</f>
        <v>435.56</v>
      </c>
    </row>
    <row r="217" spans="1:13">
      <c r="A217" s="3032"/>
      <c r="B217" s="3032"/>
      <c r="C217" s="3034">
        <v>102</v>
      </c>
      <c r="D217" s="3032">
        <v>134.83000000000001</v>
      </c>
      <c r="E217" s="3032">
        <v>85</v>
      </c>
      <c r="F217" s="3032"/>
      <c r="G217" s="3032">
        <f t="shared" si="11"/>
        <v>219.83</v>
      </c>
      <c r="H217" s="3032"/>
      <c r="I217" s="3032"/>
      <c r="J217" s="3032">
        <f>J216</f>
        <v>108.89</v>
      </c>
      <c r="K217" s="3032">
        <f t="shared" si="2"/>
        <v>110.94000000000001</v>
      </c>
      <c r="L217" s="3032">
        <f t="shared" si="1"/>
        <v>219.83</v>
      </c>
      <c r="M217" s="3032"/>
    </row>
    <row r="218" spans="1:13">
      <c r="A218" s="3032"/>
      <c r="B218" s="3032"/>
      <c r="C218" s="3034">
        <v>103</v>
      </c>
      <c r="D218" s="3032">
        <v>134.63999999999999</v>
      </c>
      <c r="E218" s="3032">
        <v>84.58</v>
      </c>
      <c r="F218" s="3032"/>
      <c r="G218" s="3032">
        <f t="shared" si="11"/>
        <v>219.21999999999997</v>
      </c>
      <c r="H218" s="3032"/>
      <c r="I218" s="3032"/>
      <c r="J218" s="3032">
        <f>J216</f>
        <v>108.89</v>
      </c>
      <c r="K218" s="3032">
        <f t="shared" si="2"/>
        <v>110.32999999999997</v>
      </c>
      <c r="L218" s="3032">
        <f t="shared" si="1"/>
        <v>219.21999999999997</v>
      </c>
      <c r="M218" s="3032"/>
    </row>
    <row r="219" spans="1:13">
      <c r="A219" s="3032"/>
      <c r="B219" s="3032"/>
      <c r="C219" s="3034">
        <v>104</v>
      </c>
      <c r="D219" s="3032">
        <v>134.83000000000001</v>
      </c>
      <c r="E219" s="3032">
        <v>85</v>
      </c>
      <c r="F219" s="3032"/>
      <c r="G219" s="3032">
        <f t="shared" si="11"/>
        <v>219.83</v>
      </c>
      <c r="H219" s="3032"/>
      <c r="I219" s="3032"/>
      <c r="J219" s="3032">
        <f>J216</f>
        <v>108.89</v>
      </c>
      <c r="K219" s="3032">
        <f t="shared" si="2"/>
        <v>110.94000000000001</v>
      </c>
      <c r="L219" s="3032">
        <f t="shared" si="1"/>
        <v>219.83</v>
      </c>
      <c r="M219" s="3032"/>
    </row>
    <row r="220" spans="1:13">
      <c r="A220" s="3032" t="s">
        <v>3125</v>
      </c>
      <c r="B220" s="3032">
        <v>2</v>
      </c>
      <c r="C220" s="3034">
        <v>-201</v>
      </c>
      <c r="D220" s="3032"/>
      <c r="E220" s="3032">
        <v>114.28</v>
      </c>
      <c r="F220" s="3032"/>
      <c r="G220" s="3032">
        <f t="shared" si="11"/>
        <v>114.28</v>
      </c>
      <c r="H220" s="3032">
        <f>SUM(G220:G223)</f>
        <v>817.45</v>
      </c>
      <c r="I220" s="3032"/>
      <c r="J220" s="3032"/>
      <c r="K220" s="3032">
        <f t="shared" si="2"/>
        <v>114.28</v>
      </c>
      <c r="L220" s="3032">
        <f t="shared" si="1"/>
        <v>114.28</v>
      </c>
      <c r="M220" s="3032"/>
    </row>
    <row r="221" spans="1:13">
      <c r="A221" s="3032"/>
      <c r="B221" s="3032"/>
      <c r="C221" s="3034">
        <v>-202</v>
      </c>
      <c r="D221" s="3032"/>
      <c r="E221" s="3032">
        <v>115.26</v>
      </c>
      <c r="F221" s="3032"/>
      <c r="G221" s="3032">
        <f t="shared" si="11"/>
        <v>115.26</v>
      </c>
      <c r="H221" s="3032"/>
      <c r="I221" s="3032"/>
      <c r="J221" s="3032"/>
      <c r="K221" s="3032">
        <f t="shared" si="2"/>
        <v>115.26</v>
      </c>
      <c r="L221" s="3032">
        <f t="shared" si="1"/>
        <v>115.26</v>
      </c>
      <c r="M221" s="3032"/>
    </row>
    <row r="222" spans="1:13">
      <c r="A222" s="3032"/>
      <c r="B222" s="3032"/>
      <c r="C222" s="3034">
        <v>101</v>
      </c>
      <c r="D222" s="3032">
        <v>178.94</v>
      </c>
      <c r="E222" s="3032">
        <v>114.78</v>
      </c>
      <c r="F222" s="3032"/>
      <c r="G222" s="3032">
        <f t="shared" si="11"/>
        <v>293.72000000000003</v>
      </c>
      <c r="H222" s="3032"/>
      <c r="I222" s="3032"/>
      <c r="J222" s="3032">
        <f>282.56/2</f>
        <v>141.28</v>
      </c>
      <c r="K222" s="3032">
        <f t="shared" si="2"/>
        <v>152.44000000000003</v>
      </c>
      <c r="L222" s="3032">
        <f t="shared" si="1"/>
        <v>293.72000000000003</v>
      </c>
      <c r="M222" s="3032">
        <f>J222+J223</f>
        <v>282.56</v>
      </c>
    </row>
    <row r="223" spans="1:13">
      <c r="A223" s="3032"/>
      <c r="B223" s="3032"/>
      <c r="C223" s="3034">
        <v>102</v>
      </c>
      <c r="D223" s="3032">
        <v>179.16</v>
      </c>
      <c r="E223" s="3032">
        <v>115.03</v>
      </c>
      <c r="F223" s="3032"/>
      <c r="G223" s="3032">
        <f t="shared" si="11"/>
        <v>294.19</v>
      </c>
      <c r="H223" s="3032"/>
      <c r="I223" s="3032"/>
      <c r="J223" s="3032">
        <f>J222</f>
        <v>141.28</v>
      </c>
      <c r="K223" s="3032">
        <f t="shared" si="2"/>
        <v>152.91</v>
      </c>
      <c r="L223" s="3032">
        <f t="shared" si="1"/>
        <v>294.19</v>
      </c>
      <c r="M223" s="3032"/>
    </row>
    <row r="224" spans="1:13">
      <c r="A224" s="3032" t="s">
        <v>3126</v>
      </c>
      <c r="B224" s="3032">
        <v>4</v>
      </c>
      <c r="C224" s="3034">
        <v>-201</v>
      </c>
      <c r="D224" s="3032"/>
      <c r="E224" s="3032">
        <v>114.12</v>
      </c>
      <c r="F224" s="3032"/>
      <c r="G224" s="3032">
        <f t="shared" si="11"/>
        <v>114.12</v>
      </c>
      <c r="H224" s="3032">
        <f>SUM(G224:G231)</f>
        <v>1629.12</v>
      </c>
      <c r="I224" s="3032"/>
      <c r="J224" s="3032"/>
      <c r="K224" s="3032">
        <f t="shared" si="2"/>
        <v>114.12</v>
      </c>
      <c r="L224" s="3032">
        <f t="shared" si="1"/>
        <v>114.12</v>
      </c>
      <c r="M224" s="3032"/>
    </row>
    <row r="225" spans="1:13">
      <c r="A225" s="3032"/>
      <c r="B225" s="3032"/>
      <c r="C225" s="3034">
        <v>-202</v>
      </c>
      <c r="D225" s="3032"/>
      <c r="E225" s="3032">
        <v>114.12</v>
      </c>
      <c r="F225" s="3032"/>
      <c r="G225" s="3032">
        <f t="shared" si="11"/>
        <v>114.12</v>
      </c>
      <c r="H225" s="3032"/>
      <c r="I225" s="3032"/>
      <c r="J225" s="3032"/>
      <c r="K225" s="3032">
        <f t="shared" si="2"/>
        <v>114.12</v>
      </c>
      <c r="L225" s="3032">
        <f t="shared" si="1"/>
        <v>114.12</v>
      </c>
      <c r="M225" s="3032"/>
    </row>
    <row r="226" spans="1:13">
      <c r="A226" s="3032"/>
      <c r="B226" s="3032"/>
      <c r="C226" s="3034">
        <v>-203</v>
      </c>
      <c r="D226" s="3032"/>
      <c r="E226" s="3032">
        <v>114.12</v>
      </c>
      <c r="F226" s="3032"/>
      <c r="G226" s="3032">
        <f t="shared" si="11"/>
        <v>114.12</v>
      </c>
      <c r="H226" s="3032"/>
      <c r="I226" s="3032"/>
      <c r="J226" s="3032"/>
      <c r="K226" s="3032">
        <f t="shared" si="2"/>
        <v>114.12</v>
      </c>
      <c r="L226" s="3032">
        <f t="shared" si="1"/>
        <v>114.12</v>
      </c>
      <c r="M226" s="3032"/>
    </row>
    <row r="227" spans="1:13">
      <c r="A227" s="3032"/>
      <c r="B227" s="3032"/>
      <c r="C227" s="3034">
        <v>-204</v>
      </c>
      <c r="D227" s="3032"/>
      <c r="E227" s="3032">
        <v>114.92</v>
      </c>
      <c r="F227" s="3032"/>
      <c r="G227" s="3032">
        <f t="shared" si="11"/>
        <v>114.92</v>
      </c>
      <c r="H227" s="3032"/>
      <c r="I227" s="3032"/>
      <c r="J227" s="3032"/>
      <c r="K227" s="3032">
        <f t="shared" si="2"/>
        <v>114.92</v>
      </c>
      <c r="L227" s="3032">
        <f t="shared" si="1"/>
        <v>114.92</v>
      </c>
      <c r="M227" s="3032"/>
    </row>
    <row r="228" spans="1:13">
      <c r="A228" s="3032"/>
      <c r="B228" s="3032"/>
      <c r="C228" s="3034">
        <v>101</v>
      </c>
      <c r="D228" s="3032">
        <v>178.29</v>
      </c>
      <c r="E228" s="3032">
        <v>114.55</v>
      </c>
      <c r="F228" s="3032"/>
      <c r="G228" s="3032">
        <f t="shared" si="11"/>
        <v>292.83999999999997</v>
      </c>
      <c r="H228" s="3032"/>
      <c r="I228" s="3032"/>
      <c r="J228" s="3032">
        <f>ROUND(563.59/4,2)</f>
        <v>140.9</v>
      </c>
      <c r="K228" s="3032">
        <f t="shared" si="2"/>
        <v>151.93999999999997</v>
      </c>
      <c r="L228" s="3032">
        <f t="shared" si="1"/>
        <v>292.83999999999997</v>
      </c>
      <c r="M228" s="3032">
        <f>J228+J229+J230+J231</f>
        <v>563.59000000000015</v>
      </c>
    </row>
    <row r="229" spans="1:13">
      <c r="A229" s="3032"/>
      <c r="B229" s="3032"/>
      <c r="C229" s="3034">
        <v>102</v>
      </c>
      <c r="D229" s="3032">
        <v>178.29</v>
      </c>
      <c r="E229" s="3032">
        <v>114.55</v>
      </c>
      <c r="F229" s="3032"/>
      <c r="G229" s="3032">
        <f t="shared" si="11"/>
        <v>292.83999999999997</v>
      </c>
      <c r="H229" s="3032"/>
      <c r="I229" s="3032"/>
      <c r="J229" s="3032">
        <f>J228</f>
        <v>140.9</v>
      </c>
      <c r="K229" s="3032">
        <f t="shared" si="2"/>
        <v>151.93999999999997</v>
      </c>
      <c r="L229" s="3032">
        <f t="shared" si="1"/>
        <v>292.83999999999997</v>
      </c>
      <c r="M229" s="3032"/>
    </row>
    <row r="230" spans="1:13">
      <c r="A230" s="3032"/>
      <c r="B230" s="3032"/>
      <c r="C230" s="3034">
        <v>103</v>
      </c>
      <c r="D230" s="3032">
        <v>178.29</v>
      </c>
      <c r="E230" s="3032">
        <v>114.55</v>
      </c>
      <c r="F230" s="3032"/>
      <c r="G230" s="3032">
        <f t="shared" ref="G230:G247" si="12">SUM(D230:F230)</f>
        <v>292.83999999999997</v>
      </c>
      <c r="H230" s="3032"/>
      <c r="I230" s="3032"/>
      <c r="J230" s="3032">
        <f>J228</f>
        <v>140.9</v>
      </c>
      <c r="K230" s="3032">
        <f t="shared" si="2"/>
        <v>151.93999999999997</v>
      </c>
      <c r="L230" s="3032">
        <f t="shared" si="1"/>
        <v>292.83999999999997</v>
      </c>
      <c r="M230" s="3032"/>
    </row>
    <row r="231" spans="1:13">
      <c r="A231" s="3032"/>
      <c r="B231" s="3032"/>
      <c r="C231" s="3034">
        <v>104</v>
      </c>
      <c r="D231" s="3032">
        <v>178.5</v>
      </c>
      <c r="E231" s="3032">
        <v>114.82</v>
      </c>
      <c r="F231" s="3032"/>
      <c r="G231" s="3032">
        <f t="shared" si="12"/>
        <v>293.32</v>
      </c>
      <c r="H231" s="3032"/>
      <c r="I231" s="3032"/>
      <c r="J231" s="3032">
        <f>563.59-J228-J229-J230</f>
        <v>140.89000000000007</v>
      </c>
      <c r="K231" s="3032">
        <f t="shared" si="2"/>
        <v>152.42999999999992</v>
      </c>
      <c r="L231" s="3032">
        <f t="shared" si="1"/>
        <v>293.32</v>
      </c>
      <c r="M231" s="3032"/>
    </row>
    <row r="232" spans="1:13">
      <c r="A232" s="3032" t="s">
        <v>3127</v>
      </c>
      <c r="B232" s="3032">
        <v>6</v>
      </c>
      <c r="C232" s="3034">
        <v>-201</v>
      </c>
      <c r="D232" s="3032"/>
      <c r="E232" s="3032">
        <v>83.43</v>
      </c>
      <c r="F232" s="3032"/>
      <c r="G232" s="3032">
        <f t="shared" si="12"/>
        <v>83.43</v>
      </c>
      <c r="H232" s="3032">
        <f>SUM(G232:G243)</f>
        <v>1815.6799999999998</v>
      </c>
      <c r="I232" s="3032"/>
      <c r="J232" s="3032"/>
      <c r="K232" s="3032">
        <f t="shared" si="2"/>
        <v>83.43</v>
      </c>
      <c r="L232" s="3032">
        <f t="shared" si="1"/>
        <v>83.43</v>
      </c>
      <c r="M232" s="3032"/>
    </row>
    <row r="233" spans="1:13">
      <c r="A233" s="3032"/>
      <c r="B233" s="3032"/>
      <c r="C233" s="3034">
        <v>-202</v>
      </c>
      <c r="D233" s="3032"/>
      <c r="E233" s="3032">
        <v>84.15</v>
      </c>
      <c r="F233" s="3032"/>
      <c r="G233" s="3032">
        <f t="shared" si="12"/>
        <v>84.15</v>
      </c>
      <c r="H233" s="3032"/>
      <c r="I233" s="3032"/>
      <c r="J233" s="3032"/>
      <c r="K233" s="3032">
        <f t="shared" si="2"/>
        <v>84.15</v>
      </c>
      <c r="L233" s="3032">
        <f t="shared" si="1"/>
        <v>84.15</v>
      </c>
      <c r="M233" s="3032"/>
    </row>
    <row r="234" spans="1:13">
      <c r="A234" s="3032"/>
      <c r="B234" s="3032"/>
      <c r="C234" s="3034">
        <v>-203</v>
      </c>
      <c r="D234" s="3032"/>
      <c r="E234" s="3032">
        <v>84.15</v>
      </c>
      <c r="F234" s="3032"/>
      <c r="G234" s="3032">
        <f t="shared" si="12"/>
        <v>84.15</v>
      </c>
      <c r="H234" s="3032"/>
      <c r="I234" s="3032"/>
      <c r="J234" s="3032"/>
      <c r="K234" s="3032">
        <f t="shared" si="2"/>
        <v>84.15</v>
      </c>
      <c r="L234" s="3032">
        <f t="shared" si="1"/>
        <v>84.15</v>
      </c>
      <c r="M234" s="3032"/>
    </row>
    <row r="235" spans="1:13">
      <c r="A235" s="3032"/>
      <c r="B235" s="3032"/>
      <c r="C235" s="3034">
        <v>-204</v>
      </c>
      <c r="D235" s="3032"/>
      <c r="E235" s="3032">
        <v>83.43</v>
      </c>
      <c r="F235" s="3032"/>
      <c r="G235" s="3032">
        <f t="shared" si="12"/>
        <v>83.43</v>
      </c>
      <c r="H235" s="3032"/>
      <c r="I235" s="3032"/>
      <c r="J235" s="3032"/>
      <c r="K235" s="3032">
        <f t="shared" si="2"/>
        <v>83.43</v>
      </c>
      <c r="L235" s="3032">
        <f t="shared" si="1"/>
        <v>83.43</v>
      </c>
      <c r="M235" s="3032"/>
    </row>
    <row r="236" spans="1:13">
      <c r="A236" s="3032"/>
      <c r="B236" s="3032"/>
      <c r="C236" s="3034">
        <v>-205</v>
      </c>
      <c r="D236" s="3032"/>
      <c r="E236" s="3032">
        <v>84.15</v>
      </c>
      <c r="F236" s="3032"/>
      <c r="G236" s="3032">
        <f t="shared" si="12"/>
        <v>84.15</v>
      </c>
      <c r="H236" s="3032"/>
      <c r="I236" s="3032"/>
      <c r="J236" s="3032"/>
      <c r="K236" s="3032">
        <f t="shared" si="2"/>
        <v>84.15</v>
      </c>
      <c r="L236" s="3032">
        <f t="shared" si="1"/>
        <v>84.15</v>
      </c>
      <c r="M236" s="3032"/>
    </row>
    <row r="237" spans="1:13">
      <c r="A237" s="3032"/>
      <c r="B237" s="3032"/>
      <c r="C237" s="3034">
        <v>-206</v>
      </c>
      <c r="D237" s="3032"/>
      <c r="E237" s="3032">
        <v>84.15</v>
      </c>
      <c r="F237" s="3032"/>
      <c r="G237" s="3032">
        <f t="shared" si="12"/>
        <v>84.15</v>
      </c>
      <c r="H237" s="3032"/>
      <c r="I237" s="3032"/>
      <c r="J237" s="3032"/>
      <c r="K237" s="3032">
        <f t="shared" si="2"/>
        <v>84.15</v>
      </c>
      <c r="L237" s="3032">
        <f t="shared" si="1"/>
        <v>84.15</v>
      </c>
      <c r="M237" s="3032"/>
    </row>
    <row r="238" spans="1:13">
      <c r="A238" s="3032"/>
      <c r="B238" s="3032"/>
      <c r="C238" s="3034">
        <v>101</v>
      </c>
      <c r="D238" s="3032">
        <v>134.18</v>
      </c>
      <c r="E238" s="3032">
        <v>84.28</v>
      </c>
      <c r="F238" s="3032"/>
      <c r="G238" s="3032">
        <f t="shared" si="12"/>
        <v>218.46</v>
      </c>
      <c r="H238" s="3032"/>
      <c r="I238" s="3032"/>
      <c r="J238" s="3032">
        <f>J206</f>
        <v>108.67</v>
      </c>
      <c r="K238" s="3032">
        <f t="shared" si="2"/>
        <v>109.79</v>
      </c>
      <c r="L238" s="3032">
        <f t="shared" si="1"/>
        <v>218.46</v>
      </c>
      <c r="M238" s="3032">
        <f>J238+J239+J240+J241+J242+J243</f>
        <v>652.01</v>
      </c>
    </row>
    <row r="239" spans="1:13">
      <c r="A239" s="3032"/>
      <c r="B239" s="3032"/>
      <c r="C239" s="3034">
        <v>102</v>
      </c>
      <c r="D239" s="3032">
        <v>134.16999999999999</v>
      </c>
      <c r="E239" s="3032">
        <v>84.42</v>
      </c>
      <c r="F239" s="3032"/>
      <c r="G239" s="3032">
        <f t="shared" si="12"/>
        <v>218.58999999999997</v>
      </c>
      <c r="H239" s="3032"/>
      <c r="I239" s="3032"/>
      <c r="J239" s="3032">
        <f>J238</f>
        <v>108.67</v>
      </c>
      <c r="K239" s="3032">
        <f t="shared" si="2"/>
        <v>109.91999999999997</v>
      </c>
      <c r="L239" s="3032">
        <f t="shared" si="1"/>
        <v>218.58999999999997</v>
      </c>
      <c r="M239" s="3032"/>
    </row>
    <row r="240" spans="1:13">
      <c r="A240" s="3032"/>
      <c r="B240" s="3032"/>
      <c r="C240" s="3034">
        <v>103</v>
      </c>
      <c r="D240" s="3032">
        <v>134.36000000000001</v>
      </c>
      <c r="E240" s="3032">
        <v>84.7</v>
      </c>
      <c r="F240" s="3032"/>
      <c r="G240" s="3032">
        <f t="shared" si="12"/>
        <v>219.06</v>
      </c>
      <c r="H240" s="3032"/>
      <c r="I240" s="3032"/>
      <c r="J240" s="3032">
        <f>J238</f>
        <v>108.67</v>
      </c>
      <c r="K240" s="3032">
        <f t="shared" si="2"/>
        <v>110.39</v>
      </c>
      <c r="L240" s="3032">
        <f t="shared" si="1"/>
        <v>219.06</v>
      </c>
      <c r="M240" s="3032"/>
    </row>
    <row r="241" spans="1:13">
      <c r="A241" s="3032"/>
      <c r="B241" s="3032"/>
      <c r="C241" s="3034">
        <v>104</v>
      </c>
      <c r="D241" s="3032">
        <v>134.18</v>
      </c>
      <c r="E241" s="3032">
        <v>84.28</v>
      </c>
      <c r="F241" s="3032"/>
      <c r="G241" s="3032">
        <f t="shared" si="12"/>
        <v>218.46</v>
      </c>
      <c r="H241" s="3032"/>
      <c r="I241" s="3032"/>
      <c r="J241" s="3032">
        <f>J238</f>
        <v>108.67</v>
      </c>
      <c r="K241" s="3032">
        <f t="shared" si="2"/>
        <v>109.79</v>
      </c>
      <c r="L241" s="3032">
        <f t="shared" si="1"/>
        <v>218.46</v>
      </c>
      <c r="M241" s="3032"/>
    </row>
    <row r="242" spans="1:13">
      <c r="A242" s="3032"/>
      <c r="B242" s="3032"/>
      <c r="C242" s="3034">
        <v>105</v>
      </c>
      <c r="D242" s="3032">
        <v>134.16999999999999</v>
      </c>
      <c r="E242" s="3032">
        <v>84.42</v>
      </c>
      <c r="F242" s="3032"/>
      <c r="G242" s="3032">
        <f t="shared" si="12"/>
        <v>218.58999999999997</v>
      </c>
      <c r="H242" s="3032"/>
      <c r="I242" s="3032"/>
      <c r="J242" s="3032">
        <f>J238</f>
        <v>108.67</v>
      </c>
      <c r="K242" s="3032">
        <f t="shared" si="2"/>
        <v>109.91999999999997</v>
      </c>
      <c r="L242" s="3032">
        <f t="shared" si="1"/>
        <v>218.58999999999997</v>
      </c>
      <c r="M242" s="3032"/>
    </row>
    <row r="243" spans="1:13">
      <c r="A243" s="3032"/>
      <c r="B243" s="3032"/>
      <c r="C243" s="3034">
        <v>106</v>
      </c>
      <c r="D243" s="3032">
        <v>134.36000000000001</v>
      </c>
      <c r="E243" s="3032">
        <v>84.7</v>
      </c>
      <c r="F243" s="3032"/>
      <c r="G243" s="3032">
        <f t="shared" si="12"/>
        <v>219.06</v>
      </c>
      <c r="H243" s="3032"/>
      <c r="I243" s="3032"/>
      <c r="J243" s="3032">
        <f>J211</f>
        <v>108.66</v>
      </c>
      <c r="K243" s="3032">
        <f t="shared" si="2"/>
        <v>110.4</v>
      </c>
      <c r="L243" s="3032">
        <f t="shared" si="1"/>
        <v>219.06</v>
      </c>
      <c r="M243" s="3032"/>
    </row>
    <row r="244" spans="1:13">
      <c r="A244" s="3032" t="s">
        <v>3128</v>
      </c>
      <c r="B244" s="3032">
        <v>6</v>
      </c>
      <c r="C244" s="3034">
        <v>-201</v>
      </c>
      <c r="D244" s="3032"/>
      <c r="E244" s="3032">
        <v>83.45</v>
      </c>
      <c r="F244" s="3032"/>
      <c r="G244" s="3032">
        <f t="shared" si="12"/>
        <v>83.45</v>
      </c>
      <c r="H244" s="3032">
        <f>SUM(G244:G255)</f>
        <v>1816.8799999999999</v>
      </c>
      <c r="I244" s="3032"/>
      <c r="J244" s="3032"/>
      <c r="K244" s="3032">
        <f t="shared" si="2"/>
        <v>83.45</v>
      </c>
      <c r="L244" s="3032">
        <f t="shared" si="1"/>
        <v>83.45</v>
      </c>
      <c r="M244" s="3032"/>
    </row>
    <row r="245" spans="1:13">
      <c r="A245" s="3032"/>
      <c r="B245" s="3032"/>
      <c r="C245" s="3034">
        <v>-202</v>
      </c>
      <c r="D245" s="3032"/>
      <c r="E245" s="3032">
        <v>84.17</v>
      </c>
      <c r="F245" s="3032"/>
      <c r="G245" s="3032">
        <f t="shared" si="12"/>
        <v>84.17</v>
      </c>
      <c r="H245" s="3032"/>
      <c r="I245" s="3032"/>
      <c r="J245" s="3032"/>
      <c r="K245" s="3032">
        <f t="shared" si="2"/>
        <v>84.17</v>
      </c>
      <c r="L245" s="3032">
        <f t="shared" si="1"/>
        <v>84.17</v>
      </c>
      <c r="M245" s="3032"/>
    </row>
    <row r="246" spans="1:13">
      <c r="A246" s="3032"/>
      <c r="B246" s="3032"/>
      <c r="C246" s="3034">
        <v>-203</v>
      </c>
      <c r="D246" s="3032"/>
      <c r="E246" s="3032">
        <v>84.17</v>
      </c>
      <c r="F246" s="3032"/>
      <c r="G246" s="3032">
        <f t="shared" si="12"/>
        <v>84.17</v>
      </c>
      <c r="H246" s="3032"/>
      <c r="I246" s="3032"/>
      <c r="J246" s="3032"/>
      <c r="K246" s="3032">
        <f t="shared" si="2"/>
        <v>84.17</v>
      </c>
      <c r="L246" s="3032">
        <f t="shared" si="1"/>
        <v>84.17</v>
      </c>
      <c r="M246" s="3032"/>
    </row>
    <row r="247" spans="1:13">
      <c r="A247" s="3032"/>
      <c r="B247" s="3032"/>
      <c r="C247" s="3034">
        <v>-204</v>
      </c>
      <c r="D247" s="3032"/>
      <c r="E247" s="3032">
        <v>83.45</v>
      </c>
      <c r="F247" s="3032"/>
      <c r="G247" s="3032">
        <f t="shared" si="12"/>
        <v>83.45</v>
      </c>
      <c r="H247" s="3032"/>
      <c r="I247" s="3032"/>
      <c r="J247" s="3032"/>
      <c r="K247" s="3032">
        <f t="shared" si="2"/>
        <v>83.45</v>
      </c>
      <c r="L247" s="3032">
        <f t="shared" si="1"/>
        <v>83.45</v>
      </c>
      <c r="M247" s="3032"/>
    </row>
    <row r="248" spans="1:13">
      <c r="A248" s="3032"/>
      <c r="B248" s="3032"/>
      <c r="C248" s="3034">
        <v>-205</v>
      </c>
      <c r="D248" s="3032"/>
      <c r="E248" s="3032">
        <v>84.17</v>
      </c>
      <c r="F248" s="3032"/>
      <c r="G248" s="3032">
        <f t="shared" ref="G248:G255" si="13">SUM(D248:F248)</f>
        <v>84.17</v>
      </c>
      <c r="H248" s="3032"/>
      <c r="I248" s="3032"/>
      <c r="J248" s="3032"/>
      <c r="K248" s="3032">
        <f t="shared" si="2"/>
        <v>84.17</v>
      </c>
      <c r="L248" s="3032">
        <f t="shared" si="1"/>
        <v>84.17</v>
      </c>
      <c r="M248" s="3032"/>
    </row>
    <row r="249" spans="1:13">
      <c r="A249" s="3032"/>
      <c r="B249" s="3032"/>
      <c r="C249" s="3034">
        <v>-206</v>
      </c>
      <c r="D249" s="3032"/>
      <c r="E249" s="3032">
        <v>84.17</v>
      </c>
      <c r="F249" s="3032"/>
      <c r="G249" s="3032">
        <f t="shared" si="13"/>
        <v>84.17</v>
      </c>
      <c r="H249" s="3032"/>
      <c r="I249" s="3032"/>
      <c r="J249" s="3032"/>
      <c r="K249" s="3032">
        <f t="shared" si="2"/>
        <v>84.17</v>
      </c>
      <c r="L249" s="3032">
        <f t="shared" si="1"/>
        <v>84.17</v>
      </c>
      <c r="M249" s="3032"/>
    </row>
    <row r="250" spans="1:13">
      <c r="A250" s="3032"/>
      <c r="B250" s="3032"/>
      <c r="C250" s="3034">
        <v>101</v>
      </c>
      <c r="D250" s="3032">
        <v>134.29</v>
      </c>
      <c r="E250" s="3032">
        <v>84.35</v>
      </c>
      <c r="F250" s="3032"/>
      <c r="G250" s="3032">
        <f t="shared" si="13"/>
        <v>218.64</v>
      </c>
      <c r="H250" s="3032"/>
      <c r="I250" s="3032"/>
      <c r="J250" s="3032">
        <f>J238</f>
        <v>108.67</v>
      </c>
      <c r="K250" s="3032">
        <f t="shared" si="2"/>
        <v>109.96999999999998</v>
      </c>
      <c r="L250" s="3032">
        <f t="shared" si="1"/>
        <v>218.64</v>
      </c>
      <c r="M250" s="3032">
        <f>J250+J251+J252+J253+J254+J255</f>
        <v>652.01</v>
      </c>
    </row>
    <row r="251" spans="1:13">
      <c r="A251" s="3032"/>
      <c r="B251" s="3032"/>
      <c r="C251" s="3034">
        <v>102</v>
      </c>
      <c r="D251" s="3032">
        <v>134.28</v>
      </c>
      <c r="E251" s="3032">
        <v>84.49</v>
      </c>
      <c r="F251" s="3032"/>
      <c r="G251" s="3032">
        <f t="shared" si="13"/>
        <v>218.76999999999998</v>
      </c>
      <c r="H251" s="3032"/>
      <c r="I251" s="3032"/>
      <c r="J251" s="3032">
        <f>J250</f>
        <v>108.67</v>
      </c>
      <c r="K251" s="3032">
        <f t="shared" si="2"/>
        <v>110.09999999999998</v>
      </c>
      <c r="L251" s="3032">
        <f t="shared" si="1"/>
        <v>218.76999999999998</v>
      </c>
      <c r="M251" s="3032"/>
    </row>
    <row r="252" spans="1:13">
      <c r="A252" s="3032"/>
      <c r="B252" s="3032"/>
      <c r="C252" s="3034">
        <v>103</v>
      </c>
      <c r="D252" s="3032">
        <v>134.47</v>
      </c>
      <c r="E252" s="3032">
        <v>84.77</v>
      </c>
      <c r="F252" s="3032"/>
      <c r="G252" s="3032">
        <f t="shared" si="13"/>
        <v>219.24</v>
      </c>
      <c r="H252" s="3032"/>
      <c r="I252" s="3032"/>
      <c r="J252" s="3032">
        <f>J250</f>
        <v>108.67</v>
      </c>
      <c r="K252" s="3032">
        <f t="shared" si="2"/>
        <v>110.57000000000001</v>
      </c>
      <c r="L252" s="3032">
        <f t="shared" si="1"/>
        <v>219.24</v>
      </c>
      <c r="M252" s="3032"/>
    </row>
    <row r="253" spans="1:13">
      <c r="A253" s="3032"/>
      <c r="B253" s="3032"/>
      <c r="C253" s="3034">
        <v>104</v>
      </c>
      <c r="D253" s="3032">
        <v>134.29</v>
      </c>
      <c r="E253" s="3032">
        <v>84.35</v>
      </c>
      <c r="F253" s="3032"/>
      <c r="G253" s="3032">
        <f t="shared" si="13"/>
        <v>218.64</v>
      </c>
      <c r="H253" s="3032"/>
      <c r="I253" s="3032"/>
      <c r="J253" s="3032">
        <f>J250</f>
        <v>108.67</v>
      </c>
      <c r="K253" s="3032">
        <f t="shared" si="2"/>
        <v>109.96999999999998</v>
      </c>
      <c r="L253" s="3032">
        <f t="shared" si="1"/>
        <v>218.64</v>
      </c>
      <c r="M253" s="3032"/>
    </row>
    <row r="254" spans="1:13">
      <c r="A254" s="3032"/>
      <c r="B254" s="3032"/>
      <c r="C254" s="3034">
        <v>105</v>
      </c>
      <c r="D254" s="3032">
        <v>134.28</v>
      </c>
      <c r="E254" s="3032">
        <v>84.49</v>
      </c>
      <c r="F254" s="3032"/>
      <c r="G254" s="3032">
        <f t="shared" si="13"/>
        <v>218.76999999999998</v>
      </c>
      <c r="H254" s="3032"/>
      <c r="I254" s="3032"/>
      <c r="J254" s="3032">
        <f>J250</f>
        <v>108.67</v>
      </c>
      <c r="K254" s="3032">
        <f t="shared" si="2"/>
        <v>110.09999999999998</v>
      </c>
      <c r="L254" s="3032">
        <f t="shared" si="1"/>
        <v>218.76999999999998</v>
      </c>
      <c r="M254" s="3032"/>
    </row>
    <row r="255" spans="1:13">
      <c r="A255" s="3032"/>
      <c r="B255" s="3032"/>
      <c r="C255" s="3034">
        <v>106</v>
      </c>
      <c r="D255" s="3032">
        <v>134.47</v>
      </c>
      <c r="E255" s="3032">
        <v>84.77</v>
      </c>
      <c r="F255" s="3032"/>
      <c r="G255" s="3032">
        <f t="shared" si="13"/>
        <v>219.24</v>
      </c>
      <c r="H255" s="3032"/>
      <c r="I255" s="3032"/>
      <c r="J255" s="3032">
        <f>J243</f>
        <v>108.66</v>
      </c>
      <c r="K255" s="3032">
        <f t="shared" si="2"/>
        <v>110.58000000000001</v>
      </c>
      <c r="L255" s="3032">
        <f t="shared" si="1"/>
        <v>219.24</v>
      </c>
      <c r="M255" s="3032"/>
    </row>
    <row r="256" spans="1:13">
      <c r="A256" s="3032" t="s">
        <v>3129</v>
      </c>
      <c r="B256" s="3032">
        <v>3</v>
      </c>
      <c r="C256" s="3034">
        <v>-201</v>
      </c>
      <c r="D256" s="3032"/>
      <c r="E256" s="3032">
        <v>84.37</v>
      </c>
      <c r="F256" s="3032"/>
      <c r="G256" s="3032">
        <f t="shared" ref="G256:G268" si="14">SUM(D256:F256)</f>
        <v>84.37</v>
      </c>
      <c r="H256" s="3032">
        <f>SUM(G256:G261)</f>
        <v>931.21999999999991</v>
      </c>
      <c r="I256" s="3032"/>
      <c r="J256" s="3032"/>
      <c r="K256" s="3032">
        <f t="shared" si="2"/>
        <v>84.37</v>
      </c>
      <c r="L256" s="3032">
        <f t="shared" si="1"/>
        <v>84.37</v>
      </c>
      <c r="M256" s="3032"/>
    </row>
    <row r="257" spans="1:13">
      <c r="A257" s="3032"/>
      <c r="B257" s="3032"/>
      <c r="C257" s="3034">
        <v>-202</v>
      </c>
      <c r="D257" s="3032"/>
      <c r="E257" s="3032">
        <v>85.1</v>
      </c>
      <c r="F257" s="3032"/>
      <c r="G257" s="3032">
        <f t="shared" si="14"/>
        <v>85.1</v>
      </c>
      <c r="H257" s="3032"/>
      <c r="I257" s="3032"/>
      <c r="J257" s="3032"/>
      <c r="K257" s="3032">
        <f t="shared" si="2"/>
        <v>85.1</v>
      </c>
      <c r="L257" s="3032">
        <f t="shared" si="1"/>
        <v>85.1</v>
      </c>
      <c r="M257" s="3032"/>
    </row>
    <row r="258" spans="1:13">
      <c r="A258" s="3032"/>
      <c r="B258" s="3032"/>
      <c r="C258" s="3034">
        <v>-203</v>
      </c>
      <c r="D258" s="3032"/>
      <c r="E258" s="3032">
        <v>85.1</v>
      </c>
      <c r="F258" s="3032"/>
      <c r="G258" s="3032">
        <f t="shared" si="14"/>
        <v>85.1</v>
      </c>
      <c r="H258" s="3032"/>
      <c r="I258" s="3032"/>
      <c r="J258" s="3032"/>
      <c r="K258" s="3032">
        <f t="shared" si="2"/>
        <v>85.1</v>
      </c>
      <c r="L258" s="3032">
        <f t="shared" si="1"/>
        <v>85.1</v>
      </c>
      <c r="M258" s="3032"/>
    </row>
    <row r="259" spans="1:13">
      <c r="A259" s="3032"/>
      <c r="B259" s="3032"/>
      <c r="C259" s="3034">
        <v>101</v>
      </c>
      <c r="D259" s="3032">
        <v>138.69</v>
      </c>
      <c r="E259" s="3032">
        <v>86.61</v>
      </c>
      <c r="F259" s="3032"/>
      <c r="G259" s="3032">
        <f t="shared" si="14"/>
        <v>225.3</v>
      </c>
      <c r="H259" s="3032"/>
      <c r="I259" s="3032"/>
      <c r="J259" s="3032">
        <f>ROUND(337.54/3,2)</f>
        <v>112.51</v>
      </c>
      <c r="K259" s="3032">
        <f t="shared" si="2"/>
        <v>112.79</v>
      </c>
      <c r="L259" s="3032">
        <f t="shared" si="1"/>
        <v>225.3</v>
      </c>
      <c r="M259" s="3032">
        <f>J259+J260+J261</f>
        <v>337.54</v>
      </c>
    </row>
    <row r="260" spans="1:13">
      <c r="A260" s="3032"/>
      <c r="B260" s="3032"/>
      <c r="C260" s="3034">
        <v>102</v>
      </c>
      <c r="D260" s="3032">
        <v>138.69</v>
      </c>
      <c r="E260" s="3032">
        <v>86.75</v>
      </c>
      <c r="F260" s="3032"/>
      <c r="G260" s="3032">
        <f t="shared" si="14"/>
        <v>225.44</v>
      </c>
      <c r="H260" s="3032"/>
      <c r="I260" s="3032"/>
      <c r="J260" s="3032">
        <f>J259</f>
        <v>112.51</v>
      </c>
      <c r="K260" s="3032">
        <f t="shared" si="2"/>
        <v>112.92999999999999</v>
      </c>
      <c r="L260" s="3032">
        <f t="shared" si="1"/>
        <v>225.44</v>
      </c>
      <c r="M260" s="3032"/>
    </row>
    <row r="261" spans="1:13">
      <c r="A261" s="3032"/>
      <c r="B261" s="3032"/>
      <c r="C261" s="3034">
        <v>103</v>
      </c>
      <c r="D261" s="3032">
        <v>138.88</v>
      </c>
      <c r="E261" s="3032">
        <v>87.03</v>
      </c>
      <c r="F261" s="3032"/>
      <c r="G261" s="3032">
        <f t="shared" si="14"/>
        <v>225.91</v>
      </c>
      <c r="H261" s="3032"/>
      <c r="I261" s="3032"/>
      <c r="J261" s="3032">
        <f>337.54-J259-J260</f>
        <v>112.52000000000002</v>
      </c>
      <c r="K261" s="3032">
        <f t="shared" si="2"/>
        <v>113.38999999999997</v>
      </c>
      <c r="L261" s="3032">
        <f t="shared" si="1"/>
        <v>225.91</v>
      </c>
      <c r="M261" s="3032"/>
    </row>
    <row r="262" spans="1:13">
      <c r="A262" s="3032" t="s">
        <v>3130</v>
      </c>
      <c r="B262" s="3032">
        <v>3</v>
      </c>
      <c r="C262" s="3034">
        <v>-201</v>
      </c>
      <c r="D262" s="3032"/>
      <c r="E262" s="3032">
        <v>84.35</v>
      </c>
      <c r="F262" s="3032"/>
      <c r="G262" s="3032">
        <f t="shared" si="14"/>
        <v>84.35</v>
      </c>
      <c r="H262" s="3032">
        <f>SUM(G262:G267)</f>
        <v>930.61</v>
      </c>
      <c r="I262" s="3032"/>
      <c r="J262" s="3032"/>
      <c r="K262" s="3032">
        <f t="shared" si="2"/>
        <v>84.35</v>
      </c>
      <c r="L262" s="3032">
        <f t="shared" si="1"/>
        <v>84.35</v>
      </c>
      <c r="M262" s="3032"/>
    </row>
    <row r="263" spans="1:13">
      <c r="A263" s="3032"/>
      <c r="B263" s="3032"/>
      <c r="C263" s="3034">
        <v>-202</v>
      </c>
      <c r="D263" s="3032"/>
      <c r="E263" s="3032">
        <v>85.08</v>
      </c>
      <c r="F263" s="3032"/>
      <c r="G263" s="3032">
        <f t="shared" si="14"/>
        <v>85.08</v>
      </c>
      <c r="H263" s="3032"/>
      <c r="I263" s="3032"/>
      <c r="J263" s="3032"/>
      <c r="K263" s="3032">
        <f t="shared" si="2"/>
        <v>85.08</v>
      </c>
      <c r="L263" s="3032">
        <f t="shared" si="1"/>
        <v>85.08</v>
      </c>
      <c r="M263" s="3032"/>
    </row>
    <row r="264" spans="1:13">
      <c r="A264" s="3032"/>
      <c r="B264" s="3032"/>
      <c r="C264" s="3034">
        <v>-203</v>
      </c>
      <c r="D264" s="3032"/>
      <c r="E264" s="3032">
        <v>85.08</v>
      </c>
      <c r="F264" s="3032"/>
      <c r="G264" s="3032">
        <f t="shared" si="14"/>
        <v>85.08</v>
      </c>
      <c r="H264" s="3032"/>
      <c r="I264" s="3032"/>
      <c r="J264" s="3032"/>
      <c r="K264" s="3032">
        <f t="shared" si="2"/>
        <v>85.08</v>
      </c>
      <c r="L264" s="3032">
        <f t="shared" si="1"/>
        <v>85.08</v>
      </c>
      <c r="M264" s="3032"/>
    </row>
    <row r="265" spans="1:13">
      <c r="A265" s="3032"/>
      <c r="B265" s="3032"/>
      <c r="C265" s="3034">
        <v>101</v>
      </c>
      <c r="D265" s="3032">
        <v>138.57</v>
      </c>
      <c r="E265" s="3032">
        <v>86.54</v>
      </c>
      <c r="F265" s="3032"/>
      <c r="G265" s="3032">
        <f t="shared" si="14"/>
        <v>225.11</v>
      </c>
      <c r="H265" s="3032"/>
      <c r="I265" s="3032"/>
      <c r="J265" s="3032">
        <f>J259</f>
        <v>112.51</v>
      </c>
      <c r="K265" s="3032">
        <f t="shared" si="2"/>
        <v>112.60000000000001</v>
      </c>
      <c r="L265" s="3032">
        <f t="shared" si="1"/>
        <v>225.11</v>
      </c>
      <c r="M265" s="3032">
        <f>J265+J266+J267</f>
        <v>337.54</v>
      </c>
    </row>
    <row r="266" spans="1:13">
      <c r="A266" s="3032"/>
      <c r="B266" s="3032"/>
      <c r="C266" s="3034">
        <v>102</v>
      </c>
      <c r="D266" s="3032">
        <v>138.57</v>
      </c>
      <c r="E266" s="3032">
        <v>86.68</v>
      </c>
      <c r="F266" s="3032"/>
      <c r="G266" s="3032">
        <f t="shared" si="14"/>
        <v>225.25</v>
      </c>
      <c r="H266" s="3032"/>
      <c r="I266" s="3032"/>
      <c r="J266" s="3032">
        <f>J265</f>
        <v>112.51</v>
      </c>
      <c r="K266" s="3032">
        <f t="shared" si="2"/>
        <v>112.74</v>
      </c>
      <c r="L266" s="3032">
        <f t="shared" si="1"/>
        <v>225.25</v>
      </c>
      <c r="M266" s="3032"/>
    </row>
    <row r="267" spans="1:13">
      <c r="A267" s="3032"/>
      <c r="B267" s="3032"/>
      <c r="C267" s="3034">
        <v>103</v>
      </c>
      <c r="D267" s="3032">
        <v>138.78</v>
      </c>
      <c r="E267" s="3032">
        <v>86.96</v>
      </c>
      <c r="F267" s="3032"/>
      <c r="G267" s="3032">
        <f t="shared" si="14"/>
        <v>225.74</v>
      </c>
      <c r="H267" s="3032"/>
      <c r="I267" s="3032"/>
      <c r="J267" s="3032">
        <f>J261</f>
        <v>112.52000000000002</v>
      </c>
      <c r="K267" s="3032">
        <f t="shared" si="2"/>
        <v>113.21999999999998</v>
      </c>
      <c r="L267" s="3032">
        <f t="shared" si="1"/>
        <v>225.74</v>
      </c>
      <c r="M267" s="3032"/>
    </row>
    <row r="268" spans="1:13">
      <c r="A268" s="3032" t="s">
        <v>3131</v>
      </c>
      <c r="B268" s="3032">
        <v>6</v>
      </c>
      <c r="C268" s="3034">
        <v>-201</v>
      </c>
      <c r="D268" s="3032"/>
      <c r="E268" s="3032">
        <v>83.45</v>
      </c>
      <c r="F268" s="3032"/>
      <c r="G268" s="3032">
        <f t="shared" si="14"/>
        <v>83.45</v>
      </c>
      <c r="H268" s="3032">
        <f>SUM(G268:G279)</f>
        <v>1816.8799999999999</v>
      </c>
      <c r="I268" s="3032"/>
      <c r="J268" s="3032"/>
      <c r="K268" s="3032">
        <f t="shared" si="2"/>
        <v>83.45</v>
      </c>
      <c r="L268" s="3032">
        <f t="shared" si="1"/>
        <v>83.45</v>
      </c>
      <c r="M268" s="3032"/>
    </row>
    <row r="269" spans="1:13">
      <c r="A269" s="3032"/>
      <c r="B269" s="3032"/>
      <c r="C269" s="3034">
        <v>-202</v>
      </c>
      <c r="D269" s="3032"/>
      <c r="E269" s="3032">
        <v>84.17</v>
      </c>
      <c r="F269" s="3032"/>
      <c r="G269" s="3032">
        <f t="shared" ref="G269:G279" si="15">SUM(D269:F269)</f>
        <v>84.17</v>
      </c>
      <c r="H269" s="3032"/>
      <c r="I269" s="3032"/>
      <c r="J269" s="3032"/>
      <c r="K269" s="3032">
        <f t="shared" si="2"/>
        <v>84.17</v>
      </c>
      <c r="L269" s="3032">
        <f t="shared" si="1"/>
        <v>84.17</v>
      </c>
      <c r="M269" s="3032"/>
    </row>
    <row r="270" spans="1:13">
      <c r="A270" s="3032"/>
      <c r="B270" s="3032"/>
      <c r="C270" s="3034">
        <v>-203</v>
      </c>
      <c r="D270" s="3032"/>
      <c r="E270" s="3032">
        <v>84.17</v>
      </c>
      <c r="F270" s="3032"/>
      <c r="G270" s="3032">
        <f t="shared" si="15"/>
        <v>84.17</v>
      </c>
      <c r="H270" s="3032"/>
      <c r="I270" s="3032"/>
      <c r="J270" s="3032"/>
      <c r="K270" s="3032">
        <f t="shared" si="2"/>
        <v>84.17</v>
      </c>
      <c r="L270" s="3032">
        <f t="shared" ref="L270:L333" si="16">J270+K270</f>
        <v>84.17</v>
      </c>
      <c r="M270" s="3032"/>
    </row>
    <row r="271" spans="1:13">
      <c r="A271" s="3032"/>
      <c r="B271" s="3032"/>
      <c r="C271" s="3034">
        <v>-204</v>
      </c>
      <c r="D271" s="3032"/>
      <c r="E271" s="3032">
        <v>83.45</v>
      </c>
      <c r="F271" s="3032"/>
      <c r="G271" s="3032">
        <f t="shared" si="15"/>
        <v>83.45</v>
      </c>
      <c r="H271" s="3032"/>
      <c r="I271" s="3032"/>
      <c r="J271" s="3032"/>
      <c r="K271" s="3032">
        <f t="shared" si="2"/>
        <v>83.45</v>
      </c>
      <c r="L271" s="3032">
        <f t="shared" si="16"/>
        <v>83.45</v>
      </c>
      <c r="M271" s="3032"/>
    </row>
    <row r="272" spans="1:13">
      <c r="A272" s="3032"/>
      <c r="B272" s="3032"/>
      <c r="C272" s="3034">
        <v>-205</v>
      </c>
      <c r="D272" s="3032"/>
      <c r="E272" s="3032">
        <v>84.17</v>
      </c>
      <c r="F272" s="3032"/>
      <c r="G272" s="3032">
        <f t="shared" si="15"/>
        <v>84.17</v>
      </c>
      <c r="H272" s="3032"/>
      <c r="I272" s="3032"/>
      <c r="J272" s="3032"/>
      <c r="K272" s="3032">
        <f t="shared" si="2"/>
        <v>84.17</v>
      </c>
      <c r="L272" s="3032">
        <f t="shared" si="16"/>
        <v>84.17</v>
      </c>
      <c r="M272" s="3032"/>
    </row>
    <row r="273" spans="1:13">
      <c r="A273" s="3032"/>
      <c r="B273" s="3032"/>
      <c r="C273" s="3034">
        <v>-206</v>
      </c>
      <c r="D273" s="3032"/>
      <c r="E273" s="3032">
        <v>84.17</v>
      </c>
      <c r="F273" s="3032"/>
      <c r="G273" s="3032">
        <f t="shared" si="15"/>
        <v>84.17</v>
      </c>
      <c r="H273" s="3032"/>
      <c r="I273" s="3032"/>
      <c r="J273" s="3032"/>
      <c r="K273" s="3032">
        <f t="shared" si="2"/>
        <v>84.17</v>
      </c>
      <c r="L273" s="3032">
        <f t="shared" si="16"/>
        <v>84.17</v>
      </c>
      <c r="M273" s="3032"/>
    </row>
    <row r="274" spans="1:13">
      <c r="A274" s="3032"/>
      <c r="B274" s="3032"/>
      <c r="C274" s="3034">
        <v>101</v>
      </c>
      <c r="D274" s="3032">
        <v>134.29</v>
      </c>
      <c r="E274" s="3032">
        <v>84.35</v>
      </c>
      <c r="F274" s="3032"/>
      <c r="G274" s="3032">
        <f t="shared" si="15"/>
        <v>218.64</v>
      </c>
      <c r="H274" s="3032"/>
      <c r="I274" s="3032"/>
      <c r="J274" s="3032">
        <f>J250</f>
        <v>108.67</v>
      </c>
      <c r="K274" s="3032">
        <f t="shared" si="2"/>
        <v>109.96999999999998</v>
      </c>
      <c r="L274" s="3032">
        <f t="shared" si="16"/>
        <v>218.64</v>
      </c>
      <c r="M274" s="3032">
        <f>J274+J275+J276+J277+J278+J279</f>
        <v>652.01</v>
      </c>
    </row>
    <row r="275" spans="1:13">
      <c r="A275" s="3032"/>
      <c r="B275" s="3032"/>
      <c r="C275" s="3034">
        <v>102</v>
      </c>
      <c r="D275" s="3032">
        <v>134.28</v>
      </c>
      <c r="E275" s="3032">
        <v>84.49</v>
      </c>
      <c r="F275" s="3032"/>
      <c r="G275" s="3032">
        <f t="shared" si="15"/>
        <v>218.76999999999998</v>
      </c>
      <c r="H275" s="3032"/>
      <c r="I275" s="3032"/>
      <c r="J275" s="3032">
        <f>J274</f>
        <v>108.67</v>
      </c>
      <c r="K275" s="3032">
        <f t="shared" si="2"/>
        <v>110.09999999999998</v>
      </c>
      <c r="L275" s="3032">
        <f t="shared" si="16"/>
        <v>218.76999999999998</v>
      </c>
      <c r="M275" s="3032"/>
    </row>
    <row r="276" spans="1:13">
      <c r="A276" s="3032"/>
      <c r="B276" s="3032"/>
      <c r="C276" s="3034">
        <v>103</v>
      </c>
      <c r="D276" s="3032">
        <v>134.47</v>
      </c>
      <c r="E276" s="3032">
        <v>84.77</v>
      </c>
      <c r="F276" s="3032"/>
      <c r="G276" s="3032">
        <f t="shared" si="15"/>
        <v>219.24</v>
      </c>
      <c r="H276" s="3032"/>
      <c r="I276" s="3032"/>
      <c r="J276" s="3032">
        <f>J274</f>
        <v>108.67</v>
      </c>
      <c r="K276" s="3032">
        <f t="shared" si="2"/>
        <v>110.57000000000001</v>
      </c>
      <c r="L276" s="3032">
        <f t="shared" si="16"/>
        <v>219.24</v>
      </c>
      <c r="M276" s="3032"/>
    </row>
    <row r="277" spans="1:13">
      <c r="A277" s="3032"/>
      <c r="B277" s="3032"/>
      <c r="C277" s="3034">
        <v>104</v>
      </c>
      <c r="D277" s="3032">
        <v>134.29</v>
      </c>
      <c r="E277" s="3032">
        <v>84.35</v>
      </c>
      <c r="F277" s="3032"/>
      <c r="G277" s="3032">
        <f t="shared" si="15"/>
        <v>218.64</v>
      </c>
      <c r="H277" s="3032"/>
      <c r="I277" s="3032"/>
      <c r="J277" s="3032">
        <f>J274</f>
        <v>108.67</v>
      </c>
      <c r="K277" s="3032">
        <f t="shared" si="2"/>
        <v>109.96999999999998</v>
      </c>
      <c r="L277" s="3032">
        <f t="shared" si="16"/>
        <v>218.64</v>
      </c>
      <c r="M277" s="3032"/>
    </row>
    <row r="278" spans="1:13">
      <c r="A278" s="3032"/>
      <c r="B278" s="3032"/>
      <c r="C278" s="3034">
        <v>105</v>
      </c>
      <c r="D278" s="3032">
        <v>134.28</v>
      </c>
      <c r="E278" s="3032">
        <v>84.49</v>
      </c>
      <c r="F278" s="3032"/>
      <c r="G278" s="3032">
        <f t="shared" si="15"/>
        <v>218.76999999999998</v>
      </c>
      <c r="H278" s="3032"/>
      <c r="I278" s="3032"/>
      <c r="J278" s="3032">
        <f>J274</f>
        <v>108.67</v>
      </c>
      <c r="K278" s="3032">
        <f t="shared" si="2"/>
        <v>110.09999999999998</v>
      </c>
      <c r="L278" s="3032">
        <f t="shared" si="16"/>
        <v>218.76999999999998</v>
      </c>
      <c r="M278" s="3032"/>
    </row>
    <row r="279" spans="1:13">
      <c r="A279" s="3032"/>
      <c r="B279" s="3032"/>
      <c r="C279" s="3034">
        <v>106</v>
      </c>
      <c r="D279" s="3032">
        <v>134.47</v>
      </c>
      <c r="E279" s="3032">
        <v>84.77</v>
      </c>
      <c r="F279" s="3032"/>
      <c r="G279" s="3032">
        <f t="shared" si="15"/>
        <v>219.24</v>
      </c>
      <c r="H279" s="3032"/>
      <c r="I279" s="3032"/>
      <c r="J279" s="3032">
        <f>J255</f>
        <v>108.66</v>
      </c>
      <c r="K279" s="3032">
        <f t="shared" si="2"/>
        <v>110.58000000000001</v>
      </c>
      <c r="L279" s="3032">
        <f t="shared" si="16"/>
        <v>219.24</v>
      </c>
      <c r="M279" s="3032"/>
    </row>
    <row r="280" spans="1:13">
      <c r="A280" s="3032" t="s">
        <v>3132</v>
      </c>
      <c r="B280" s="3032">
        <v>6</v>
      </c>
      <c r="C280" s="3034">
        <v>-201</v>
      </c>
      <c r="D280" s="3032"/>
      <c r="E280" s="3032">
        <v>83.44</v>
      </c>
      <c r="F280" s="3032"/>
      <c r="G280" s="3032">
        <f>SUM(D280:F280)</f>
        <v>83.44</v>
      </c>
      <c r="H280" s="3032">
        <f>SUM(G280:G291)</f>
        <v>1816.3200000000002</v>
      </c>
      <c r="I280" s="3032"/>
      <c r="J280" s="3032"/>
      <c r="K280" s="3032">
        <f t="shared" si="2"/>
        <v>83.44</v>
      </c>
      <c r="L280" s="3032">
        <f t="shared" si="16"/>
        <v>83.44</v>
      </c>
      <c r="M280" s="3032"/>
    </row>
    <row r="281" spans="1:13">
      <c r="A281" s="3032"/>
      <c r="B281" s="3032"/>
      <c r="C281" s="3034">
        <v>-202</v>
      </c>
      <c r="D281" s="3032"/>
      <c r="E281" s="3032">
        <v>84.16</v>
      </c>
      <c r="F281" s="3032"/>
      <c r="G281" s="3032">
        <f t="shared" ref="G281:G291" si="17">SUM(D281:F281)</f>
        <v>84.16</v>
      </c>
      <c r="H281" s="3032"/>
      <c r="I281" s="3032"/>
      <c r="J281" s="3032"/>
      <c r="K281" s="3032">
        <f t="shared" si="2"/>
        <v>84.16</v>
      </c>
      <c r="L281" s="3032">
        <f t="shared" si="16"/>
        <v>84.16</v>
      </c>
      <c r="M281" s="3032"/>
    </row>
    <row r="282" spans="1:13">
      <c r="A282" s="3032"/>
      <c r="B282" s="3032"/>
      <c r="C282" s="3034">
        <v>-203</v>
      </c>
      <c r="D282" s="3032"/>
      <c r="E282" s="3032">
        <v>84.16</v>
      </c>
      <c r="F282" s="3032"/>
      <c r="G282" s="3032">
        <f t="shared" si="17"/>
        <v>84.16</v>
      </c>
      <c r="H282" s="3032"/>
      <c r="I282" s="3032"/>
      <c r="J282" s="3032"/>
      <c r="K282" s="3032">
        <f t="shared" si="2"/>
        <v>84.16</v>
      </c>
      <c r="L282" s="3032">
        <f t="shared" si="16"/>
        <v>84.16</v>
      </c>
      <c r="M282" s="3032"/>
    </row>
    <row r="283" spans="1:13">
      <c r="A283" s="3032"/>
      <c r="B283" s="3032"/>
      <c r="C283" s="3034">
        <v>-204</v>
      </c>
      <c r="D283" s="3032"/>
      <c r="E283" s="3032">
        <v>83.44</v>
      </c>
      <c r="F283" s="3032"/>
      <c r="G283" s="3032">
        <f t="shared" si="17"/>
        <v>83.44</v>
      </c>
      <c r="H283" s="3032"/>
      <c r="I283" s="3032"/>
      <c r="J283" s="3032"/>
      <c r="K283" s="3032">
        <f t="shared" si="2"/>
        <v>83.44</v>
      </c>
      <c r="L283" s="3032">
        <f t="shared" si="16"/>
        <v>83.44</v>
      </c>
      <c r="M283" s="3032"/>
    </row>
    <row r="284" spans="1:13">
      <c r="A284" s="3032"/>
      <c r="B284" s="3032"/>
      <c r="C284" s="3034">
        <v>-205</v>
      </c>
      <c r="D284" s="3032"/>
      <c r="E284" s="3032">
        <v>84.16</v>
      </c>
      <c r="F284" s="3032"/>
      <c r="G284" s="3032">
        <f t="shared" si="17"/>
        <v>84.16</v>
      </c>
      <c r="H284" s="3032"/>
      <c r="I284" s="3032"/>
      <c r="J284" s="3032"/>
      <c r="K284" s="3032">
        <f t="shared" si="2"/>
        <v>84.16</v>
      </c>
      <c r="L284" s="3032">
        <f t="shared" si="16"/>
        <v>84.16</v>
      </c>
      <c r="M284" s="3032"/>
    </row>
    <row r="285" spans="1:13">
      <c r="A285" s="3032"/>
      <c r="B285" s="3032"/>
      <c r="C285" s="3034">
        <v>-206</v>
      </c>
      <c r="D285" s="3032"/>
      <c r="E285" s="3032">
        <v>84.16</v>
      </c>
      <c r="F285" s="3032"/>
      <c r="G285" s="3032">
        <f t="shared" si="17"/>
        <v>84.16</v>
      </c>
      <c r="H285" s="3032"/>
      <c r="I285" s="3032"/>
      <c r="J285" s="3032"/>
      <c r="K285" s="3032">
        <f t="shared" si="2"/>
        <v>84.16</v>
      </c>
      <c r="L285" s="3032">
        <f t="shared" si="16"/>
        <v>84.16</v>
      </c>
      <c r="M285" s="3032"/>
    </row>
    <row r="286" spans="1:13">
      <c r="A286" s="3032"/>
      <c r="B286" s="3032"/>
      <c r="C286" s="3034">
        <v>101</v>
      </c>
      <c r="D286" s="3032">
        <v>134.22999999999999</v>
      </c>
      <c r="E286" s="3032">
        <v>84.32</v>
      </c>
      <c r="F286" s="3032"/>
      <c r="G286" s="3032">
        <f t="shared" si="17"/>
        <v>218.54999999999998</v>
      </c>
      <c r="H286" s="3032"/>
      <c r="I286" s="3032"/>
      <c r="J286" s="3032">
        <f>J274</f>
        <v>108.67</v>
      </c>
      <c r="K286" s="3032">
        <f t="shared" si="2"/>
        <v>109.87999999999998</v>
      </c>
      <c r="L286" s="3032">
        <f t="shared" si="16"/>
        <v>218.54999999999998</v>
      </c>
      <c r="M286" s="3032">
        <f>J286+J287+J288+J289+J290+J291</f>
        <v>652.01</v>
      </c>
    </row>
    <row r="287" spans="1:13">
      <c r="A287" s="3032"/>
      <c r="B287" s="3032"/>
      <c r="C287" s="3034">
        <v>102</v>
      </c>
      <c r="D287" s="3032">
        <v>134.22999999999999</v>
      </c>
      <c r="E287" s="3032">
        <v>84.46</v>
      </c>
      <c r="F287" s="3032"/>
      <c r="G287" s="3032">
        <f t="shared" si="17"/>
        <v>218.69</v>
      </c>
      <c r="H287" s="3032"/>
      <c r="I287" s="3032"/>
      <c r="J287" s="3032">
        <f>J286</f>
        <v>108.67</v>
      </c>
      <c r="K287" s="3032">
        <f t="shared" si="2"/>
        <v>110.02</v>
      </c>
      <c r="L287" s="3032">
        <f t="shared" si="16"/>
        <v>218.69</v>
      </c>
      <c r="M287" s="3032"/>
    </row>
    <row r="288" spans="1:13">
      <c r="A288" s="3032"/>
      <c r="B288" s="3032"/>
      <c r="C288" s="3034">
        <v>103</v>
      </c>
      <c r="D288" s="3032">
        <v>134.43</v>
      </c>
      <c r="E288" s="3032">
        <v>84.73</v>
      </c>
      <c r="F288" s="3032"/>
      <c r="G288" s="3032">
        <f t="shared" si="17"/>
        <v>219.16000000000003</v>
      </c>
      <c r="H288" s="3032"/>
      <c r="I288" s="3032"/>
      <c r="J288" s="3032">
        <f>J286</f>
        <v>108.67</v>
      </c>
      <c r="K288" s="3032">
        <f t="shared" si="2"/>
        <v>110.49000000000002</v>
      </c>
      <c r="L288" s="3032">
        <f t="shared" si="16"/>
        <v>219.16000000000003</v>
      </c>
      <c r="M288" s="3032"/>
    </row>
    <row r="289" spans="1:13">
      <c r="A289" s="3032"/>
      <c r="B289" s="3032"/>
      <c r="C289" s="3034">
        <v>104</v>
      </c>
      <c r="D289" s="3032">
        <v>134.22999999999999</v>
      </c>
      <c r="E289" s="3032">
        <v>84.32</v>
      </c>
      <c r="F289" s="3032"/>
      <c r="G289" s="3032">
        <f t="shared" si="17"/>
        <v>218.54999999999998</v>
      </c>
      <c r="H289" s="3032"/>
      <c r="I289" s="3032"/>
      <c r="J289" s="3032">
        <f>J286</f>
        <v>108.67</v>
      </c>
      <c r="K289" s="3032">
        <f t="shared" si="2"/>
        <v>109.87999999999998</v>
      </c>
      <c r="L289" s="3032">
        <f t="shared" si="16"/>
        <v>218.54999999999998</v>
      </c>
      <c r="M289" s="3032"/>
    </row>
    <row r="290" spans="1:13">
      <c r="A290" s="3032"/>
      <c r="B290" s="3032"/>
      <c r="C290" s="3034">
        <v>105</v>
      </c>
      <c r="D290" s="3032">
        <v>134.22999999999999</v>
      </c>
      <c r="E290" s="3032">
        <v>84.46</v>
      </c>
      <c r="F290" s="3032"/>
      <c r="G290" s="3032">
        <f t="shared" si="17"/>
        <v>218.69</v>
      </c>
      <c r="H290" s="3032"/>
      <c r="I290" s="3032"/>
      <c r="J290" s="3032">
        <f>J286</f>
        <v>108.67</v>
      </c>
      <c r="K290" s="3032">
        <f t="shared" si="2"/>
        <v>110.02</v>
      </c>
      <c r="L290" s="3032">
        <f t="shared" si="16"/>
        <v>218.69</v>
      </c>
      <c r="M290" s="3032"/>
    </row>
    <row r="291" spans="1:13">
      <c r="A291" s="3032"/>
      <c r="B291" s="3032"/>
      <c r="C291" s="3034">
        <v>106</v>
      </c>
      <c r="D291" s="3032">
        <v>134.43</v>
      </c>
      <c r="E291" s="3032">
        <v>84.73</v>
      </c>
      <c r="F291" s="3032"/>
      <c r="G291" s="3032">
        <f t="shared" si="17"/>
        <v>219.16000000000003</v>
      </c>
      <c r="H291" s="3032"/>
      <c r="I291" s="3032"/>
      <c r="J291" s="3032">
        <f>J279</f>
        <v>108.66</v>
      </c>
      <c r="K291" s="3032">
        <f t="shared" si="2"/>
        <v>110.50000000000003</v>
      </c>
      <c r="L291" s="3032">
        <f t="shared" si="16"/>
        <v>219.16000000000003</v>
      </c>
      <c r="M291" s="3032"/>
    </row>
    <row r="292" spans="1:13">
      <c r="A292" s="3032" t="s">
        <v>3133</v>
      </c>
      <c r="B292" s="3032">
        <v>6</v>
      </c>
      <c r="C292" s="3034">
        <v>-201</v>
      </c>
      <c r="D292" s="3032"/>
      <c r="E292" s="3032">
        <v>83.44</v>
      </c>
      <c r="F292" s="3032"/>
      <c r="G292" s="3032">
        <f>SUM(D292:F292)</f>
        <v>83.44</v>
      </c>
      <c r="H292" s="3032">
        <f>SUM(G292:G303)</f>
        <v>1816.0399999999997</v>
      </c>
      <c r="I292" s="3032"/>
      <c r="J292" s="3032"/>
      <c r="K292" s="3032">
        <f t="shared" si="2"/>
        <v>83.44</v>
      </c>
      <c r="L292" s="3032">
        <f t="shared" si="16"/>
        <v>83.44</v>
      </c>
      <c r="M292" s="3032"/>
    </row>
    <row r="293" spans="1:13">
      <c r="A293" s="3032"/>
      <c r="B293" s="3032"/>
      <c r="C293" s="3034">
        <v>-202</v>
      </c>
      <c r="D293" s="3032"/>
      <c r="E293" s="3032">
        <v>84.16</v>
      </c>
      <c r="F293" s="3032"/>
      <c r="G293" s="3032">
        <f t="shared" ref="G293:G303" si="18">SUM(D293:F293)</f>
        <v>84.16</v>
      </c>
      <c r="H293" s="3032"/>
      <c r="I293" s="3032"/>
      <c r="J293" s="3032"/>
      <c r="K293" s="3032">
        <f t="shared" si="2"/>
        <v>84.16</v>
      </c>
      <c r="L293" s="3032">
        <f t="shared" si="16"/>
        <v>84.16</v>
      </c>
      <c r="M293" s="3032"/>
    </row>
    <row r="294" spans="1:13">
      <c r="A294" s="3032"/>
      <c r="B294" s="3032"/>
      <c r="C294" s="3034">
        <v>-203</v>
      </c>
      <c r="D294" s="3032"/>
      <c r="E294" s="3032">
        <v>84.16</v>
      </c>
      <c r="F294" s="3032"/>
      <c r="G294" s="3032">
        <f t="shared" si="18"/>
        <v>84.16</v>
      </c>
      <c r="H294" s="3032"/>
      <c r="I294" s="3032"/>
      <c r="J294" s="3032"/>
      <c r="K294" s="3032">
        <f t="shared" si="2"/>
        <v>84.16</v>
      </c>
      <c r="L294" s="3032">
        <f t="shared" si="16"/>
        <v>84.16</v>
      </c>
      <c r="M294" s="3032"/>
    </row>
    <row r="295" spans="1:13">
      <c r="A295" s="3032"/>
      <c r="B295" s="3032"/>
      <c r="C295" s="3034">
        <v>-204</v>
      </c>
      <c r="D295" s="3032"/>
      <c r="E295" s="3032">
        <v>83.44</v>
      </c>
      <c r="F295" s="3032"/>
      <c r="G295" s="3032">
        <f t="shared" si="18"/>
        <v>83.44</v>
      </c>
      <c r="H295" s="3032"/>
      <c r="I295" s="3032"/>
      <c r="J295" s="3032"/>
      <c r="K295" s="3032">
        <f t="shared" si="2"/>
        <v>83.44</v>
      </c>
      <c r="L295" s="3032">
        <f t="shared" si="16"/>
        <v>83.44</v>
      </c>
      <c r="M295" s="3032"/>
    </row>
    <row r="296" spans="1:13">
      <c r="A296" s="3032"/>
      <c r="B296" s="3032"/>
      <c r="C296" s="3034">
        <v>-205</v>
      </c>
      <c r="D296" s="3032"/>
      <c r="E296" s="3032">
        <v>84.16</v>
      </c>
      <c r="F296" s="3032"/>
      <c r="G296" s="3032">
        <f t="shared" si="18"/>
        <v>84.16</v>
      </c>
      <c r="H296" s="3032"/>
      <c r="I296" s="3032"/>
      <c r="J296" s="3032"/>
      <c r="K296" s="3032">
        <f t="shared" ref="K296:K359" si="19">G296-J296</f>
        <v>84.16</v>
      </c>
      <c r="L296" s="3032">
        <f t="shared" si="16"/>
        <v>84.16</v>
      </c>
      <c r="M296" s="3032"/>
    </row>
    <row r="297" spans="1:13">
      <c r="A297" s="3032"/>
      <c r="B297" s="3032"/>
      <c r="C297" s="3034">
        <v>-206</v>
      </c>
      <c r="D297" s="3032"/>
      <c r="E297" s="3032">
        <v>84.16</v>
      </c>
      <c r="F297" s="3032"/>
      <c r="G297" s="3032">
        <f t="shared" si="18"/>
        <v>84.16</v>
      </c>
      <c r="H297" s="3032"/>
      <c r="I297" s="3032"/>
      <c r="J297" s="3032"/>
      <c r="K297" s="3032">
        <f t="shared" si="19"/>
        <v>84.16</v>
      </c>
      <c r="L297" s="3032">
        <f t="shared" si="16"/>
        <v>84.16</v>
      </c>
      <c r="M297" s="3032"/>
    </row>
    <row r="298" spans="1:13">
      <c r="A298" s="3032"/>
      <c r="B298" s="3032"/>
      <c r="C298" s="3034">
        <v>101</v>
      </c>
      <c r="D298" s="3032">
        <v>134.19999999999999</v>
      </c>
      <c r="E298" s="3032">
        <v>84.31</v>
      </c>
      <c r="F298" s="3032"/>
      <c r="G298" s="3032">
        <f t="shared" si="18"/>
        <v>218.51</v>
      </c>
      <c r="H298" s="3032"/>
      <c r="I298" s="3032"/>
      <c r="J298" s="3032">
        <f>J286</f>
        <v>108.67</v>
      </c>
      <c r="K298" s="3032">
        <f t="shared" si="19"/>
        <v>109.83999999999999</v>
      </c>
      <c r="L298" s="3032">
        <f t="shared" si="16"/>
        <v>218.51</v>
      </c>
      <c r="M298" s="3032">
        <f>J298+J299+J300+J301+J302+J303</f>
        <v>652.01</v>
      </c>
    </row>
    <row r="299" spans="1:13">
      <c r="A299" s="3032"/>
      <c r="B299" s="3032"/>
      <c r="C299" s="3034">
        <v>102</v>
      </c>
      <c r="D299" s="3032">
        <v>134.19999999999999</v>
      </c>
      <c r="E299" s="3032">
        <v>84.44</v>
      </c>
      <c r="F299" s="3032"/>
      <c r="G299" s="3032">
        <f t="shared" si="18"/>
        <v>218.64</v>
      </c>
      <c r="H299" s="3032"/>
      <c r="I299" s="3032"/>
      <c r="J299" s="3032">
        <f>J298</f>
        <v>108.67</v>
      </c>
      <c r="K299" s="3032">
        <f t="shared" si="19"/>
        <v>109.96999999999998</v>
      </c>
      <c r="L299" s="3032">
        <f t="shared" si="16"/>
        <v>218.64</v>
      </c>
      <c r="M299" s="3032"/>
    </row>
    <row r="300" spans="1:13">
      <c r="A300" s="3032"/>
      <c r="B300" s="3032"/>
      <c r="C300" s="3034">
        <v>103</v>
      </c>
      <c r="D300" s="3032">
        <v>134.38999999999999</v>
      </c>
      <c r="E300" s="3032">
        <v>84.72</v>
      </c>
      <c r="F300" s="3032"/>
      <c r="G300" s="3032">
        <f t="shared" si="18"/>
        <v>219.10999999999999</v>
      </c>
      <c r="H300" s="3032"/>
      <c r="I300" s="3032"/>
      <c r="J300" s="3032">
        <f>J298</f>
        <v>108.67</v>
      </c>
      <c r="K300" s="3032">
        <f t="shared" si="19"/>
        <v>110.43999999999998</v>
      </c>
      <c r="L300" s="3032">
        <f t="shared" si="16"/>
        <v>219.10999999999999</v>
      </c>
      <c r="M300" s="3032"/>
    </row>
    <row r="301" spans="1:13">
      <c r="A301" s="3032"/>
      <c r="B301" s="3032"/>
      <c r="C301" s="3034">
        <v>104</v>
      </c>
      <c r="D301" s="3032">
        <v>134.19999999999999</v>
      </c>
      <c r="E301" s="3032">
        <v>84.31</v>
      </c>
      <c r="F301" s="3032"/>
      <c r="G301" s="3032">
        <f t="shared" si="18"/>
        <v>218.51</v>
      </c>
      <c r="H301" s="3032"/>
      <c r="I301" s="3032"/>
      <c r="J301" s="3032">
        <f>J298</f>
        <v>108.67</v>
      </c>
      <c r="K301" s="3032">
        <f t="shared" si="19"/>
        <v>109.83999999999999</v>
      </c>
      <c r="L301" s="3032">
        <f t="shared" si="16"/>
        <v>218.51</v>
      </c>
      <c r="M301" s="3032"/>
    </row>
    <row r="302" spans="1:13">
      <c r="A302" s="3032"/>
      <c r="B302" s="3032"/>
      <c r="C302" s="3034">
        <v>105</v>
      </c>
      <c r="D302" s="3032">
        <v>134.19999999999999</v>
      </c>
      <c r="E302" s="3032">
        <v>84.44</v>
      </c>
      <c r="F302" s="3032"/>
      <c r="G302" s="3032">
        <f t="shared" si="18"/>
        <v>218.64</v>
      </c>
      <c r="H302" s="3032"/>
      <c r="I302" s="3032"/>
      <c r="J302" s="3032">
        <f>J298</f>
        <v>108.67</v>
      </c>
      <c r="K302" s="3032">
        <f t="shared" si="19"/>
        <v>109.96999999999998</v>
      </c>
      <c r="L302" s="3032">
        <f t="shared" si="16"/>
        <v>218.64</v>
      </c>
      <c r="M302" s="3032"/>
    </row>
    <row r="303" spans="1:13">
      <c r="A303" s="3032"/>
      <c r="B303" s="3032"/>
      <c r="C303" s="3034">
        <v>106</v>
      </c>
      <c r="D303" s="3032">
        <v>134.38999999999999</v>
      </c>
      <c r="E303" s="3032">
        <v>84.72</v>
      </c>
      <c r="F303" s="3032"/>
      <c r="G303" s="3032">
        <f t="shared" si="18"/>
        <v>219.10999999999999</v>
      </c>
      <c r="H303" s="3032"/>
      <c r="I303" s="3032"/>
      <c r="J303" s="3032">
        <f>J291</f>
        <v>108.66</v>
      </c>
      <c r="K303" s="3032">
        <f t="shared" si="19"/>
        <v>110.44999999999999</v>
      </c>
      <c r="L303" s="3032">
        <f t="shared" si="16"/>
        <v>219.10999999999999</v>
      </c>
      <c r="M303" s="3032"/>
    </row>
    <row r="304" spans="1:13">
      <c r="A304" s="3032" t="s">
        <v>3134</v>
      </c>
      <c r="B304" s="3032">
        <v>5</v>
      </c>
      <c r="C304" s="3034">
        <v>-201</v>
      </c>
      <c r="D304" s="3032"/>
      <c r="E304" s="3032">
        <v>84.26</v>
      </c>
      <c r="F304" s="3032"/>
      <c r="G304" s="3032">
        <f>SUM(D304:F304)</f>
        <v>84.26</v>
      </c>
      <c r="H304" s="3032">
        <f>SUM(G304:G313)</f>
        <v>1525.08</v>
      </c>
      <c r="I304" s="3032"/>
      <c r="J304" s="3032"/>
      <c r="K304" s="3032">
        <f t="shared" si="19"/>
        <v>84.26</v>
      </c>
      <c r="L304" s="3032">
        <f t="shared" si="16"/>
        <v>84.26</v>
      </c>
      <c r="M304" s="3032"/>
    </row>
    <row r="305" spans="1:13">
      <c r="A305" s="3032"/>
      <c r="B305" s="3032"/>
      <c r="C305" s="3034">
        <v>-202</v>
      </c>
      <c r="D305" s="3032"/>
      <c r="E305" s="3032">
        <v>84.31</v>
      </c>
      <c r="F305" s="3032"/>
      <c r="G305" s="3032">
        <f t="shared" ref="G305:G313" si="20">SUM(D305:F305)</f>
        <v>84.31</v>
      </c>
      <c r="H305" s="3032"/>
      <c r="I305" s="3032"/>
      <c r="J305" s="3032"/>
      <c r="K305" s="3032">
        <f t="shared" si="19"/>
        <v>84.31</v>
      </c>
      <c r="L305" s="3032">
        <f t="shared" si="16"/>
        <v>84.31</v>
      </c>
      <c r="M305" s="3032"/>
    </row>
    <row r="306" spans="1:13">
      <c r="A306" s="3032"/>
      <c r="B306" s="3032"/>
      <c r="C306" s="3034">
        <v>-203</v>
      </c>
      <c r="D306" s="3032"/>
      <c r="E306" s="3032">
        <v>84.31</v>
      </c>
      <c r="F306" s="3032"/>
      <c r="G306" s="3032">
        <f t="shared" si="20"/>
        <v>84.31</v>
      </c>
      <c r="H306" s="3032"/>
      <c r="I306" s="3032"/>
      <c r="J306" s="3032"/>
      <c r="K306" s="3032">
        <f t="shared" si="19"/>
        <v>84.31</v>
      </c>
      <c r="L306" s="3032">
        <f t="shared" si="16"/>
        <v>84.31</v>
      </c>
      <c r="M306" s="3032"/>
    </row>
    <row r="307" spans="1:13">
      <c r="A307" s="3032"/>
      <c r="B307" s="3032"/>
      <c r="C307" s="3034">
        <v>-204</v>
      </c>
      <c r="D307" s="3032"/>
      <c r="E307" s="3032">
        <v>84.31</v>
      </c>
      <c r="F307" s="3032"/>
      <c r="G307" s="3032">
        <f t="shared" si="20"/>
        <v>84.31</v>
      </c>
      <c r="H307" s="3032"/>
      <c r="I307" s="3032"/>
      <c r="J307" s="3032"/>
      <c r="K307" s="3032">
        <f t="shared" si="19"/>
        <v>84.31</v>
      </c>
      <c r="L307" s="3032">
        <f t="shared" si="16"/>
        <v>84.31</v>
      </c>
      <c r="M307" s="3032"/>
    </row>
    <row r="308" spans="1:13">
      <c r="A308" s="3032"/>
      <c r="B308" s="3032"/>
      <c r="C308" s="3034">
        <v>-205</v>
      </c>
      <c r="D308" s="3032"/>
      <c r="E308" s="3032">
        <v>84.31</v>
      </c>
      <c r="F308" s="3032"/>
      <c r="G308" s="3032">
        <f t="shared" si="20"/>
        <v>84.31</v>
      </c>
      <c r="H308" s="3032"/>
      <c r="I308" s="3032"/>
      <c r="J308" s="3032"/>
      <c r="K308" s="3032">
        <f t="shared" si="19"/>
        <v>84.31</v>
      </c>
      <c r="L308" s="3032">
        <f t="shared" si="16"/>
        <v>84.31</v>
      </c>
      <c r="M308" s="3032"/>
    </row>
    <row r="309" spans="1:13">
      <c r="A309" s="3032"/>
      <c r="B309" s="3032"/>
      <c r="C309" s="3034">
        <v>101</v>
      </c>
      <c r="D309" s="3032">
        <v>136.66999999999999</v>
      </c>
      <c r="E309" s="3032">
        <v>85.49</v>
      </c>
      <c r="F309" s="3032"/>
      <c r="G309" s="3032">
        <f t="shared" si="20"/>
        <v>222.15999999999997</v>
      </c>
      <c r="H309" s="3032"/>
      <c r="I309" s="3032"/>
      <c r="J309" s="3032">
        <f>ROUND(547.61/5,2)</f>
        <v>109.52</v>
      </c>
      <c r="K309" s="3032">
        <f t="shared" si="19"/>
        <v>112.63999999999997</v>
      </c>
      <c r="L309" s="3032">
        <f t="shared" si="16"/>
        <v>222.15999999999997</v>
      </c>
      <c r="M309" s="3032">
        <f>J309+J310+J311+J312+J313</f>
        <v>547.61</v>
      </c>
    </row>
    <row r="310" spans="1:13">
      <c r="A310" s="3032"/>
      <c r="B310" s="3032"/>
      <c r="C310" s="3034">
        <v>102</v>
      </c>
      <c r="D310" s="3032">
        <v>135.05000000000001</v>
      </c>
      <c r="E310" s="3032">
        <v>85.04</v>
      </c>
      <c r="F310" s="3032"/>
      <c r="G310" s="3032">
        <f t="shared" si="20"/>
        <v>220.09000000000003</v>
      </c>
      <c r="H310" s="3032"/>
      <c r="I310" s="3032"/>
      <c r="J310" s="3032">
        <f>J309</f>
        <v>109.52</v>
      </c>
      <c r="K310" s="3032">
        <f t="shared" si="19"/>
        <v>110.57000000000004</v>
      </c>
      <c r="L310" s="3032">
        <f t="shared" si="16"/>
        <v>220.09000000000003</v>
      </c>
      <c r="M310" s="3032"/>
    </row>
    <row r="311" spans="1:13">
      <c r="A311" s="3032"/>
      <c r="B311" s="3032"/>
      <c r="C311" s="3034">
        <v>103</v>
      </c>
      <c r="D311" s="3032">
        <v>135.25</v>
      </c>
      <c r="E311" s="3032">
        <v>85.37</v>
      </c>
      <c r="F311" s="3032"/>
      <c r="G311" s="3032">
        <f t="shared" si="20"/>
        <v>220.62</v>
      </c>
      <c r="H311" s="3032"/>
      <c r="I311" s="3032"/>
      <c r="J311" s="3032">
        <f>J309</f>
        <v>109.52</v>
      </c>
      <c r="K311" s="3032">
        <f t="shared" si="19"/>
        <v>111.10000000000001</v>
      </c>
      <c r="L311" s="3032">
        <f t="shared" si="16"/>
        <v>220.62</v>
      </c>
      <c r="M311" s="3032"/>
    </row>
    <row r="312" spans="1:13">
      <c r="A312" s="3032"/>
      <c r="B312" s="3032"/>
      <c r="C312" s="3034">
        <v>104</v>
      </c>
      <c r="D312" s="3032">
        <v>135.05000000000001</v>
      </c>
      <c r="E312" s="3032">
        <v>85.04</v>
      </c>
      <c r="F312" s="3032"/>
      <c r="G312" s="3032">
        <f t="shared" si="20"/>
        <v>220.09000000000003</v>
      </c>
      <c r="H312" s="3032"/>
      <c r="I312" s="3032"/>
      <c r="J312" s="3032">
        <f>J309</f>
        <v>109.52</v>
      </c>
      <c r="K312" s="3032">
        <f t="shared" si="19"/>
        <v>110.57000000000004</v>
      </c>
      <c r="L312" s="3032">
        <f t="shared" si="16"/>
        <v>220.09000000000003</v>
      </c>
      <c r="M312" s="3032"/>
    </row>
    <row r="313" spans="1:13">
      <c r="A313" s="3032"/>
      <c r="B313" s="3032"/>
      <c r="C313" s="3034">
        <v>105</v>
      </c>
      <c r="D313" s="3032">
        <v>135.25</v>
      </c>
      <c r="E313" s="3032">
        <v>85.37</v>
      </c>
      <c r="F313" s="3032"/>
      <c r="G313" s="3032">
        <f t="shared" si="20"/>
        <v>220.62</v>
      </c>
      <c r="H313" s="3032"/>
      <c r="I313" s="3032"/>
      <c r="J313" s="3032">
        <f>547.61-J309-J310-J311-J312</f>
        <v>109.53000000000007</v>
      </c>
      <c r="K313" s="3032">
        <f t="shared" si="19"/>
        <v>111.08999999999993</v>
      </c>
      <c r="L313" s="3032">
        <f t="shared" si="16"/>
        <v>220.62</v>
      </c>
      <c r="M313" s="3032"/>
    </row>
    <row r="314" spans="1:13">
      <c r="A314" s="3032" t="s">
        <v>3135</v>
      </c>
      <c r="B314" s="3032">
        <v>5</v>
      </c>
      <c r="C314" s="3034">
        <v>-201</v>
      </c>
      <c r="D314" s="3032"/>
      <c r="E314" s="3032">
        <v>83.62</v>
      </c>
      <c r="F314" s="3032"/>
      <c r="G314" s="3032">
        <f>SUM(D314:F314)</f>
        <v>83.62</v>
      </c>
      <c r="H314" s="3032">
        <f>SUM(G314:G323)</f>
        <v>1523.29</v>
      </c>
      <c r="I314" s="3032"/>
      <c r="J314" s="3032"/>
      <c r="K314" s="3032">
        <f t="shared" si="19"/>
        <v>83.62</v>
      </c>
      <c r="L314" s="3032">
        <f t="shared" si="16"/>
        <v>83.62</v>
      </c>
      <c r="M314" s="3032"/>
    </row>
    <row r="315" spans="1:13">
      <c r="A315" s="3032"/>
      <c r="B315" s="3032"/>
      <c r="C315" s="3034">
        <v>-202</v>
      </c>
      <c r="D315" s="3032"/>
      <c r="E315" s="3032">
        <v>84.35</v>
      </c>
      <c r="F315" s="3032"/>
      <c r="G315" s="3032">
        <f t="shared" ref="G315:G323" si="21">SUM(D315:F315)</f>
        <v>84.35</v>
      </c>
      <c r="H315" s="3032"/>
      <c r="I315" s="3032"/>
      <c r="J315" s="3032"/>
      <c r="K315" s="3032">
        <f t="shared" si="19"/>
        <v>84.35</v>
      </c>
      <c r="L315" s="3032">
        <f t="shared" si="16"/>
        <v>84.35</v>
      </c>
      <c r="M315" s="3032"/>
    </row>
    <row r="316" spans="1:13">
      <c r="A316" s="3032"/>
      <c r="B316" s="3032"/>
      <c r="C316" s="3034">
        <v>-203</v>
      </c>
      <c r="D316" s="3032"/>
      <c r="E316" s="3032">
        <v>83.62</v>
      </c>
      <c r="F316" s="3032"/>
      <c r="G316" s="3032">
        <f t="shared" si="21"/>
        <v>83.62</v>
      </c>
      <c r="H316" s="3032"/>
      <c r="I316" s="3032"/>
      <c r="J316" s="3032"/>
      <c r="K316" s="3032">
        <f t="shared" si="19"/>
        <v>83.62</v>
      </c>
      <c r="L316" s="3032">
        <f t="shared" si="16"/>
        <v>83.62</v>
      </c>
      <c r="M316" s="3032"/>
    </row>
    <row r="317" spans="1:13">
      <c r="A317" s="3032"/>
      <c r="B317" s="3032"/>
      <c r="C317" s="3034">
        <v>-204</v>
      </c>
      <c r="D317" s="3032"/>
      <c r="E317" s="3032">
        <v>84.35</v>
      </c>
      <c r="F317" s="3032"/>
      <c r="G317" s="3032">
        <f t="shared" si="21"/>
        <v>84.35</v>
      </c>
      <c r="H317" s="3032"/>
      <c r="I317" s="3032"/>
      <c r="J317" s="3032"/>
      <c r="K317" s="3032">
        <f t="shared" si="19"/>
        <v>84.35</v>
      </c>
      <c r="L317" s="3032">
        <f t="shared" si="16"/>
        <v>84.35</v>
      </c>
      <c r="M317" s="3032"/>
    </row>
    <row r="318" spans="1:13">
      <c r="A318" s="3032"/>
      <c r="B318" s="3032"/>
      <c r="C318" s="3034">
        <v>-205</v>
      </c>
      <c r="D318" s="3032"/>
      <c r="E318" s="3032">
        <v>85.02</v>
      </c>
      <c r="F318" s="3032"/>
      <c r="G318" s="3032">
        <f t="shared" si="21"/>
        <v>85.02</v>
      </c>
      <c r="H318" s="3032"/>
      <c r="I318" s="3032"/>
      <c r="J318" s="3032"/>
      <c r="K318" s="3032">
        <f t="shared" si="19"/>
        <v>85.02</v>
      </c>
      <c r="L318" s="3032">
        <f t="shared" si="16"/>
        <v>85.02</v>
      </c>
      <c r="M318" s="3032"/>
    </row>
    <row r="319" spans="1:13">
      <c r="A319" s="3032"/>
      <c r="B319" s="3032"/>
      <c r="C319" s="3034">
        <v>101</v>
      </c>
      <c r="D319" s="3032">
        <v>134.91999999999999</v>
      </c>
      <c r="E319" s="3032">
        <v>84.82</v>
      </c>
      <c r="F319" s="3032"/>
      <c r="G319" s="3032">
        <f t="shared" si="21"/>
        <v>219.73999999999998</v>
      </c>
      <c r="H319" s="3032"/>
      <c r="I319" s="3032"/>
      <c r="J319" s="3032">
        <f>J309</f>
        <v>109.52</v>
      </c>
      <c r="K319" s="3032">
        <f t="shared" si="19"/>
        <v>110.21999999999998</v>
      </c>
      <c r="L319" s="3032">
        <f t="shared" si="16"/>
        <v>219.73999999999998</v>
      </c>
      <c r="M319" s="3032">
        <f>J319+J320+J321+J322+J323</f>
        <v>547.61</v>
      </c>
    </row>
    <row r="320" spans="1:13">
      <c r="A320" s="3032"/>
      <c r="B320" s="3032"/>
      <c r="C320" s="3034">
        <v>102</v>
      </c>
      <c r="D320" s="3032">
        <v>135.12</v>
      </c>
      <c r="E320" s="3032">
        <v>85.24</v>
      </c>
      <c r="F320" s="3032"/>
      <c r="G320" s="3032">
        <f t="shared" si="21"/>
        <v>220.36</v>
      </c>
      <c r="H320" s="3032"/>
      <c r="I320" s="3032"/>
      <c r="J320" s="3032">
        <f>J319</f>
        <v>109.52</v>
      </c>
      <c r="K320" s="3032">
        <f t="shared" si="19"/>
        <v>110.84000000000002</v>
      </c>
      <c r="L320" s="3032">
        <f t="shared" si="16"/>
        <v>220.36</v>
      </c>
      <c r="M320" s="3032"/>
    </row>
    <row r="321" spans="1:13">
      <c r="A321" s="3032"/>
      <c r="B321" s="3032"/>
      <c r="C321" s="3034">
        <v>103</v>
      </c>
      <c r="D321" s="3032">
        <v>134.91999999999999</v>
      </c>
      <c r="E321" s="3032">
        <v>84.82</v>
      </c>
      <c r="F321" s="3032"/>
      <c r="G321" s="3032">
        <f t="shared" si="21"/>
        <v>219.73999999999998</v>
      </c>
      <c r="H321" s="3032"/>
      <c r="I321" s="3032"/>
      <c r="J321" s="3032">
        <f>J319</f>
        <v>109.52</v>
      </c>
      <c r="K321" s="3032">
        <f t="shared" si="19"/>
        <v>110.21999999999998</v>
      </c>
      <c r="L321" s="3032">
        <f t="shared" si="16"/>
        <v>219.73999999999998</v>
      </c>
      <c r="M321" s="3032"/>
    </row>
    <row r="322" spans="1:13">
      <c r="A322" s="3032"/>
      <c r="B322" s="3032"/>
      <c r="C322" s="3034">
        <v>104</v>
      </c>
      <c r="D322" s="3032">
        <v>134.91999999999999</v>
      </c>
      <c r="E322" s="3032">
        <v>84.95</v>
      </c>
      <c r="F322" s="3032"/>
      <c r="G322" s="3032">
        <f t="shared" si="21"/>
        <v>219.87</v>
      </c>
      <c r="H322" s="3032"/>
      <c r="I322" s="3032"/>
      <c r="J322" s="3032">
        <f>J319</f>
        <v>109.52</v>
      </c>
      <c r="K322" s="3032">
        <f t="shared" si="19"/>
        <v>110.35000000000001</v>
      </c>
      <c r="L322" s="3032">
        <f t="shared" si="16"/>
        <v>219.87</v>
      </c>
      <c r="M322" s="3032"/>
    </row>
    <row r="323" spans="1:13">
      <c r="A323" s="3032"/>
      <c r="B323" s="3032"/>
      <c r="C323" s="3034">
        <v>105</v>
      </c>
      <c r="D323" s="3032">
        <v>136.74</v>
      </c>
      <c r="E323" s="3032">
        <v>85.88</v>
      </c>
      <c r="F323" s="3032"/>
      <c r="G323" s="3032">
        <f t="shared" si="21"/>
        <v>222.62</v>
      </c>
      <c r="H323" s="3032"/>
      <c r="I323" s="3032"/>
      <c r="J323" s="3032">
        <f>J313</f>
        <v>109.53000000000007</v>
      </c>
      <c r="K323" s="3032">
        <f t="shared" si="19"/>
        <v>113.08999999999993</v>
      </c>
      <c r="L323" s="3032">
        <f t="shared" si="16"/>
        <v>222.62</v>
      </c>
      <c r="M323" s="3032"/>
    </row>
    <row r="324" spans="1:13">
      <c r="A324" s="3032" t="s">
        <v>3136</v>
      </c>
      <c r="B324" s="3032">
        <v>6</v>
      </c>
      <c r="C324" s="3034">
        <v>-201</v>
      </c>
      <c r="D324" s="3032"/>
      <c r="E324" s="3032">
        <v>83.43</v>
      </c>
      <c r="F324" s="3032"/>
      <c r="G324" s="3032">
        <f>SUM(D324:F324)</f>
        <v>83.43</v>
      </c>
      <c r="H324" s="3032">
        <f>SUM(G324:G335)</f>
        <v>1815.6799999999998</v>
      </c>
      <c r="I324" s="3032"/>
      <c r="J324" s="3032"/>
      <c r="K324" s="3032">
        <f t="shared" si="19"/>
        <v>83.43</v>
      </c>
      <c r="L324" s="3032">
        <f t="shared" si="16"/>
        <v>83.43</v>
      </c>
      <c r="M324" s="3032"/>
    </row>
    <row r="325" spans="1:13">
      <c r="A325" s="3032"/>
      <c r="B325" s="3032"/>
      <c r="C325" s="3034">
        <v>-202</v>
      </c>
      <c r="D325" s="3032"/>
      <c r="E325" s="3032">
        <v>84.15</v>
      </c>
      <c r="F325" s="3032"/>
      <c r="G325" s="3032">
        <f t="shared" ref="G325:G335" si="22">SUM(D325:F325)</f>
        <v>84.15</v>
      </c>
      <c r="H325" s="3032"/>
      <c r="I325" s="3032"/>
      <c r="J325" s="3032"/>
      <c r="K325" s="3032">
        <f t="shared" si="19"/>
        <v>84.15</v>
      </c>
      <c r="L325" s="3032">
        <f t="shared" si="16"/>
        <v>84.15</v>
      </c>
      <c r="M325" s="3032"/>
    </row>
    <row r="326" spans="1:13">
      <c r="A326" s="3032"/>
      <c r="B326" s="3032"/>
      <c r="C326" s="3034">
        <v>-203</v>
      </c>
      <c r="D326" s="3032"/>
      <c r="E326" s="3032">
        <v>84.15</v>
      </c>
      <c r="F326" s="3032"/>
      <c r="G326" s="3032">
        <f t="shared" si="22"/>
        <v>84.15</v>
      </c>
      <c r="H326" s="3032"/>
      <c r="I326" s="3032"/>
      <c r="J326" s="3032"/>
      <c r="K326" s="3032">
        <f t="shared" si="19"/>
        <v>84.15</v>
      </c>
      <c r="L326" s="3032">
        <f t="shared" si="16"/>
        <v>84.15</v>
      </c>
      <c r="M326" s="3032"/>
    </row>
    <row r="327" spans="1:13">
      <c r="A327" s="3032"/>
      <c r="B327" s="3032"/>
      <c r="C327" s="3034">
        <v>-204</v>
      </c>
      <c r="D327" s="3032"/>
      <c r="E327" s="3032">
        <v>83.43</v>
      </c>
      <c r="F327" s="3032"/>
      <c r="G327" s="3032">
        <f t="shared" si="22"/>
        <v>83.43</v>
      </c>
      <c r="H327" s="3032"/>
      <c r="I327" s="3032"/>
      <c r="J327" s="3032"/>
      <c r="K327" s="3032">
        <f t="shared" si="19"/>
        <v>83.43</v>
      </c>
      <c r="L327" s="3032">
        <f t="shared" si="16"/>
        <v>83.43</v>
      </c>
      <c r="M327" s="3032"/>
    </row>
    <row r="328" spans="1:13">
      <c r="A328" s="3032"/>
      <c r="B328" s="3032"/>
      <c r="C328" s="3034">
        <v>-205</v>
      </c>
      <c r="D328" s="3032"/>
      <c r="E328" s="3032">
        <v>84.15</v>
      </c>
      <c r="F328" s="3032"/>
      <c r="G328" s="3032">
        <f t="shared" si="22"/>
        <v>84.15</v>
      </c>
      <c r="H328" s="3032"/>
      <c r="I328" s="3032"/>
      <c r="J328" s="3032"/>
      <c r="K328" s="3032">
        <f t="shared" si="19"/>
        <v>84.15</v>
      </c>
      <c r="L328" s="3032">
        <f t="shared" si="16"/>
        <v>84.15</v>
      </c>
      <c r="M328" s="3032"/>
    </row>
    <row r="329" spans="1:13">
      <c r="A329" s="3032"/>
      <c r="B329" s="3032"/>
      <c r="C329" s="3034">
        <v>-206</v>
      </c>
      <c r="D329" s="3032"/>
      <c r="E329" s="3032">
        <v>84.15</v>
      </c>
      <c r="F329" s="3032"/>
      <c r="G329" s="3032">
        <f t="shared" si="22"/>
        <v>84.15</v>
      </c>
      <c r="H329" s="3032"/>
      <c r="I329" s="3032"/>
      <c r="J329" s="3032"/>
      <c r="K329" s="3032">
        <f t="shared" si="19"/>
        <v>84.15</v>
      </c>
      <c r="L329" s="3032">
        <f t="shared" si="16"/>
        <v>84.15</v>
      </c>
      <c r="M329" s="3032"/>
    </row>
    <row r="330" spans="1:13">
      <c r="A330" s="3032"/>
      <c r="B330" s="3032"/>
      <c r="C330" s="3034">
        <v>101</v>
      </c>
      <c r="D330" s="3032">
        <v>134.18</v>
      </c>
      <c r="E330" s="3032">
        <v>84.28</v>
      </c>
      <c r="F330" s="3032"/>
      <c r="G330" s="3032">
        <f t="shared" si="22"/>
        <v>218.46</v>
      </c>
      <c r="H330" s="3032"/>
      <c r="I330" s="3032"/>
      <c r="J330" s="3032">
        <f>J298</f>
        <v>108.67</v>
      </c>
      <c r="K330" s="3032">
        <f t="shared" si="19"/>
        <v>109.79</v>
      </c>
      <c r="L330" s="3032">
        <f t="shared" si="16"/>
        <v>218.46</v>
      </c>
      <c r="M330" s="3032">
        <f>J330+J331+J332+J333+J334+J335</f>
        <v>652.01</v>
      </c>
    </row>
    <row r="331" spans="1:13">
      <c r="A331" s="3032"/>
      <c r="B331" s="3032"/>
      <c r="C331" s="3034">
        <v>102</v>
      </c>
      <c r="D331" s="3032">
        <v>134.16999999999999</v>
      </c>
      <c r="E331" s="3032">
        <v>84.42</v>
      </c>
      <c r="F331" s="3032"/>
      <c r="G331" s="3032">
        <f t="shared" si="22"/>
        <v>218.58999999999997</v>
      </c>
      <c r="H331" s="3032"/>
      <c r="I331" s="3032"/>
      <c r="J331" s="3032">
        <f>J330</f>
        <v>108.67</v>
      </c>
      <c r="K331" s="3032">
        <f t="shared" si="19"/>
        <v>109.91999999999997</v>
      </c>
      <c r="L331" s="3032">
        <f t="shared" si="16"/>
        <v>218.58999999999997</v>
      </c>
      <c r="M331" s="3032"/>
    </row>
    <row r="332" spans="1:13">
      <c r="A332" s="3032"/>
      <c r="B332" s="3032"/>
      <c r="C332" s="3034">
        <v>103</v>
      </c>
      <c r="D332" s="3032">
        <v>134.36000000000001</v>
      </c>
      <c r="E332" s="3032">
        <v>84.7</v>
      </c>
      <c r="F332" s="3032"/>
      <c r="G332" s="3032">
        <f t="shared" si="22"/>
        <v>219.06</v>
      </c>
      <c r="H332" s="3032"/>
      <c r="I332" s="3032"/>
      <c r="J332" s="3032">
        <f>J330</f>
        <v>108.67</v>
      </c>
      <c r="K332" s="3032">
        <f t="shared" si="19"/>
        <v>110.39</v>
      </c>
      <c r="L332" s="3032">
        <f t="shared" si="16"/>
        <v>219.06</v>
      </c>
      <c r="M332" s="3032"/>
    </row>
    <row r="333" spans="1:13">
      <c r="A333" s="3032"/>
      <c r="B333" s="3032"/>
      <c r="C333" s="3034">
        <v>104</v>
      </c>
      <c r="D333" s="3032">
        <v>134.18</v>
      </c>
      <c r="E333" s="3032">
        <v>84.28</v>
      </c>
      <c r="F333" s="3032"/>
      <c r="G333" s="3032">
        <f t="shared" si="22"/>
        <v>218.46</v>
      </c>
      <c r="H333" s="3032"/>
      <c r="I333" s="3032"/>
      <c r="J333" s="3032">
        <f>J330</f>
        <v>108.67</v>
      </c>
      <c r="K333" s="3032">
        <f t="shared" si="19"/>
        <v>109.79</v>
      </c>
      <c r="L333" s="3032">
        <f t="shared" si="16"/>
        <v>218.46</v>
      </c>
      <c r="M333" s="3032"/>
    </row>
    <row r="334" spans="1:13">
      <c r="A334" s="3032"/>
      <c r="B334" s="3032"/>
      <c r="C334" s="3034">
        <v>105</v>
      </c>
      <c r="D334" s="3032">
        <v>134.16999999999999</v>
      </c>
      <c r="E334" s="3032">
        <v>84.42</v>
      </c>
      <c r="F334" s="3032"/>
      <c r="G334" s="3032">
        <f t="shared" si="22"/>
        <v>218.58999999999997</v>
      </c>
      <c r="H334" s="3032"/>
      <c r="I334" s="3032"/>
      <c r="J334" s="3032">
        <f>J330</f>
        <v>108.67</v>
      </c>
      <c r="K334" s="3032">
        <f t="shared" si="19"/>
        <v>109.91999999999997</v>
      </c>
      <c r="L334" s="3032">
        <f t="shared" ref="L334:L397" si="23">J334+K334</f>
        <v>218.58999999999997</v>
      </c>
      <c r="M334" s="3032"/>
    </row>
    <row r="335" spans="1:13">
      <c r="A335" s="3032"/>
      <c r="B335" s="3032"/>
      <c r="C335" s="3034">
        <v>106</v>
      </c>
      <c r="D335" s="3032">
        <v>134.36000000000001</v>
      </c>
      <c r="E335" s="3032">
        <v>84.7</v>
      </c>
      <c r="F335" s="3032"/>
      <c r="G335" s="3032">
        <f t="shared" si="22"/>
        <v>219.06</v>
      </c>
      <c r="H335" s="3032"/>
      <c r="I335" s="3032"/>
      <c r="J335" s="3032">
        <f>J303</f>
        <v>108.66</v>
      </c>
      <c r="K335" s="3032">
        <f t="shared" si="19"/>
        <v>110.4</v>
      </c>
      <c r="L335" s="3032">
        <f t="shared" si="23"/>
        <v>219.06</v>
      </c>
      <c r="M335" s="3032"/>
    </row>
    <row r="336" spans="1:13">
      <c r="A336" s="3032" t="s">
        <v>3137</v>
      </c>
      <c r="B336" s="3032">
        <v>6</v>
      </c>
      <c r="C336" s="3034">
        <v>-201</v>
      </c>
      <c r="D336" s="3032"/>
      <c r="E336" s="3032">
        <v>83.43</v>
      </c>
      <c r="F336" s="3032"/>
      <c r="G336" s="3032">
        <f>SUM(D336:F336)</f>
        <v>83.43</v>
      </c>
      <c r="H336" s="3032">
        <f>SUM(G336:G347)</f>
        <v>1815.6799999999998</v>
      </c>
      <c r="I336" s="3032"/>
      <c r="J336" s="3032"/>
      <c r="K336" s="3032">
        <f t="shared" si="19"/>
        <v>83.43</v>
      </c>
      <c r="L336" s="3032">
        <f t="shared" si="23"/>
        <v>83.43</v>
      </c>
      <c r="M336" s="3032"/>
    </row>
    <row r="337" spans="1:13">
      <c r="A337" s="3032"/>
      <c r="B337" s="3032"/>
      <c r="C337" s="3034">
        <v>-202</v>
      </c>
      <c r="D337" s="3032"/>
      <c r="E337" s="3032">
        <v>84.15</v>
      </c>
      <c r="F337" s="3032"/>
      <c r="G337" s="3032">
        <f>SUM(D337:F337)</f>
        <v>84.15</v>
      </c>
      <c r="H337" s="3032"/>
      <c r="I337" s="3032"/>
      <c r="J337" s="3032"/>
      <c r="K337" s="3032">
        <f t="shared" si="19"/>
        <v>84.15</v>
      </c>
      <c r="L337" s="3032">
        <f t="shared" si="23"/>
        <v>84.15</v>
      </c>
      <c r="M337" s="3032"/>
    </row>
    <row r="338" spans="1:13">
      <c r="A338" s="3032"/>
      <c r="B338" s="3032"/>
      <c r="C338" s="3034">
        <v>-203</v>
      </c>
      <c r="D338" s="3032"/>
      <c r="E338" s="3032">
        <v>84.15</v>
      </c>
      <c r="F338" s="3032"/>
      <c r="G338" s="3032">
        <f t="shared" ref="G338:G347" si="24">SUM(D338:F338)</f>
        <v>84.15</v>
      </c>
      <c r="H338" s="3032"/>
      <c r="I338" s="3032"/>
      <c r="J338" s="3032"/>
      <c r="K338" s="3032">
        <f t="shared" si="19"/>
        <v>84.15</v>
      </c>
      <c r="L338" s="3032">
        <f t="shared" si="23"/>
        <v>84.15</v>
      </c>
      <c r="M338" s="3032"/>
    </row>
    <row r="339" spans="1:13">
      <c r="A339" s="3032"/>
      <c r="B339" s="3032"/>
      <c r="C339" s="3034">
        <v>-204</v>
      </c>
      <c r="D339" s="3032"/>
      <c r="E339" s="3032">
        <v>83.43</v>
      </c>
      <c r="F339" s="3032"/>
      <c r="G339" s="3032">
        <f t="shared" si="24"/>
        <v>83.43</v>
      </c>
      <c r="H339" s="3032"/>
      <c r="I339" s="3032"/>
      <c r="J339" s="3032"/>
      <c r="K339" s="3032">
        <f t="shared" si="19"/>
        <v>83.43</v>
      </c>
      <c r="L339" s="3032">
        <f t="shared" si="23"/>
        <v>83.43</v>
      </c>
      <c r="M339" s="3032"/>
    </row>
    <row r="340" spans="1:13">
      <c r="A340" s="3032"/>
      <c r="B340" s="3032"/>
      <c r="C340" s="3034">
        <v>-205</v>
      </c>
      <c r="D340" s="3032"/>
      <c r="E340" s="3032">
        <v>84.15</v>
      </c>
      <c r="F340" s="3032"/>
      <c r="G340" s="3032">
        <f t="shared" si="24"/>
        <v>84.15</v>
      </c>
      <c r="H340" s="3032"/>
      <c r="I340" s="3032"/>
      <c r="J340" s="3032"/>
      <c r="K340" s="3032">
        <f t="shared" si="19"/>
        <v>84.15</v>
      </c>
      <c r="L340" s="3032">
        <f t="shared" si="23"/>
        <v>84.15</v>
      </c>
      <c r="M340" s="3032"/>
    </row>
    <row r="341" spans="1:13">
      <c r="A341" s="3032"/>
      <c r="B341" s="3032"/>
      <c r="C341" s="3034">
        <v>-206</v>
      </c>
      <c r="D341" s="3032"/>
      <c r="E341" s="3032">
        <v>84.15</v>
      </c>
      <c r="F341" s="3032"/>
      <c r="G341" s="3032">
        <f t="shared" si="24"/>
        <v>84.15</v>
      </c>
      <c r="H341" s="3032"/>
      <c r="I341" s="3032"/>
      <c r="J341" s="3032"/>
      <c r="K341" s="3032">
        <f t="shared" si="19"/>
        <v>84.15</v>
      </c>
      <c r="L341" s="3032">
        <f t="shared" si="23"/>
        <v>84.15</v>
      </c>
      <c r="M341" s="3032"/>
    </row>
    <row r="342" spans="1:13">
      <c r="A342" s="3032"/>
      <c r="B342" s="3032"/>
      <c r="C342" s="3034">
        <v>101</v>
      </c>
      <c r="D342" s="3032">
        <v>134.18</v>
      </c>
      <c r="E342" s="3032">
        <v>84.28</v>
      </c>
      <c r="F342" s="3032"/>
      <c r="G342" s="3032">
        <f t="shared" si="24"/>
        <v>218.46</v>
      </c>
      <c r="H342" s="3032"/>
      <c r="I342" s="3032"/>
      <c r="J342" s="3032">
        <f>J330</f>
        <v>108.67</v>
      </c>
      <c r="K342" s="3032">
        <f t="shared" si="19"/>
        <v>109.79</v>
      </c>
      <c r="L342" s="3032">
        <f t="shared" si="23"/>
        <v>218.46</v>
      </c>
      <c r="M342" s="3032">
        <f>J342+J343+J344+J345+J346+J347</f>
        <v>652.01</v>
      </c>
    </row>
    <row r="343" spans="1:13">
      <c r="A343" s="3032"/>
      <c r="B343" s="3032"/>
      <c r="C343" s="3034">
        <v>102</v>
      </c>
      <c r="D343" s="3032">
        <v>134.16999999999999</v>
      </c>
      <c r="E343" s="3032">
        <v>84.42</v>
      </c>
      <c r="F343" s="3032"/>
      <c r="G343" s="3032">
        <f t="shared" si="24"/>
        <v>218.58999999999997</v>
      </c>
      <c r="H343" s="3032"/>
      <c r="I343" s="3032"/>
      <c r="J343" s="3032">
        <f>J342</f>
        <v>108.67</v>
      </c>
      <c r="K343" s="3032">
        <f t="shared" si="19"/>
        <v>109.91999999999997</v>
      </c>
      <c r="L343" s="3032">
        <f t="shared" si="23"/>
        <v>218.58999999999997</v>
      </c>
      <c r="M343" s="3032"/>
    </row>
    <row r="344" spans="1:13">
      <c r="A344" s="3032"/>
      <c r="B344" s="3032"/>
      <c r="C344" s="3034">
        <v>103</v>
      </c>
      <c r="D344" s="3032">
        <v>134.36000000000001</v>
      </c>
      <c r="E344" s="3032">
        <v>84.7</v>
      </c>
      <c r="F344" s="3032"/>
      <c r="G344" s="3032">
        <f t="shared" si="24"/>
        <v>219.06</v>
      </c>
      <c r="H344" s="3032"/>
      <c r="I344" s="3032"/>
      <c r="J344" s="3032">
        <f>J342</f>
        <v>108.67</v>
      </c>
      <c r="K344" s="3032">
        <f t="shared" si="19"/>
        <v>110.39</v>
      </c>
      <c r="L344" s="3032">
        <f t="shared" si="23"/>
        <v>219.06</v>
      </c>
      <c r="M344" s="3032"/>
    </row>
    <row r="345" spans="1:13">
      <c r="A345" s="3032"/>
      <c r="B345" s="3032"/>
      <c r="C345" s="3034">
        <v>104</v>
      </c>
      <c r="D345" s="3032">
        <v>134.18</v>
      </c>
      <c r="E345" s="3032">
        <v>84.28</v>
      </c>
      <c r="F345" s="3032"/>
      <c r="G345" s="3032">
        <f t="shared" si="24"/>
        <v>218.46</v>
      </c>
      <c r="H345" s="3032"/>
      <c r="I345" s="3032"/>
      <c r="J345" s="3032">
        <f>J342</f>
        <v>108.67</v>
      </c>
      <c r="K345" s="3032">
        <f t="shared" si="19"/>
        <v>109.79</v>
      </c>
      <c r="L345" s="3032">
        <f t="shared" si="23"/>
        <v>218.46</v>
      </c>
      <c r="M345" s="3032"/>
    </row>
    <row r="346" spans="1:13">
      <c r="A346" s="3032"/>
      <c r="B346" s="3032"/>
      <c r="C346" s="3034">
        <v>105</v>
      </c>
      <c r="D346" s="3032">
        <v>134.16999999999999</v>
      </c>
      <c r="E346" s="3032">
        <v>84.42</v>
      </c>
      <c r="F346" s="3032"/>
      <c r="G346" s="3032">
        <f t="shared" si="24"/>
        <v>218.58999999999997</v>
      </c>
      <c r="H346" s="3032"/>
      <c r="I346" s="3032"/>
      <c r="J346" s="3032">
        <f>J342</f>
        <v>108.67</v>
      </c>
      <c r="K346" s="3032">
        <f t="shared" si="19"/>
        <v>109.91999999999997</v>
      </c>
      <c r="L346" s="3032">
        <f t="shared" si="23"/>
        <v>218.58999999999997</v>
      </c>
      <c r="M346" s="3032"/>
    </row>
    <row r="347" spans="1:13">
      <c r="A347" s="3032"/>
      <c r="B347" s="3032"/>
      <c r="C347" s="3034">
        <v>106</v>
      </c>
      <c r="D347" s="3032">
        <v>134.36000000000001</v>
      </c>
      <c r="E347" s="3032">
        <v>84.7</v>
      </c>
      <c r="F347" s="3032"/>
      <c r="G347" s="3032">
        <f t="shared" si="24"/>
        <v>219.06</v>
      </c>
      <c r="H347" s="3032"/>
      <c r="I347" s="3032"/>
      <c r="J347" s="3032">
        <f>J335</f>
        <v>108.66</v>
      </c>
      <c r="K347" s="3032">
        <f t="shared" si="19"/>
        <v>110.4</v>
      </c>
      <c r="L347" s="3032">
        <f t="shared" si="23"/>
        <v>219.06</v>
      </c>
      <c r="M347" s="3032"/>
    </row>
    <row r="348" spans="1:13">
      <c r="A348" s="3032" t="s">
        <v>3138</v>
      </c>
      <c r="B348" s="3032">
        <v>6</v>
      </c>
      <c r="C348" s="3034">
        <v>-201</v>
      </c>
      <c r="D348" s="3032"/>
      <c r="E348" s="3032">
        <v>83.46</v>
      </c>
      <c r="F348" s="3032"/>
      <c r="G348" s="3032">
        <f>SUM(D348:F348)</f>
        <v>83.46</v>
      </c>
      <c r="H348" s="3032">
        <f>SUM(G348:G359)</f>
        <v>1817.5199999999998</v>
      </c>
      <c r="I348" s="3032"/>
      <c r="J348" s="3032"/>
      <c r="K348" s="3032">
        <f t="shared" si="19"/>
        <v>83.46</v>
      </c>
      <c r="L348" s="3032">
        <f t="shared" si="23"/>
        <v>83.46</v>
      </c>
      <c r="M348" s="3032"/>
    </row>
    <row r="349" spans="1:13">
      <c r="A349" s="3032"/>
      <c r="B349" s="3032"/>
      <c r="C349" s="3034">
        <v>-202</v>
      </c>
      <c r="D349" s="3032"/>
      <c r="E349" s="3032">
        <v>84.18</v>
      </c>
      <c r="F349" s="3032"/>
      <c r="G349" s="3032">
        <f t="shared" ref="G349:G359" si="25">SUM(D349:F349)</f>
        <v>84.18</v>
      </c>
      <c r="H349" s="3032"/>
      <c r="I349" s="3032"/>
      <c r="J349" s="3032"/>
      <c r="K349" s="3032">
        <f t="shared" si="19"/>
        <v>84.18</v>
      </c>
      <c r="L349" s="3032">
        <f t="shared" si="23"/>
        <v>84.18</v>
      </c>
      <c r="M349" s="3032"/>
    </row>
    <row r="350" spans="1:13">
      <c r="A350" s="3032"/>
      <c r="B350" s="3032"/>
      <c r="C350" s="3034">
        <v>-203</v>
      </c>
      <c r="D350" s="3032"/>
      <c r="E350" s="3032">
        <v>84.18</v>
      </c>
      <c r="F350" s="3032"/>
      <c r="G350" s="3032">
        <f t="shared" si="25"/>
        <v>84.18</v>
      </c>
      <c r="H350" s="3032"/>
      <c r="I350" s="3032"/>
      <c r="J350" s="3032"/>
      <c r="K350" s="3032">
        <f t="shared" si="19"/>
        <v>84.18</v>
      </c>
      <c r="L350" s="3032">
        <f t="shared" si="23"/>
        <v>84.18</v>
      </c>
      <c r="M350" s="3032"/>
    </row>
    <row r="351" spans="1:13">
      <c r="A351" s="3032"/>
      <c r="B351" s="3032"/>
      <c r="C351" s="3034">
        <v>-204</v>
      </c>
      <c r="D351" s="3032"/>
      <c r="E351" s="3032">
        <v>83.46</v>
      </c>
      <c r="F351" s="3032"/>
      <c r="G351" s="3032">
        <f t="shared" si="25"/>
        <v>83.46</v>
      </c>
      <c r="H351" s="3032"/>
      <c r="I351" s="3032"/>
      <c r="J351" s="3032"/>
      <c r="K351" s="3032">
        <f t="shared" si="19"/>
        <v>83.46</v>
      </c>
      <c r="L351" s="3032">
        <f t="shared" si="23"/>
        <v>83.46</v>
      </c>
      <c r="M351" s="3032"/>
    </row>
    <row r="352" spans="1:13">
      <c r="A352" s="3032"/>
      <c r="B352" s="3032"/>
      <c r="C352" s="3034">
        <v>-205</v>
      </c>
      <c r="D352" s="3032"/>
      <c r="E352" s="3032">
        <v>84.18</v>
      </c>
      <c r="F352" s="3032"/>
      <c r="G352" s="3032">
        <f t="shared" si="25"/>
        <v>84.18</v>
      </c>
      <c r="H352" s="3032"/>
      <c r="I352" s="3032"/>
      <c r="J352" s="3032"/>
      <c r="K352" s="3032">
        <f t="shared" si="19"/>
        <v>84.18</v>
      </c>
      <c r="L352" s="3032">
        <f t="shared" si="23"/>
        <v>84.18</v>
      </c>
      <c r="M352" s="3032"/>
    </row>
    <row r="353" spans="1:13">
      <c r="A353" s="3032"/>
      <c r="B353" s="3032"/>
      <c r="C353" s="3034">
        <v>-206</v>
      </c>
      <c r="D353" s="3032"/>
      <c r="E353" s="3032">
        <v>84.18</v>
      </c>
      <c r="F353" s="3032"/>
      <c r="G353" s="3032">
        <f t="shared" si="25"/>
        <v>84.18</v>
      </c>
      <c r="H353" s="3032"/>
      <c r="I353" s="3032"/>
      <c r="J353" s="3032"/>
      <c r="K353" s="3032">
        <f t="shared" si="19"/>
        <v>84.18</v>
      </c>
      <c r="L353" s="3032">
        <f t="shared" si="23"/>
        <v>84.18</v>
      </c>
      <c r="M353" s="3032"/>
    </row>
    <row r="354" spans="1:13">
      <c r="A354" s="3032"/>
      <c r="B354" s="3032"/>
      <c r="C354" s="3034">
        <v>101</v>
      </c>
      <c r="D354" s="3032">
        <v>134.34</v>
      </c>
      <c r="E354" s="3032">
        <v>84.39</v>
      </c>
      <c r="F354" s="3032"/>
      <c r="G354" s="3032">
        <f t="shared" si="25"/>
        <v>218.73000000000002</v>
      </c>
      <c r="H354" s="3032"/>
      <c r="I354" s="3032"/>
      <c r="J354" s="3032">
        <f>J342</f>
        <v>108.67</v>
      </c>
      <c r="K354" s="3032">
        <f t="shared" si="19"/>
        <v>110.06000000000002</v>
      </c>
      <c r="L354" s="3032">
        <f t="shared" si="23"/>
        <v>218.73000000000002</v>
      </c>
      <c r="M354" s="3032">
        <f>J354+J355+J356+J357+J358+J359</f>
        <v>652.01</v>
      </c>
    </row>
    <row r="355" spans="1:13">
      <c r="A355" s="3032"/>
      <c r="B355" s="3032"/>
      <c r="C355" s="3034">
        <v>102</v>
      </c>
      <c r="D355" s="3032">
        <v>134.34</v>
      </c>
      <c r="E355" s="3032">
        <v>84.53</v>
      </c>
      <c r="F355" s="3032"/>
      <c r="G355" s="3032">
        <f t="shared" si="25"/>
        <v>218.87</v>
      </c>
      <c r="H355" s="3032"/>
      <c r="I355" s="3032"/>
      <c r="J355" s="3032">
        <f>J354</f>
        <v>108.67</v>
      </c>
      <c r="K355" s="3032">
        <f t="shared" si="19"/>
        <v>110.2</v>
      </c>
      <c r="L355" s="3032">
        <f t="shared" si="23"/>
        <v>218.87</v>
      </c>
      <c r="M355" s="3032"/>
    </row>
    <row r="356" spans="1:13">
      <c r="A356" s="3032"/>
      <c r="B356" s="3032"/>
      <c r="C356" s="3034">
        <v>103</v>
      </c>
      <c r="D356" s="3032">
        <v>134.54</v>
      </c>
      <c r="E356" s="3032">
        <v>84.8</v>
      </c>
      <c r="F356" s="3032"/>
      <c r="G356" s="3032">
        <f t="shared" si="25"/>
        <v>219.33999999999997</v>
      </c>
      <c r="H356" s="3032"/>
      <c r="I356" s="3032"/>
      <c r="J356" s="3032">
        <f>J354</f>
        <v>108.67</v>
      </c>
      <c r="K356" s="3032">
        <f t="shared" si="19"/>
        <v>110.66999999999997</v>
      </c>
      <c r="L356" s="3032">
        <f t="shared" si="23"/>
        <v>219.33999999999997</v>
      </c>
      <c r="M356" s="3032"/>
    </row>
    <row r="357" spans="1:13">
      <c r="A357" s="3032"/>
      <c r="B357" s="3032"/>
      <c r="C357" s="3034">
        <v>104</v>
      </c>
      <c r="D357" s="3032">
        <v>134.34</v>
      </c>
      <c r="E357" s="3032">
        <v>84.39</v>
      </c>
      <c r="F357" s="3032"/>
      <c r="G357" s="3032">
        <f t="shared" si="25"/>
        <v>218.73000000000002</v>
      </c>
      <c r="H357" s="3032"/>
      <c r="I357" s="3032"/>
      <c r="J357" s="3032">
        <f>J354</f>
        <v>108.67</v>
      </c>
      <c r="K357" s="3032">
        <f t="shared" si="19"/>
        <v>110.06000000000002</v>
      </c>
      <c r="L357" s="3032">
        <f t="shared" si="23"/>
        <v>218.73000000000002</v>
      </c>
      <c r="M357" s="3032"/>
    </row>
    <row r="358" spans="1:13">
      <c r="A358" s="3032"/>
      <c r="B358" s="3032"/>
      <c r="C358" s="3034">
        <v>105</v>
      </c>
      <c r="D358" s="3032">
        <v>134.34</v>
      </c>
      <c r="E358" s="3032">
        <v>84.53</v>
      </c>
      <c r="F358" s="3032"/>
      <c r="G358" s="3032">
        <f t="shared" si="25"/>
        <v>218.87</v>
      </c>
      <c r="H358" s="3032"/>
      <c r="I358" s="3032"/>
      <c r="J358" s="3032">
        <f>J354</f>
        <v>108.67</v>
      </c>
      <c r="K358" s="3032">
        <f t="shared" si="19"/>
        <v>110.2</v>
      </c>
      <c r="L358" s="3032">
        <f t="shared" si="23"/>
        <v>218.87</v>
      </c>
      <c r="M358" s="3032"/>
    </row>
    <row r="359" spans="1:13">
      <c r="A359" s="3032"/>
      <c r="B359" s="3032"/>
      <c r="C359" s="3034">
        <v>106</v>
      </c>
      <c r="D359" s="3032">
        <v>134.54</v>
      </c>
      <c r="E359" s="3032">
        <v>84.8</v>
      </c>
      <c r="F359" s="3032"/>
      <c r="G359" s="3032">
        <f t="shared" si="25"/>
        <v>219.33999999999997</v>
      </c>
      <c r="H359" s="3032"/>
      <c r="I359" s="3032"/>
      <c r="J359" s="3032">
        <f>J347</f>
        <v>108.66</v>
      </c>
      <c r="K359" s="3032">
        <f t="shared" si="19"/>
        <v>110.67999999999998</v>
      </c>
      <c r="L359" s="3032">
        <f t="shared" si="23"/>
        <v>219.33999999999997</v>
      </c>
      <c r="M359" s="3032"/>
    </row>
    <row r="360" spans="1:13">
      <c r="A360" s="3032" t="s">
        <v>3139</v>
      </c>
      <c r="B360" s="3032">
        <v>5</v>
      </c>
      <c r="C360" s="3034">
        <v>-201</v>
      </c>
      <c r="D360" s="3032"/>
      <c r="E360" s="3032">
        <v>84.29</v>
      </c>
      <c r="F360" s="3032"/>
      <c r="G360" s="3032">
        <f>SUM(D360:F360)</f>
        <v>84.29</v>
      </c>
      <c r="H360" s="3032">
        <f>SUM(G360:G369)</f>
        <v>1524.39</v>
      </c>
      <c r="I360" s="3032"/>
      <c r="J360" s="3032"/>
      <c r="K360" s="3032">
        <f t="shared" ref="K360:K617" si="26">G360-J360</f>
        <v>84.29</v>
      </c>
      <c r="L360" s="3032">
        <f t="shared" si="23"/>
        <v>84.29</v>
      </c>
      <c r="M360" s="3032"/>
    </row>
    <row r="361" spans="1:13">
      <c r="A361" s="3032"/>
      <c r="B361" s="3032"/>
      <c r="C361" s="3034">
        <v>-202</v>
      </c>
      <c r="D361" s="3032"/>
      <c r="E361" s="3032">
        <v>84.29</v>
      </c>
      <c r="F361" s="3032"/>
      <c r="G361" s="3032">
        <f t="shared" ref="G361:G368" si="27">SUM(D361:F361)</f>
        <v>84.29</v>
      </c>
      <c r="H361" s="3032"/>
      <c r="I361" s="3032"/>
      <c r="J361" s="3032"/>
      <c r="K361" s="3032">
        <f t="shared" si="26"/>
        <v>84.29</v>
      </c>
      <c r="L361" s="3032">
        <f t="shared" si="23"/>
        <v>84.29</v>
      </c>
      <c r="M361" s="3032"/>
    </row>
    <row r="362" spans="1:13">
      <c r="A362" s="3032"/>
      <c r="B362" s="3032"/>
      <c r="C362" s="3034">
        <v>-203</v>
      </c>
      <c r="D362" s="3032"/>
      <c r="E362" s="3032">
        <v>84.25</v>
      </c>
      <c r="F362" s="3032"/>
      <c r="G362" s="3032">
        <f t="shared" si="27"/>
        <v>84.25</v>
      </c>
      <c r="H362" s="3032"/>
      <c r="I362" s="3032"/>
      <c r="J362" s="3032"/>
      <c r="K362" s="3032">
        <f t="shared" si="26"/>
        <v>84.25</v>
      </c>
      <c r="L362" s="3032">
        <f t="shared" si="23"/>
        <v>84.25</v>
      </c>
      <c r="M362" s="3032"/>
    </row>
    <row r="363" spans="1:13">
      <c r="A363" s="3032"/>
      <c r="B363" s="3032"/>
      <c r="C363" s="3034">
        <v>-204</v>
      </c>
      <c r="D363" s="3032"/>
      <c r="E363" s="3032">
        <v>84.29</v>
      </c>
      <c r="F363" s="3032"/>
      <c r="G363" s="3032">
        <f t="shared" si="27"/>
        <v>84.29</v>
      </c>
      <c r="H363" s="3032"/>
      <c r="I363" s="3032"/>
      <c r="J363" s="3032"/>
      <c r="K363" s="3032">
        <f t="shared" si="26"/>
        <v>84.29</v>
      </c>
      <c r="L363" s="3032">
        <f t="shared" si="23"/>
        <v>84.29</v>
      </c>
      <c r="M363" s="3032"/>
    </row>
    <row r="364" spans="1:13">
      <c r="A364" s="3032"/>
      <c r="B364" s="3032"/>
      <c r="C364" s="3034">
        <v>-205</v>
      </c>
      <c r="D364" s="3032"/>
      <c r="E364" s="3032">
        <v>84.29</v>
      </c>
      <c r="F364" s="3032"/>
      <c r="G364" s="3032">
        <f t="shared" si="27"/>
        <v>84.29</v>
      </c>
      <c r="H364" s="3032"/>
      <c r="I364" s="3032"/>
      <c r="J364" s="3032"/>
      <c r="K364" s="3032">
        <f t="shared" si="26"/>
        <v>84.29</v>
      </c>
      <c r="L364" s="3032">
        <f t="shared" si="23"/>
        <v>84.29</v>
      </c>
      <c r="M364" s="3032"/>
    </row>
    <row r="365" spans="1:13">
      <c r="A365" s="3032"/>
      <c r="B365" s="3032"/>
      <c r="C365" s="3034">
        <v>101</v>
      </c>
      <c r="D365" s="3032">
        <v>134.97999999999999</v>
      </c>
      <c r="E365" s="3032">
        <v>84.99</v>
      </c>
      <c r="F365" s="3032"/>
      <c r="G365" s="3032">
        <f t="shared" si="27"/>
        <v>219.96999999999997</v>
      </c>
      <c r="H365" s="3032"/>
      <c r="I365" s="3032"/>
      <c r="J365" s="3032">
        <f>J319</f>
        <v>109.52</v>
      </c>
      <c r="K365" s="3032">
        <f t="shared" si="26"/>
        <v>110.44999999999997</v>
      </c>
      <c r="L365" s="3032">
        <f t="shared" si="23"/>
        <v>219.96999999999997</v>
      </c>
      <c r="M365" s="3032">
        <f>J365+J366+J367+J368+J369</f>
        <v>547.61</v>
      </c>
    </row>
    <row r="366" spans="1:13">
      <c r="A366" s="3032"/>
      <c r="B366" s="3032"/>
      <c r="C366" s="3034">
        <v>102</v>
      </c>
      <c r="D366" s="3032">
        <v>135.18</v>
      </c>
      <c r="E366" s="3032">
        <v>85.32</v>
      </c>
      <c r="F366" s="3032"/>
      <c r="G366" s="3032">
        <f t="shared" si="27"/>
        <v>220.5</v>
      </c>
      <c r="H366" s="3032"/>
      <c r="I366" s="3032"/>
      <c r="J366" s="3032">
        <f>J365</f>
        <v>109.52</v>
      </c>
      <c r="K366" s="3032">
        <f t="shared" si="26"/>
        <v>110.98</v>
      </c>
      <c r="L366" s="3032">
        <f t="shared" si="23"/>
        <v>220.5</v>
      </c>
      <c r="M366" s="3032"/>
    </row>
    <row r="367" spans="1:13">
      <c r="A367" s="3032"/>
      <c r="B367" s="3032"/>
      <c r="C367" s="3034">
        <v>103</v>
      </c>
      <c r="D367" s="3032">
        <v>136.6</v>
      </c>
      <c r="E367" s="3032">
        <v>85.44</v>
      </c>
      <c r="F367" s="3032"/>
      <c r="G367" s="3032">
        <f t="shared" si="27"/>
        <v>222.04</v>
      </c>
      <c r="H367" s="3032"/>
      <c r="I367" s="3032"/>
      <c r="J367" s="3032">
        <f>J365</f>
        <v>109.52</v>
      </c>
      <c r="K367" s="3032">
        <f t="shared" si="26"/>
        <v>112.52</v>
      </c>
      <c r="L367" s="3032">
        <f t="shared" si="23"/>
        <v>222.04</v>
      </c>
      <c r="M367" s="3032"/>
    </row>
    <row r="368" spans="1:13">
      <c r="A368" s="3032"/>
      <c r="B368" s="3032"/>
      <c r="C368" s="3034">
        <v>104</v>
      </c>
      <c r="D368" s="3032">
        <v>134.97999999999999</v>
      </c>
      <c r="E368" s="3032">
        <v>84.99</v>
      </c>
      <c r="F368" s="3032"/>
      <c r="G368" s="3032">
        <f t="shared" si="27"/>
        <v>219.96999999999997</v>
      </c>
      <c r="H368" s="3032"/>
      <c r="I368" s="3032"/>
      <c r="J368" s="3032">
        <f>J365</f>
        <v>109.52</v>
      </c>
      <c r="K368" s="3032">
        <f t="shared" si="26"/>
        <v>110.44999999999997</v>
      </c>
      <c r="L368" s="3032">
        <f t="shared" si="23"/>
        <v>219.96999999999997</v>
      </c>
      <c r="M368" s="3032"/>
    </row>
    <row r="369" spans="1:13">
      <c r="A369" s="3032"/>
      <c r="B369" s="3032"/>
      <c r="C369" s="3034">
        <v>105</v>
      </c>
      <c r="D369" s="3032">
        <v>135.18</v>
      </c>
      <c r="E369" s="3032">
        <v>85.32</v>
      </c>
      <c r="F369" s="3032"/>
      <c r="G369" s="3032">
        <f>SUM(D369:F369)</f>
        <v>220.5</v>
      </c>
      <c r="H369" s="3032"/>
      <c r="I369" s="3032"/>
      <c r="J369" s="3032">
        <f>J323</f>
        <v>109.53000000000007</v>
      </c>
      <c r="K369" s="3032">
        <f t="shared" si="26"/>
        <v>110.96999999999993</v>
      </c>
      <c r="L369" s="3032">
        <f t="shared" si="23"/>
        <v>220.5</v>
      </c>
      <c r="M369" s="3032"/>
    </row>
    <row r="370" spans="1:13">
      <c r="A370" s="3032" t="s">
        <v>3140</v>
      </c>
      <c r="B370" s="3032">
        <v>6</v>
      </c>
      <c r="C370" s="3034">
        <v>-201</v>
      </c>
      <c r="D370" s="3032"/>
      <c r="E370" s="3032">
        <v>83.44</v>
      </c>
      <c r="F370" s="3032"/>
      <c r="G370" s="3032">
        <f>SUM(D370:F370)</f>
        <v>83.44</v>
      </c>
      <c r="H370" s="3032">
        <f>SUM(G370:G381)</f>
        <v>1816.3200000000002</v>
      </c>
      <c r="I370" s="3032"/>
      <c r="J370" s="3032"/>
      <c r="K370" s="3032">
        <f t="shared" si="26"/>
        <v>83.44</v>
      </c>
      <c r="L370" s="3032">
        <f t="shared" si="23"/>
        <v>83.44</v>
      </c>
      <c r="M370" s="3032"/>
    </row>
    <row r="371" spans="1:13">
      <c r="A371" s="3032"/>
      <c r="B371" s="3032"/>
      <c r="C371" s="3034">
        <v>-202</v>
      </c>
      <c r="D371" s="3032"/>
      <c r="E371" s="3032">
        <v>84.16</v>
      </c>
      <c r="F371" s="3032"/>
      <c r="G371" s="3032">
        <f t="shared" ref="G371:G381" si="28">SUM(D371:F371)</f>
        <v>84.16</v>
      </c>
      <c r="H371" s="3032"/>
      <c r="I371" s="3032"/>
      <c r="J371" s="3032"/>
      <c r="K371" s="3032">
        <f t="shared" si="26"/>
        <v>84.16</v>
      </c>
      <c r="L371" s="3032">
        <f t="shared" si="23"/>
        <v>84.16</v>
      </c>
      <c r="M371" s="3032"/>
    </row>
    <row r="372" spans="1:13">
      <c r="A372" s="3032"/>
      <c r="B372" s="3032"/>
      <c r="C372" s="3034">
        <v>-203</v>
      </c>
      <c r="D372" s="3032"/>
      <c r="E372" s="3032">
        <v>84.16</v>
      </c>
      <c r="F372" s="3032"/>
      <c r="G372" s="3032">
        <f t="shared" si="28"/>
        <v>84.16</v>
      </c>
      <c r="H372" s="3032"/>
      <c r="I372" s="3032"/>
      <c r="J372" s="3032"/>
      <c r="K372" s="3032">
        <f t="shared" si="26"/>
        <v>84.16</v>
      </c>
      <c r="L372" s="3032">
        <f t="shared" si="23"/>
        <v>84.16</v>
      </c>
      <c r="M372" s="3032"/>
    </row>
    <row r="373" spans="1:13">
      <c r="A373" s="3032"/>
      <c r="B373" s="3032"/>
      <c r="C373" s="3034">
        <v>-204</v>
      </c>
      <c r="D373" s="3032"/>
      <c r="E373" s="3032">
        <v>83.44</v>
      </c>
      <c r="F373" s="3032"/>
      <c r="G373" s="3032">
        <f t="shared" si="28"/>
        <v>83.44</v>
      </c>
      <c r="H373" s="3032"/>
      <c r="I373" s="3032"/>
      <c r="J373" s="3032"/>
      <c r="K373" s="3032">
        <f t="shared" si="26"/>
        <v>83.44</v>
      </c>
      <c r="L373" s="3032">
        <f t="shared" si="23"/>
        <v>83.44</v>
      </c>
      <c r="M373" s="3032"/>
    </row>
    <row r="374" spans="1:13">
      <c r="A374" s="3032"/>
      <c r="B374" s="3032"/>
      <c r="C374" s="3034">
        <v>-205</v>
      </c>
      <c r="D374" s="3032"/>
      <c r="E374" s="3032">
        <v>84.16</v>
      </c>
      <c r="F374" s="3032"/>
      <c r="G374" s="3032">
        <f t="shared" si="28"/>
        <v>84.16</v>
      </c>
      <c r="H374" s="3032"/>
      <c r="I374" s="3032"/>
      <c r="J374" s="3032"/>
      <c r="K374" s="3032">
        <f t="shared" si="26"/>
        <v>84.16</v>
      </c>
      <c r="L374" s="3032">
        <f t="shared" si="23"/>
        <v>84.16</v>
      </c>
      <c r="M374" s="3032"/>
    </row>
    <row r="375" spans="1:13">
      <c r="A375" s="3032"/>
      <c r="B375" s="3032"/>
      <c r="C375" s="3034">
        <v>-206</v>
      </c>
      <c r="D375" s="3032"/>
      <c r="E375" s="3032">
        <v>84.16</v>
      </c>
      <c r="F375" s="3032"/>
      <c r="G375" s="3032">
        <f t="shared" si="28"/>
        <v>84.16</v>
      </c>
      <c r="H375" s="3032"/>
      <c r="I375" s="3032"/>
      <c r="J375" s="3032"/>
      <c r="K375" s="3032">
        <f t="shared" si="26"/>
        <v>84.16</v>
      </c>
      <c r="L375" s="3032">
        <f t="shared" si="23"/>
        <v>84.16</v>
      </c>
      <c r="M375" s="3032"/>
    </row>
    <row r="376" spans="1:13">
      <c r="A376" s="3032"/>
      <c r="B376" s="3032"/>
      <c r="C376" s="3034">
        <v>101</v>
      </c>
      <c r="D376" s="3032">
        <v>134.22999999999999</v>
      </c>
      <c r="E376" s="3032">
        <v>84.32</v>
      </c>
      <c r="F376" s="3032"/>
      <c r="G376" s="3032">
        <f t="shared" si="28"/>
        <v>218.54999999999998</v>
      </c>
      <c r="H376" s="3032"/>
      <c r="I376" s="3032"/>
      <c r="J376" s="3032">
        <f>J354</f>
        <v>108.67</v>
      </c>
      <c r="K376" s="3032">
        <f t="shared" si="26"/>
        <v>109.87999999999998</v>
      </c>
      <c r="L376" s="3032">
        <f t="shared" si="23"/>
        <v>218.54999999999998</v>
      </c>
      <c r="M376" s="3032">
        <f>J376+J377+J378+J379+J380+J381</f>
        <v>652.01</v>
      </c>
    </row>
    <row r="377" spans="1:13">
      <c r="A377" s="3032"/>
      <c r="B377" s="3032"/>
      <c r="C377" s="3034">
        <v>102</v>
      </c>
      <c r="D377" s="3032">
        <v>134.22999999999999</v>
      </c>
      <c r="E377" s="3032">
        <v>84.46</v>
      </c>
      <c r="F377" s="3032"/>
      <c r="G377" s="3032">
        <f t="shared" si="28"/>
        <v>218.69</v>
      </c>
      <c r="H377" s="3032"/>
      <c r="I377" s="3032"/>
      <c r="J377" s="3032">
        <f>J376</f>
        <v>108.67</v>
      </c>
      <c r="K377" s="3032">
        <f t="shared" si="26"/>
        <v>110.02</v>
      </c>
      <c r="L377" s="3032">
        <f t="shared" si="23"/>
        <v>218.69</v>
      </c>
      <c r="M377" s="3032"/>
    </row>
    <row r="378" spans="1:13">
      <c r="A378" s="3032"/>
      <c r="B378" s="3032"/>
      <c r="C378" s="3034">
        <v>103</v>
      </c>
      <c r="D378" s="3032">
        <v>134.43</v>
      </c>
      <c r="E378" s="3032">
        <v>84.73</v>
      </c>
      <c r="F378" s="3032"/>
      <c r="G378" s="3032">
        <f t="shared" si="28"/>
        <v>219.16000000000003</v>
      </c>
      <c r="H378" s="3032"/>
      <c r="I378" s="3032"/>
      <c r="J378" s="3032">
        <f>J376</f>
        <v>108.67</v>
      </c>
      <c r="K378" s="3032">
        <f t="shared" si="26"/>
        <v>110.49000000000002</v>
      </c>
      <c r="L378" s="3032">
        <f t="shared" si="23"/>
        <v>219.16000000000003</v>
      </c>
      <c r="M378" s="3032"/>
    </row>
    <row r="379" spans="1:13">
      <c r="A379" s="3032"/>
      <c r="B379" s="3032"/>
      <c r="C379" s="3034">
        <v>104</v>
      </c>
      <c r="D379" s="3032">
        <v>134.22999999999999</v>
      </c>
      <c r="E379" s="3032">
        <v>84.32</v>
      </c>
      <c r="F379" s="3032"/>
      <c r="G379" s="3032">
        <f t="shared" si="28"/>
        <v>218.54999999999998</v>
      </c>
      <c r="H379" s="3032"/>
      <c r="I379" s="3032"/>
      <c r="J379" s="3032">
        <f>J376</f>
        <v>108.67</v>
      </c>
      <c r="K379" s="3032">
        <f t="shared" si="26"/>
        <v>109.87999999999998</v>
      </c>
      <c r="L379" s="3032">
        <f t="shared" si="23"/>
        <v>218.54999999999998</v>
      </c>
      <c r="M379" s="3032"/>
    </row>
    <row r="380" spans="1:13">
      <c r="A380" s="3032"/>
      <c r="B380" s="3032"/>
      <c r="C380" s="3034">
        <v>105</v>
      </c>
      <c r="D380" s="3032">
        <v>134.22999999999999</v>
      </c>
      <c r="E380" s="3032">
        <v>84.46</v>
      </c>
      <c r="F380" s="3032"/>
      <c r="G380" s="3032">
        <f t="shared" si="28"/>
        <v>218.69</v>
      </c>
      <c r="H380" s="3032"/>
      <c r="I380" s="3032"/>
      <c r="J380" s="3032">
        <f>J376</f>
        <v>108.67</v>
      </c>
      <c r="K380" s="3032">
        <f t="shared" si="26"/>
        <v>110.02</v>
      </c>
      <c r="L380" s="3032">
        <f t="shared" si="23"/>
        <v>218.69</v>
      </c>
      <c r="M380" s="3032"/>
    </row>
    <row r="381" spans="1:13">
      <c r="A381" s="3032"/>
      <c r="B381" s="3032"/>
      <c r="C381" s="3034">
        <v>106</v>
      </c>
      <c r="D381" s="3032">
        <v>134.43</v>
      </c>
      <c r="E381" s="3032">
        <v>84.73</v>
      </c>
      <c r="F381" s="3032"/>
      <c r="G381" s="3032">
        <f t="shared" si="28"/>
        <v>219.16000000000003</v>
      </c>
      <c r="H381" s="3032"/>
      <c r="I381" s="3032"/>
      <c r="J381" s="3032">
        <f>J359</f>
        <v>108.66</v>
      </c>
      <c r="K381" s="3032">
        <f t="shared" si="26"/>
        <v>110.50000000000003</v>
      </c>
      <c r="L381" s="3032">
        <f t="shared" si="23"/>
        <v>219.16000000000003</v>
      </c>
      <c r="M381" s="3032"/>
    </row>
    <row r="382" spans="1:13">
      <c r="A382" s="3032" t="s">
        <v>3141</v>
      </c>
      <c r="B382" s="3032">
        <v>6</v>
      </c>
      <c r="C382" s="3034">
        <v>-201</v>
      </c>
      <c r="D382" s="3032"/>
      <c r="E382" s="3032">
        <v>83.44</v>
      </c>
      <c r="F382" s="3032"/>
      <c r="G382" s="3032">
        <f>SUM(D382:F382)</f>
        <v>83.44</v>
      </c>
      <c r="H382" s="3032">
        <f>SUM(G382:G393)</f>
        <v>1816.3200000000002</v>
      </c>
      <c r="I382" s="3032"/>
      <c r="J382" s="3032"/>
      <c r="K382" s="3032">
        <f t="shared" si="26"/>
        <v>83.44</v>
      </c>
      <c r="L382" s="3032">
        <f t="shared" si="23"/>
        <v>83.44</v>
      </c>
      <c r="M382" s="3032"/>
    </row>
    <row r="383" spans="1:13">
      <c r="A383" s="3032"/>
      <c r="B383" s="3032"/>
      <c r="C383" s="3034">
        <v>-202</v>
      </c>
      <c r="D383" s="3032"/>
      <c r="E383" s="3032">
        <v>84.16</v>
      </c>
      <c r="F383" s="3032"/>
      <c r="G383" s="3032">
        <f t="shared" ref="G383:G390" si="29">SUM(D383:F383)</f>
        <v>84.16</v>
      </c>
      <c r="H383" s="3032"/>
      <c r="I383" s="3032"/>
      <c r="J383" s="3032"/>
      <c r="K383" s="3032">
        <f t="shared" si="26"/>
        <v>84.16</v>
      </c>
      <c r="L383" s="3032">
        <f t="shared" si="23"/>
        <v>84.16</v>
      </c>
      <c r="M383" s="3032"/>
    </row>
    <row r="384" spans="1:13">
      <c r="A384" s="3032"/>
      <c r="B384" s="3032"/>
      <c r="C384" s="3034">
        <v>-203</v>
      </c>
      <c r="D384" s="3032"/>
      <c r="E384" s="3032">
        <v>84.16</v>
      </c>
      <c r="F384" s="3032"/>
      <c r="G384" s="3032">
        <f t="shared" si="29"/>
        <v>84.16</v>
      </c>
      <c r="H384" s="3032"/>
      <c r="I384" s="3032"/>
      <c r="J384" s="3032"/>
      <c r="K384" s="3032">
        <f t="shared" si="26"/>
        <v>84.16</v>
      </c>
      <c r="L384" s="3032">
        <f t="shared" si="23"/>
        <v>84.16</v>
      </c>
      <c r="M384" s="3032"/>
    </row>
    <row r="385" spans="1:13">
      <c r="A385" s="3032"/>
      <c r="B385" s="3032"/>
      <c r="C385" s="3034">
        <v>-204</v>
      </c>
      <c r="D385" s="3032"/>
      <c r="E385" s="3032">
        <v>83.44</v>
      </c>
      <c r="F385" s="3032"/>
      <c r="G385" s="3032">
        <f t="shared" si="29"/>
        <v>83.44</v>
      </c>
      <c r="H385" s="3032"/>
      <c r="I385" s="3032"/>
      <c r="J385" s="3032"/>
      <c r="K385" s="3032">
        <f t="shared" si="26"/>
        <v>83.44</v>
      </c>
      <c r="L385" s="3032">
        <f t="shared" si="23"/>
        <v>83.44</v>
      </c>
      <c r="M385" s="3032"/>
    </row>
    <row r="386" spans="1:13">
      <c r="A386" s="3032"/>
      <c r="B386" s="3032"/>
      <c r="C386" s="3034">
        <v>-205</v>
      </c>
      <c r="D386" s="3032"/>
      <c r="E386" s="3032">
        <v>84.16</v>
      </c>
      <c r="F386" s="3032"/>
      <c r="G386" s="3032">
        <f t="shared" si="29"/>
        <v>84.16</v>
      </c>
      <c r="H386" s="3032"/>
      <c r="I386" s="3032"/>
      <c r="J386" s="3032"/>
      <c r="K386" s="3032">
        <f t="shared" si="26"/>
        <v>84.16</v>
      </c>
      <c r="L386" s="3032">
        <f t="shared" si="23"/>
        <v>84.16</v>
      </c>
      <c r="M386" s="3032"/>
    </row>
    <row r="387" spans="1:13">
      <c r="A387" s="3032"/>
      <c r="B387" s="3032"/>
      <c r="C387" s="3034">
        <v>-206</v>
      </c>
      <c r="D387" s="3032"/>
      <c r="E387" s="3032">
        <v>84.16</v>
      </c>
      <c r="F387" s="3032"/>
      <c r="G387" s="3032">
        <f t="shared" si="29"/>
        <v>84.16</v>
      </c>
      <c r="H387" s="3032"/>
      <c r="I387" s="3032"/>
      <c r="J387" s="3032"/>
      <c r="K387" s="3032">
        <f t="shared" si="26"/>
        <v>84.16</v>
      </c>
      <c r="L387" s="3032">
        <f t="shared" si="23"/>
        <v>84.16</v>
      </c>
      <c r="M387" s="3032"/>
    </row>
    <row r="388" spans="1:13">
      <c r="A388" s="3032"/>
      <c r="B388" s="3032"/>
      <c r="C388" s="3034">
        <v>101</v>
      </c>
      <c r="D388" s="3032">
        <v>134.22999999999999</v>
      </c>
      <c r="E388" s="3032">
        <v>84.32</v>
      </c>
      <c r="F388" s="3032"/>
      <c r="G388" s="3032">
        <f t="shared" si="29"/>
        <v>218.54999999999998</v>
      </c>
      <c r="H388" s="3032"/>
      <c r="I388" s="3032"/>
      <c r="J388" s="3032">
        <f>J376</f>
        <v>108.67</v>
      </c>
      <c r="K388" s="3032">
        <f t="shared" si="26"/>
        <v>109.87999999999998</v>
      </c>
      <c r="L388" s="3032">
        <f t="shared" si="23"/>
        <v>218.54999999999998</v>
      </c>
      <c r="M388" s="3032">
        <f>J388+J389+J390+J391+J392+J393</f>
        <v>652.01</v>
      </c>
    </row>
    <row r="389" spans="1:13">
      <c r="A389" s="3032"/>
      <c r="B389" s="3032"/>
      <c r="C389" s="3034">
        <v>102</v>
      </c>
      <c r="D389" s="3032">
        <v>134.22999999999999</v>
      </c>
      <c r="E389" s="3032">
        <v>84.46</v>
      </c>
      <c r="F389" s="3032"/>
      <c r="G389" s="3032">
        <f t="shared" si="29"/>
        <v>218.69</v>
      </c>
      <c r="H389" s="3032"/>
      <c r="I389" s="3032"/>
      <c r="J389" s="3032">
        <f>J388</f>
        <v>108.67</v>
      </c>
      <c r="K389" s="3032">
        <f t="shared" si="26"/>
        <v>110.02</v>
      </c>
      <c r="L389" s="3032">
        <f t="shared" si="23"/>
        <v>218.69</v>
      </c>
      <c r="M389" s="3032"/>
    </row>
    <row r="390" spans="1:13">
      <c r="A390" s="3032"/>
      <c r="B390" s="3032"/>
      <c r="C390" s="3034">
        <v>103</v>
      </c>
      <c r="D390" s="3032">
        <v>134.43</v>
      </c>
      <c r="E390" s="3032">
        <v>84.73</v>
      </c>
      <c r="F390" s="3032"/>
      <c r="G390" s="3032">
        <f t="shared" si="29"/>
        <v>219.16000000000003</v>
      </c>
      <c r="H390" s="3032"/>
      <c r="I390" s="3032"/>
      <c r="J390" s="3032">
        <f>J388</f>
        <v>108.67</v>
      </c>
      <c r="K390" s="3032">
        <f t="shared" si="26"/>
        <v>110.49000000000002</v>
      </c>
      <c r="L390" s="3032">
        <f t="shared" si="23"/>
        <v>219.16000000000003</v>
      </c>
      <c r="M390" s="3032"/>
    </row>
    <row r="391" spans="1:13">
      <c r="A391" s="3032"/>
      <c r="B391" s="3032"/>
      <c r="C391" s="3034">
        <v>104</v>
      </c>
      <c r="D391" s="3032">
        <v>134.22999999999999</v>
      </c>
      <c r="E391" s="3032">
        <v>84.32</v>
      </c>
      <c r="F391" s="3032"/>
      <c r="G391" s="3032">
        <f>SUM(D391:F391)</f>
        <v>218.54999999999998</v>
      </c>
      <c r="H391" s="3032"/>
      <c r="I391" s="3032"/>
      <c r="J391" s="3032">
        <f>J388</f>
        <v>108.67</v>
      </c>
      <c r="K391" s="3032">
        <f t="shared" si="26"/>
        <v>109.87999999999998</v>
      </c>
      <c r="L391" s="3032">
        <f t="shared" si="23"/>
        <v>218.54999999999998</v>
      </c>
      <c r="M391" s="3032"/>
    </row>
    <row r="392" spans="1:13">
      <c r="A392" s="3032"/>
      <c r="B392" s="3032"/>
      <c r="C392" s="3034">
        <v>105</v>
      </c>
      <c r="D392" s="3032">
        <v>134.22999999999999</v>
      </c>
      <c r="E392" s="3032">
        <v>84.46</v>
      </c>
      <c r="F392" s="3032"/>
      <c r="G392" s="3032">
        <f>SUM(D392:F392)</f>
        <v>218.69</v>
      </c>
      <c r="H392" s="3032"/>
      <c r="I392" s="3032"/>
      <c r="J392" s="3032">
        <f>J388</f>
        <v>108.67</v>
      </c>
      <c r="K392" s="3032">
        <f t="shared" si="26"/>
        <v>110.02</v>
      </c>
      <c r="L392" s="3032">
        <f t="shared" si="23"/>
        <v>218.69</v>
      </c>
      <c r="M392" s="3032"/>
    </row>
    <row r="393" spans="1:13">
      <c r="A393" s="3032"/>
      <c r="B393" s="3032"/>
      <c r="C393" s="3034">
        <v>106</v>
      </c>
      <c r="D393" s="3032">
        <v>134.43</v>
      </c>
      <c r="E393" s="3032">
        <v>84.73</v>
      </c>
      <c r="F393" s="3032"/>
      <c r="G393" s="3032">
        <f>SUM(D393:F393)</f>
        <v>219.16000000000003</v>
      </c>
      <c r="H393" s="3032"/>
      <c r="I393" s="3032"/>
      <c r="J393" s="3032">
        <f>J381</f>
        <v>108.66</v>
      </c>
      <c r="K393" s="3032">
        <f t="shared" si="26"/>
        <v>110.50000000000003</v>
      </c>
      <c r="L393" s="3032">
        <f t="shared" si="23"/>
        <v>219.16000000000003</v>
      </c>
      <c r="M393" s="3032"/>
    </row>
    <row r="394" spans="1:13">
      <c r="A394" s="3032" t="s">
        <v>3142</v>
      </c>
      <c r="B394" s="3032">
        <v>6</v>
      </c>
      <c r="C394" s="3034">
        <v>-201</v>
      </c>
      <c r="D394" s="3032"/>
      <c r="E394" s="3032">
        <v>83.45</v>
      </c>
      <c r="F394" s="3032"/>
      <c r="G394" s="3032">
        <f>SUM(D394:F394)</f>
        <v>83.45</v>
      </c>
      <c r="H394" s="3032">
        <f>SUM(G394:G405)</f>
        <v>1816.8799999999999</v>
      </c>
      <c r="I394" s="3032"/>
      <c r="J394" s="3032"/>
      <c r="K394" s="3032">
        <f t="shared" si="26"/>
        <v>83.45</v>
      </c>
      <c r="L394" s="3032">
        <f t="shared" si="23"/>
        <v>83.45</v>
      </c>
      <c r="M394" s="3032"/>
    </row>
    <row r="395" spans="1:13">
      <c r="A395" s="3032"/>
      <c r="B395" s="3032"/>
      <c r="C395" s="3034">
        <v>-202</v>
      </c>
      <c r="D395" s="3032"/>
      <c r="E395" s="3032">
        <v>84.17</v>
      </c>
      <c r="F395" s="3032"/>
      <c r="G395" s="3032">
        <f t="shared" ref="G395:G405" si="30">SUM(D395:F395)</f>
        <v>84.17</v>
      </c>
      <c r="H395" s="3032"/>
      <c r="I395" s="3032"/>
      <c r="J395" s="3032"/>
      <c r="K395" s="3032">
        <f t="shared" si="26"/>
        <v>84.17</v>
      </c>
      <c r="L395" s="3032">
        <f t="shared" si="23"/>
        <v>84.17</v>
      </c>
      <c r="M395" s="3032"/>
    </row>
    <row r="396" spans="1:13">
      <c r="A396" s="3032"/>
      <c r="B396" s="3032"/>
      <c r="C396" s="3034">
        <v>-203</v>
      </c>
      <c r="D396" s="3032"/>
      <c r="E396" s="3032">
        <v>84.17</v>
      </c>
      <c r="F396" s="3032"/>
      <c r="G396" s="3032">
        <f t="shared" si="30"/>
        <v>84.17</v>
      </c>
      <c r="H396" s="3032"/>
      <c r="I396" s="3032"/>
      <c r="J396" s="3032"/>
      <c r="K396" s="3032">
        <f t="shared" si="26"/>
        <v>84.17</v>
      </c>
      <c r="L396" s="3032">
        <f t="shared" si="23"/>
        <v>84.17</v>
      </c>
      <c r="M396" s="3032"/>
    </row>
    <row r="397" spans="1:13">
      <c r="A397" s="3032"/>
      <c r="B397" s="3032"/>
      <c r="C397" s="3034">
        <v>-204</v>
      </c>
      <c r="D397" s="3032"/>
      <c r="E397" s="3032">
        <v>83.45</v>
      </c>
      <c r="F397" s="3032"/>
      <c r="G397" s="3032">
        <f t="shared" si="30"/>
        <v>83.45</v>
      </c>
      <c r="H397" s="3032"/>
      <c r="I397" s="3032"/>
      <c r="J397" s="3032"/>
      <c r="K397" s="3032">
        <f t="shared" si="26"/>
        <v>83.45</v>
      </c>
      <c r="L397" s="3032">
        <f t="shared" si="23"/>
        <v>83.45</v>
      </c>
      <c r="M397" s="3032"/>
    </row>
    <row r="398" spans="1:13">
      <c r="A398" s="3032"/>
      <c r="B398" s="3032"/>
      <c r="C398" s="3034">
        <v>-205</v>
      </c>
      <c r="D398" s="3032"/>
      <c r="E398" s="3032">
        <v>84.17</v>
      </c>
      <c r="F398" s="3032"/>
      <c r="G398" s="3032">
        <f t="shared" si="30"/>
        <v>84.17</v>
      </c>
      <c r="H398" s="3032"/>
      <c r="I398" s="3032"/>
      <c r="J398" s="3032"/>
      <c r="K398" s="3032">
        <f t="shared" si="26"/>
        <v>84.17</v>
      </c>
      <c r="L398" s="3032">
        <f t="shared" ref="L398:L461" si="31">J398+K398</f>
        <v>84.17</v>
      </c>
      <c r="M398" s="3032"/>
    </row>
    <row r="399" spans="1:13">
      <c r="A399" s="3032"/>
      <c r="B399" s="3032"/>
      <c r="C399" s="3034">
        <v>-206</v>
      </c>
      <c r="D399" s="3032"/>
      <c r="E399" s="3032">
        <v>84.17</v>
      </c>
      <c r="F399" s="3032"/>
      <c r="G399" s="3032">
        <f t="shared" si="30"/>
        <v>84.17</v>
      </c>
      <c r="H399" s="3032"/>
      <c r="I399" s="3032"/>
      <c r="J399" s="3032"/>
      <c r="K399" s="3032">
        <f t="shared" si="26"/>
        <v>84.17</v>
      </c>
      <c r="L399" s="3032">
        <f t="shared" si="31"/>
        <v>84.17</v>
      </c>
      <c r="M399" s="3032"/>
    </row>
    <row r="400" spans="1:13">
      <c r="A400" s="3032"/>
      <c r="B400" s="3032"/>
      <c r="C400" s="3034">
        <v>101</v>
      </c>
      <c r="D400" s="3032">
        <v>134.29</v>
      </c>
      <c r="E400" s="3032">
        <v>84.35</v>
      </c>
      <c r="F400" s="3032"/>
      <c r="G400" s="3032">
        <f t="shared" si="30"/>
        <v>218.64</v>
      </c>
      <c r="H400" s="3032"/>
      <c r="I400" s="3032"/>
      <c r="J400" s="3032">
        <f>J388</f>
        <v>108.67</v>
      </c>
      <c r="K400" s="3032">
        <f t="shared" si="26"/>
        <v>109.96999999999998</v>
      </c>
      <c r="L400" s="3032">
        <f t="shared" si="31"/>
        <v>218.64</v>
      </c>
      <c r="M400" s="3032">
        <f>J400+J401+J402+J403+J404+J405</f>
        <v>652.01</v>
      </c>
    </row>
    <row r="401" spans="1:13">
      <c r="A401" s="3032"/>
      <c r="B401" s="3032"/>
      <c r="C401" s="3034">
        <v>102</v>
      </c>
      <c r="D401" s="3032">
        <v>134.28</v>
      </c>
      <c r="E401" s="3032">
        <v>84.49</v>
      </c>
      <c r="F401" s="3032"/>
      <c r="G401" s="3032">
        <f t="shared" si="30"/>
        <v>218.76999999999998</v>
      </c>
      <c r="H401" s="3032"/>
      <c r="I401" s="3032"/>
      <c r="J401" s="3032">
        <f>J400</f>
        <v>108.67</v>
      </c>
      <c r="K401" s="3032">
        <f t="shared" si="26"/>
        <v>110.09999999999998</v>
      </c>
      <c r="L401" s="3032">
        <f t="shared" si="31"/>
        <v>218.76999999999998</v>
      </c>
      <c r="M401" s="3032"/>
    </row>
    <row r="402" spans="1:13">
      <c r="A402" s="3032"/>
      <c r="B402" s="3032"/>
      <c r="C402" s="3034">
        <v>103</v>
      </c>
      <c r="D402" s="3032">
        <v>134.47</v>
      </c>
      <c r="E402" s="3032">
        <v>84.77</v>
      </c>
      <c r="F402" s="3032"/>
      <c r="G402" s="3032">
        <f t="shared" si="30"/>
        <v>219.24</v>
      </c>
      <c r="H402" s="3032"/>
      <c r="I402" s="3032"/>
      <c r="J402" s="3032">
        <f>J400</f>
        <v>108.67</v>
      </c>
      <c r="K402" s="3032">
        <f t="shared" si="26"/>
        <v>110.57000000000001</v>
      </c>
      <c r="L402" s="3032">
        <f t="shared" si="31"/>
        <v>219.24</v>
      </c>
      <c r="M402" s="3032"/>
    </row>
    <row r="403" spans="1:13">
      <c r="A403" s="3032"/>
      <c r="B403" s="3032"/>
      <c r="C403" s="3034">
        <v>104</v>
      </c>
      <c r="D403" s="3032">
        <v>134.29</v>
      </c>
      <c r="E403" s="3032">
        <v>84.35</v>
      </c>
      <c r="F403" s="3032"/>
      <c r="G403" s="3032">
        <f t="shared" si="30"/>
        <v>218.64</v>
      </c>
      <c r="H403" s="3032"/>
      <c r="I403" s="3032"/>
      <c r="J403" s="3032">
        <f>J400</f>
        <v>108.67</v>
      </c>
      <c r="K403" s="3032">
        <f t="shared" si="26"/>
        <v>109.96999999999998</v>
      </c>
      <c r="L403" s="3032">
        <f t="shared" si="31"/>
        <v>218.64</v>
      </c>
      <c r="M403" s="3032"/>
    </row>
    <row r="404" spans="1:13">
      <c r="A404" s="3032"/>
      <c r="B404" s="3032"/>
      <c r="C404" s="3034">
        <v>105</v>
      </c>
      <c r="D404" s="3032">
        <v>134.28</v>
      </c>
      <c r="E404" s="3032">
        <v>84.49</v>
      </c>
      <c r="F404" s="3032"/>
      <c r="G404" s="3032">
        <f t="shared" si="30"/>
        <v>218.76999999999998</v>
      </c>
      <c r="H404" s="3032"/>
      <c r="I404" s="3032"/>
      <c r="J404" s="3032">
        <f>J400</f>
        <v>108.67</v>
      </c>
      <c r="K404" s="3032">
        <f t="shared" si="26"/>
        <v>110.09999999999998</v>
      </c>
      <c r="L404" s="3032">
        <f t="shared" si="31"/>
        <v>218.76999999999998</v>
      </c>
      <c r="M404" s="3032"/>
    </row>
    <row r="405" spans="1:13">
      <c r="A405" s="3032"/>
      <c r="B405" s="3032"/>
      <c r="C405" s="3034">
        <v>106</v>
      </c>
      <c r="D405" s="3032">
        <v>134.47</v>
      </c>
      <c r="E405" s="3032">
        <v>84.77</v>
      </c>
      <c r="F405" s="3032"/>
      <c r="G405" s="3032">
        <f t="shared" si="30"/>
        <v>219.24</v>
      </c>
      <c r="H405" s="3032"/>
      <c r="I405" s="3032"/>
      <c r="J405" s="3032">
        <f>J393</f>
        <v>108.66</v>
      </c>
      <c r="K405" s="3032">
        <f t="shared" si="26"/>
        <v>110.58000000000001</v>
      </c>
      <c r="L405" s="3032">
        <f t="shared" si="31"/>
        <v>219.24</v>
      </c>
      <c r="M405" s="3032"/>
    </row>
    <row r="406" spans="1:13">
      <c r="A406" s="3032" t="s">
        <v>3143</v>
      </c>
      <c r="B406" s="3032">
        <v>6</v>
      </c>
      <c r="C406" s="3034">
        <v>-201</v>
      </c>
      <c r="D406" s="3032"/>
      <c r="E406" s="3032">
        <v>83.45</v>
      </c>
      <c r="F406" s="3032"/>
      <c r="G406" s="3032">
        <f>SUM(D406:F406)</f>
        <v>83.45</v>
      </c>
      <c r="H406" s="3032">
        <f>SUM(G406:G417)</f>
        <v>1816.8799999999999</v>
      </c>
      <c r="I406" s="3032"/>
      <c r="J406" s="3032"/>
      <c r="K406" s="3032">
        <f>G406-J406</f>
        <v>83.45</v>
      </c>
      <c r="L406" s="3032">
        <f t="shared" si="31"/>
        <v>83.45</v>
      </c>
      <c r="M406" s="3032"/>
    </row>
    <row r="407" spans="1:13">
      <c r="A407" s="3032"/>
      <c r="B407" s="3032"/>
      <c r="C407" s="3034">
        <v>-202</v>
      </c>
      <c r="D407" s="3032"/>
      <c r="E407" s="3032">
        <v>84.17</v>
      </c>
      <c r="F407" s="3032"/>
      <c r="G407" s="3032">
        <f t="shared" ref="G407:G417" si="32">SUM(D407:F407)</f>
        <v>84.17</v>
      </c>
      <c r="H407" s="3032"/>
      <c r="I407" s="3032"/>
      <c r="J407" s="3032"/>
      <c r="K407" s="3032">
        <f t="shared" si="26"/>
        <v>84.17</v>
      </c>
      <c r="L407" s="3032">
        <f t="shared" si="31"/>
        <v>84.17</v>
      </c>
      <c r="M407" s="3032"/>
    </row>
    <row r="408" spans="1:13">
      <c r="A408" s="3032"/>
      <c r="B408" s="3032"/>
      <c r="C408" s="3034">
        <v>-203</v>
      </c>
      <c r="D408" s="3032"/>
      <c r="E408" s="3032">
        <v>84.17</v>
      </c>
      <c r="F408" s="3032"/>
      <c r="G408" s="3032">
        <f t="shared" si="32"/>
        <v>84.17</v>
      </c>
      <c r="H408" s="3032"/>
      <c r="I408" s="3032"/>
      <c r="J408" s="3032"/>
      <c r="K408" s="3032">
        <f t="shared" si="26"/>
        <v>84.17</v>
      </c>
      <c r="L408" s="3032">
        <f t="shared" si="31"/>
        <v>84.17</v>
      </c>
      <c r="M408" s="3032"/>
    </row>
    <row r="409" spans="1:13">
      <c r="A409" s="3032"/>
      <c r="B409" s="3032"/>
      <c r="C409" s="3034">
        <v>-204</v>
      </c>
      <c r="D409" s="3032"/>
      <c r="E409" s="3032">
        <v>83.45</v>
      </c>
      <c r="F409" s="3032"/>
      <c r="G409" s="3032">
        <f t="shared" si="32"/>
        <v>83.45</v>
      </c>
      <c r="H409" s="3032"/>
      <c r="I409" s="3032"/>
      <c r="J409" s="3032"/>
      <c r="K409" s="3032">
        <f t="shared" si="26"/>
        <v>83.45</v>
      </c>
      <c r="L409" s="3032">
        <f t="shared" si="31"/>
        <v>83.45</v>
      </c>
      <c r="M409" s="3032"/>
    </row>
    <row r="410" spans="1:13">
      <c r="A410" s="3032"/>
      <c r="B410" s="3032"/>
      <c r="C410" s="3034">
        <v>-205</v>
      </c>
      <c r="D410" s="3032"/>
      <c r="E410" s="3032">
        <v>84.17</v>
      </c>
      <c r="F410" s="3032"/>
      <c r="G410" s="3032">
        <f t="shared" si="32"/>
        <v>84.17</v>
      </c>
      <c r="H410" s="3032"/>
      <c r="I410" s="3032"/>
      <c r="J410" s="3032"/>
      <c r="K410" s="3032">
        <f t="shared" si="26"/>
        <v>84.17</v>
      </c>
      <c r="L410" s="3032">
        <f t="shared" si="31"/>
        <v>84.17</v>
      </c>
      <c r="M410" s="3032"/>
    </row>
    <row r="411" spans="1:13">
      <c r="A411" s="3032"/>
      <c r="B411" s="3032"/>
      <c r="C411" s="3034">
        <v>-206</v>
      </c>
      <c r="D411" s="3032"/>
      <c r="E411" s="3032">
        <v>84.17</v>
      </c>
      <c r="F411" s="3032"/>
      <c r="G411" s="3032">
        <f t="shared" si="32"/>
        <v>84.17</v>
      </c>
      <c r="H411" s="3032"/>
      <c r="I411" s="3032"/>
      <c r="J411" s="3032"/>
      <c r="K411" s="3032">
        <f t="shared" si="26"/>
        <v>84.17</v>
      </c>
      <c r="L411" s="3032">
        <f t="shared" si="31"/>
        <v>84.17</v>
      </c>
      <c r="M411" s="3032"/>
    </row>
    <row r="412" spans="1:13">
      <c r="A412" s="3032"/>
      <c r="B412" s="3032"/>
      <c r="C412" s="3034">
        <v>101</v>
      </c>
      <c r="D412" s="3032">
        <v>134.29</v>
      </c>
      <c r="E412" s="3032">
        <v>84.35</v>
      </c>
      <c r="F412" s="3032"/>
      <c r="G412" s="3032">
        <f t="shared" si="32"/>
        <v>218.64</v>
      </c>
      <c r="H412" s="3032"/>
      <c r="I412" s="3032"/>
      <c r="J412" s="3032">
        <f>J400</f>
        <v>108.67</v>
      </c>
      <c r="K412" s="3032">
        <f t="shared" si="26"/>
        <v>109.96999999999998</v>
      </c>
      <c r="L412" s="3032">
        <f t="shared" si="31"/>
        <v>218.64</v>
      </c>
      <c r="M412" s="3032">
        <f>J412+J413+J414+J415+J416+J417</f>
        <v>652.01</v>
      </c>
    </row>
    <row r="413" spans="1:13">
      <c r="A413" s="3032"/>
      <c r="B413" s="3032"/>
      <c r="C413" s="3034">
        <v>102</v>
      </c>
      <c r="D413" s="3032">
        <v>134.28</v>
      </c>
      <c r="E413" s="3032">
        <v>84.49</v>
      </c>
      <c r="F413" s="3032"/>
      <c r="G413" s="3032">
        <f t="shared" si="32"/>
        <v>218.76999999999998</v>
      </c>
      <c r="H413" s="3032"/>
      <c r="I413" s="3032"/>
      <c r="J413" s="3032">
        <f>J412</f>
        <v>108.67</v>
      </c>
      <c r="K413" s="3032">
        <f t="shared" si="26"/>
        <v>110.09999999999998</v>
      </c>
      <c r="L413" s="3032">
        <f t="shared" si="31"/>
        <v>218.76999999999998</v>
      </c>
      <c r="M413" s="3032"/>
    </row>
    <row r="414" spans="1:13">
      <c r="A414" s="3032"/>
      <c r="B414" s="3032"/>
      <c r="C414" s="3034">
        <v>103</v>
      </c>
      <c r="D414" s="3032">
        <v>134.47</v>
      </c>
      <c r="E414" s="3032">
        <v>84.77</v>
      </c>
      <c r="F414" s="3032"/>
      <c r="G414" s="3032">
        <f t="shared" si="32"/>
        <v>219.24</v>
      </c>
      <c r="H414" s="3032"/>
      <c r="I414" s="3032"/>
      <c r="J414" s="3032">
        <f>J412</f>
        <v>108.67</v>
      </c>
      <c r="K414" s="3032">
        <f t="shared" si="26"/>
        <v>110.57000000000001</v>
      </c>
      <c r="L414" s="3032">
        <f t="shared" si="31"/>
        <v>219.24</v>
      </c>
      <c r="M414" s="3032"/>
    </row>
    <row r="415" spans="1:13">
      <c r="A415" s="3032"/>
      <c r="B415" s="3032"/>
      <c r="C415" s="3034">
        <v>104</v>
      </c>
      <c r="D415" s="3032">
        <v>134.29</v>
      </c>
      <c r="E415" s="3032">
        <v>84.35</v>
      </c>
      <c r="F415" s="3032"/>
      <c r="G415" s="3032">
        <f t="shared" si="32"/>
        <v>218.64</v>
      </c>
      <c r="H415" s="3032"/>
      <c r="I415" s="3032"/>
      <c r="J415" s="3032">
        <f>J412</f>
        <v>108.67</v>
      </c>
      <c r="K415" s="3032">
        <f t="shared" si="26"/>
        <v>109.96999999999998</v>
      </c>
      <c r="L415" s="3032">
        <f t="shared" si="31"/>
        <v>218.64</v>
      </c>
      <c r="M415" s="3032"/>
    </row>
    <row r="416" spans="1:13">
      <c r="A416" s="3032"/>
      <c r="B416" s="3032"/>
      <c r="C416" s="3034">
        <v>105</v>
      </c>
      <c r="D416" s="3032">
        <v>134.28</v>
      </c>
      <c r="E416" s="3032">
        <v>84.49</v>
      </c>
      <c r="F416" s="3032"/>
      <c r="G416" s="3032">
        <f t="shared" si="32"/>
        <v>218.76999999999998</v>
      </c>
      <c r="H416" s="3032"/>
      <c r="I416" s="3032"/>
      <c r="J416" s="3032">
        <f>J412</f>
        <v>108.67</v>
      </c>
      <c r="K416" s="3032">
        <f t="shared" si="26"/>
        <v>110.09999999999998</v>
      </c>
      <c r="L416" s="3032">
        <f t="shared" si="31"/>
        <v>218.76999999999998</v>
      </c>
      <c r="M416" s="3032"/>
    </row>
    <row r="417" spans="1:13">
      <c r="A417" s="3032"/>
      <c r="B417" s="3032"/>
      <c r="C417" s="3034">
        <v>106</v>
      </c>
      <c r="D417" s="3032">
        <v>134.47</v>
      </c>
      <c r="E417" s="3032">
        <v>84.77</v>
      </c>
      <c r="F417" s="3032"/>
      <c r="G417" s="3032">
        <f t="shared" si="32"/>
        <v>219.24</v>
      </c>
      <c r="H417" s="3032"/>
      <c r="I417" s="3032"/>
      <c r="J417" s="3032">
        <f>J405</f>
        <v>108.66</v>
      </c>
      <c r="K417" s="3032">
        <f t="shared" si="26"/>
        <v>110.58000000000001</v>
      </c>
      <c r="L417" s="3032">
        <f t="shared" si="31"/>
        <v>219.24</v>
      </c>
      <c r="M417" s="3032"/>
    </row>
    <row r="418" spans="1:13">
      <c r="A418" s="3032" t="s">
        <v>3144</v>
      </c>
      <c r="B418" s="3032">
        <v>6</v>
      </c>
      <c r="C418" s="3034">
        <v>-201</v>
      </c>
      <c r="D418" s="3032"/>
      <c r="E418" s="3032">
        <v>83.43</v>
      </c>
      <c r="F418" s="3032"/>
      <c r="G418" s="3032">
        <f>SUM(D418:F418)</f>
        <v>83.43</v>
      </c>
      <c r="H418" s="3032">
        <f>SUM(G418:G429)</f>
        <v>1815.6799999999998</v>
      </c>
      <c r="I418" s="3032"/>
      <c r="J418" s="3032"/>
      <c r="K418" s="3032">
        <f t="shared" si="26"/>
        <v>83.43</v>
      </c>
      <c r="L418" s="3032">
        <f t="shared" si="31"/>
        <v>83.43</v>
      </c>
      <c r="M418" s="3032"/>
    </row>
    <row r="419" spans="1:13">
      <c r="A419" s="3032"/>
      <c r="B419" s="3032"/>
      <c r="C419" s="3034">
        <v>-202</v>
      </c>
      <c r="D419" s="3032"/>
      <c r="E419" s="3032">
        <v>84.15</v>
      </c>
      <c r="F419" s="3032"/>
      <c r="G419" s="3032">
        <f t="shared" ref="G419:G429" si="33">SUM(D419:F419)</f>
        <v>84.15</v>
      </c>
      <c r="H419" s="3032"/>
      <c r="I419" s="3032"/>
      <c r="J419" s="3032"/>
      <c r="K419" s="3032">
        <f t="shared" si="26"/>
        <v>84.15</v>
      </c>
      <c r="L419" s="3032">
        <f t="shared" si="31"/>
        <v>84.15</v>
      </c>
      <c r="M419" s="3032"/>
    </row>
    <row r="420" spans="1:13">
      <c r="A420" s="3032"/>
      <c r="B420" s="3032"/>
      <c r="C420" s="3034">
        <v>-203</v>
      </c>
      <c r="D420" s="3032"/>
      <c r="E420" s="3032">
        <v>84.15</v>
      </c>
      <c r="F420" s="3032"/>
      <c r="G420" s="3032">
        <f t="shared" si="33"/>
        <v>84.15</v>
      </c>
      <c r="H420" s="3032"/>
      <c r="I420" s="3032"/>
      <c r="J420" s="3032"/>
      <c r="K420" s="3032">
        <f t="shared" si="26"/>
        <v>84.15</v>
      </c>
      <c r="L420" s="3032">
        <f t="shared" si="31"/>
        <v>84.15</v>
      </c>
      <c r="M420" s="3032"/>
    </row>
    <row r="421" spans="1:13">
      <c r="A421" s="3032"/>
      <c r="B421" s="3032"/>
      <c r="C421" s="3034">
        <v>-204</v>
      </c>
      <c r="D421" s="3032"/>
      <c r="E421" s="3032">
        <v>83.43</v>
      </c>
      <c r="F421" s="3032"/>
      <c r="G421" s="3032">
        <f t="shared" si="33"/>
        <v>83.43</v>
      </c>
      <c r="H421" s="3032"/>
      <c r="I421" s="3032"/>
      <c r="J421" s="3032"/>
      <c r="K421" s="3032">
        <f t="shared" si="26"/>
        <v>83.43</v>
      </c>
      <c r="L421" s="3032">
        <f t="shared" si="31"/>
        <v>83.43</v>
      </c>
      <c r="M421" s="3032"/>
    </row>
    <row r="422" spans="1:13">
      <c r="A422" s="3032"/>
      <c r="B422" s="3032"/>
      <c r="C422" s="3034">
        <v>-205</v>
      </c>
      <c r="D422" s="3032"/>
      <c r="E422" s="3032">
        <v>84.15</v>
      </c>
      <c r="F422" s="3032"/>
      <c r="G422" s="3032">
        <f t="shared" si="33"/>
        <v>84.15</v>
      </c>
      <c r="H422" s="3032"/>
      <c r="I422" s="3032"/>
      <c r="J422" s="3032"/>
      <c r="K422" s="3032">
        <f t="shared" si="26"/>
        <v>84.15</v>
      </c>
      <c r="L422" s="3032">
        <f t="shared" si="31"/>
        <v>84.15</v>
      </c>
      <c r="M422" s="3032"/>
    </row>
    <row r="423" spans="1:13">
      <c r="A423" s="3032"/>
      <c r="B423" s="3032"/>
      <c r="C423" s="3034">
        <v>-206</v>
      </c>
      <c r="D423" s="3032"/>
      <c r="E423" s="3032">
        <v>84.15</v>
      </c>
      <c r="F423" s="3032"/>
      <c r="G423" s="3032">
        <f t="shared" si="33"/>
        <v>84.15</v>
      </c>
      <c r="H423" s="3032"/>
      <c r="I423" s="3032"/>
      <c r="J423" s="3032"/>
      <c r="K423" s="3032">
        <f t="shared" si="26"/>
        <v>84.15</v>
      </c>
      <c r="L423" s="3032">
        <f t="shared" si="31"/>
        <v>84.15</v>
      </c>
      <c r="M423" s="3032"/>
    </row>
    <row r="424" spans="1:13">
      <c r="A424" s="3032"/>
      <c r="B424" s="3032"/>
      <c r="C424" s="3034">
        <v>101</v>
      </c>
      <c r="D424" s="3032">
        <v>134.18</v>
      </c>
      <c r="E424" s="3032">
        <v>84.28</v>
      </c>
      <c r="F424" s="3032"/>
      <c r="G424" s="3032">
        <f t="shared" si="33"/>
        <v>218.46</v>
      </c>
      <c r="H424" s="3032"/>
      <c r="I424" s="3032"/>
      <c r="J424" s="3032">
        <f>J412</f>
        <v>108.67</v>
      </c>
      <c r="K424" s="3032">
        <f t="shared" si="26"/>
        <v>109.79</v>
      </c>
      <c r="L424" s="3032">
        <f t="shared" si="31"/>
        <v>218.46</v>
      </c>
      <c r="M424" s="3032">
        <f>J424+J425+J426+J427+J428+J429</f>
        <v>652.01</v>
      </c>
    </row>
    <row r="425" spans="1:13">
      <c r="A425" s="3032"/>
      <c r="B425" s="3032"/>
      <c r="C425" s="3034">
        <v>102</v>
      </c>
      <c r="D425" s="3032">
        <v>134.16999999999999</v>
      </c>
      <c r="E425" s="3032">
        <v>84.42</v>
      </c>
      <c r="F425" s="3032"/>
      <c r="G425" s="3032">
        <f t="shared" si="33"/>
        <v>218.58999999999997</v>
      </c>
      <c r="H425" s="3032"/>
      <c r="I425" s="3032"/>
      <c r="J425" s="3032">
        <f>J424</f>
        <v>108.67</v>
      </c>
      <c r="K425" s="3032">
        <f t="shared" si="26"/>
        <v>109.91999999999997</v>
      </c>
      <c r="L425" s="3032">
        <f t="shared" si="31"/>
        <v>218.58999999999997</v>
      </c>
      <c r="M425" s="3032"/>
    </row>
    <row r="426" spans="1:13">
      <c r="A426" s="3032"/>
      <c r="B426" s="3032"/>
      <c r="C426" s="3034">
        <v>103</v>
      </c>
      <c r="D426" s="3032">
        <v>134.36000000000001</v>
      </c>
      <c r="E426" s="3032">
        <v>84.7</v>
      </c>
      <c r="F426" s="3032"/>
      <c r="G426" s="3032">
        <f t="shared" si="33"/>
        <v>219.06</v>
      </c>
      <c r="H426" s="3032"/>
      <c r="I426" s="3032"/>
      <c r="J426" s="3032">
        <f>J424</f>
        <v>108.67</v>
      </c>
      <c r="K426" s="3032">
        <f t="shared" si="26"/>
        <v>110.39</v>
      </c>
      <c r="L426" s="3032">
        <f t="shared" si="31"/>
        <v>219.06</v>
      </c>
      <c r="M426" s="3032"/>
    </row>
    <row r="427" spans="1:13">
      <c r="A427" s="3032"/>
      <c r="B427" s="3032"/>
      <c r="C427" s="3034">
        <v>104</v>
      </c>
      <c r="D427" s="3032">
        <v>134.18</v>
      </c>
      <c r="E427" s="3032">
        <v>84.28</v>
      </c>
      <c r="F427" s="3032"/>
      <c r="G427" s="3032">
        <f t="shared" si="33"/>
        <v>218.46</v>
      </c>
      <c r="H427" s="3032"/>
      <c r="I427" s="3032"/>
      <c r="J427" s="3032">
        <f>J424</f>
        <v>108.67</v>
      </c>
      <c r="K427" s="3032">
        <f t="shared" si="26"/>
        <v>109.79</v>
      </c>
      <c r="L427" s="3032">
        <f t="shared" si="31"/>
        <v>218.46</v>
      </c>
      <c r="M427" s="3032"/>
    </row>
    <row r="428" spans="1:13">
      <c r="A428" s="3032"/>
      <c r="B428" s="3032"/>
      <c r="C428" s="3034">
        <v>105</v>
      </c>
      <c r="D428" s="3032">
        <v>134.16999999999999</v>
      </c>
      <c r="E428" s="3032">
        <v>84.42</v>
      </c>
      <c r="F428" s="3032"/>
      <c r="G428" s="3032">
        <f t="shared" si="33"/>
        <v>218.58999999999997</v>
      </c>
      <c r="H428" s="3032"/>
      <c r="I428" s="3032"/>
      <c r="J428" s="3032">
        <f>J424</f>
        <v>108.67</v>
      </c>
      <c r="K428" s="3032">
        <f t="shared" si="26"/>
        <v>109.91999999999997</v>
      </c>
      <c r="L428" s="3032">
        <f t="shared" si="31"/>
        <v>218.58999999999997</v>
      </c>
      <c r="M428" s="3032"/>
    </row>
    <row r="429" spans="1:13">
      <c r="A429" s="3032"/>
      <c r="B429" s="3032"/>
      <c r="C429" s="3034">
        <v>106</v>
      </c>
      <c r="D429" s="3032">
        <v>134.36000000000001</v>
      </c>
      <c r="E429" s="3032">
        <v>84.7</v>
      </c>
      <c r="F429" s="3032"/>
      <c r="G429" s="3032">
        <f t="shared" si="33"/>
        <v>219.06</v>
      </c>
      <c r="H429" s="3032"/>
      <c r="I429" s="3032"/>
      <c r="J429" s="3032">
        <f>J417</f>
        <v>108.66</v>
      </c>
      <c r="K429" s="3032">
        <f t="shared" si="26"/>
        <v>110.4</v>
      </c>
      <c r="L429" s="3032">
        <f t="shared" si="31"/>
        <v>219.06</v>
      </c>
      <c r="M429" s="3032"/>
    </row>
    <row r="430" spans="1:13">
      <c r="A430" s="3032" t="s">
        <v>3145</v>
      </c>
      <c r="B430" s="3032">
        <v>4</v>
      </c>
      <c r="C430" s="3034">
        <v>-201</v>
      </c>
      <c r="D430" s="3032"/>
      <c r="E430" s="3032">
        <v>83.59</v>
      </c>
      <c r="F430" s="3032"/>
      <c r="G430" s="3032">
        <f t="shared" ref="G430:G438" si="34">SUM(D430:F430)</f>
        <v>83.59</v>
      </c>
      <c r="H430" s="3032">
        <f>SUM(G430:G437)</f>
        <v>1213.4000000000001</v>
      </c>
      <c r="I430" s="3032"/>
      <c r="J430" s="3032"/>
      <c r="K430" s="3032">
        <f t="shared" si="26"/>
        <v>83.59</v>
      </c>
      <c r="L430" s="3032">
        <f t="shared" si="31"/>
        <v>83.59</v>
      </c>
      <c r="M430" s="3032"/>
    </row>
    <row r="431" spans="1:13">
      <c r="A431" s="3032"/>
      <c r="B431" s="3032"/>
      <c r="C431" s="3034">
        <v>-202</v>
      </c>
      <c r="D431" s="3032"/>
      <c r="E431" s="3032">
        <v>84.31</v>
      </c>
      <c r="F431" s="3032"/>
      <c r="G431" s="3032">
        <f t="shared" si="34"/>
        <v>84.31</v>
      </c>
      <c r="H431" s="3032"/>
      <c r="I431" s="3032"/>
      <c r="J431" s="3032"/>
      <c r="K431" s="3032">
        <f t="shared" si="26"/>
        <v>84.31</v>
      </c>
      <c r="L431" s="3032">
        <f t="shared" si="31"/>
        <v>84.31</v>
      </c>
      <c r="M431" s="3032"/>
    </row>
    <row r="432" spans="1:13">
      <c r="A432" s="3032"/>
      <c r="B432" s="3032"/>
      <c r="C432" s="3034">
        <v>-203</v>
      </c>
      <c r="D432" s="3032"/>
      <c r="E432" s="3032">
        <v>83.59</v>
      </c>
      <c r="F432" s="3032"/>
      <c r="G432" s="3032">
        <f t="shared" si="34"/>
        <v>83.59</v>
      </c>
      <c r="H432" s="3032"/>
      <c r="I432" s="3032"/>
      <c r="J432" s="3032"/>
      <c r="K432" s="3032">
        <f t="shared" si="26"/>
        <v>83.59</v>
      </c>
      <c r="L432" s="3032">
        <f t="shared" si="31"/>
        <v>83.59</v>
      </c>
      <c r="M432" s="3032"/>
    </row>
    <row r="433" spans="1:13">
      <c r="A433" s="3032"/>
      <c r="B433" s="3032"/>
      <c r="C433" s="3034">
        <v>-204</v>
      </c>
      <c r="D433" s="3032"/>
      <c r="E433" s="3032">
        <v>84.31</v>
      </c>
      <c r="F433" s="3032"/>
      <c r="G433" s="3032">
        <f t="shared" si="34"/>
        <v>84.31</v>
      </c>
      <c r="H433" s="3032"/>
      <c r="I433" s="3032"/>
      <c r="J433" s="3032"/>
      <c r="K433" s="3032">
        <f t="shared" si="26"/>
        <v>84.31</v>
      </c>
      <c r="L433" s="3032">
        <f t="shared" si="31"/>
        <v>84.31</v>
      </c>
      <c r="M433" s="3032"/>
    </row>
    <row r="434" spans="1:13">
      <c r="A434" s="3032"/>
      <c r="B434" s="3032"/>
      <c r="C434" s="3034">
        <v>101</v>
      </c>
      <c r="D434" s="3032">
        <v>134.56</v>
      </c>
      <c r="E434" s="3032">
        <v>84.54</v>
      </c>
      <c r="F434" s="3032"/>
      <c r="G434" s="3032">
        <f t="shared" si="34"/>
        <v>219.10000000000002</v>
      </c>
      <c r="H434" s="3032"/>
      <c r="I434" s="3032"/>
      <c r="J434" s="3032">
        <f>435.56/4</f>
        <v>108.89</v>
      </c>
      <c r="K434" s="3032">
        <f t="shared" si="26"/>
        <v>110.21000000000002</v>
      </c>
      <c r="L434" s="3032">
        <f t="shared" si="31"/>
        <v>219.10000000000002</v>
      </c>
      <c r="M434" s="3032">
        <f>J434+J435+J436+J437</f>
        <v>435.56</v>
      </c>
    </row>
    <row r="435" spans="1:13">
      <c r="A435" s="3032"/>
      <c r="B435" s="3032"/>
      <c r="C435" s="3034">
        <v>102</v>
      </c>
      <c r="D435" s="3032">
        <v>134.75</v>
      </c>
      <c r="E435" s="3032">
        <v>84.95</v>
      </c>
      <c r="F435" s="3032"/>
      <c r="G435" s="3032">
        <f t="shared" si="34"/>
        <v>219.7</v>
      </c>
      <c r="H435" s="3032"/>
      <c r="I435" s="3032"/>
      <c r="J435" s="3032">
        <f>J434</f>
        <v>108.89</v>
      </c>
      <c r="K435" s="3032">
        <f t="shared" si="26"/>
        <v>110.80999999999999</v>
      </c>
      <c r="L435" s="3032">
        <f t="shared" si="31"/>
        <v>219.7</v>
      </c>
      <c r="M435" s="3032"/>
    </row>
    <row r="436" spans="1:13">
      <c r="A436" s="3032"/>
      <c r="B436" s="3032"/>
      <c r="C436" s="3034">
        <v>103</v>
      </c>
      <c r="D436" s="3032">
        <v>134.56</v>
      </c>
      <c r="E436" s="3032">
        <v>84.54</v>
      </c>
      <c r="F436" s="3032"/>
      <c r="G436" s="3032">
        <f t="shared" si="34"/>
        <v>219.10000000000002</v>
      </c>
      <c r="H436" s="3032"/>
      <c r="I436" s="3032"/>
      <c r="J436" s="3032">
        <f>J434</f>
        <v>108.89</v>
      </c>
      <c r="K436" s="3032">
        <f t="shared" si="26"/>
        <v>110.21000000000002</v>
      </c>
      <c r="L436" s="3032">
        <f t="shared" si="31"/>
        <v>219.10000000000002</v>
      </c>
      <c r="M436" s="3032"/>
    </row>
    <row r="437" spans="1:13">
      <c r="A437" s="3032"/>
      <c r="B437" s="3032"/>
      <c r="C437" s="3034">
        <v>104</v>
      </c>
      <c r="D437" s="3032">
        <v>134.75</v>
      </c>
      <c r="E437" s="3032">
        <v>84.95</v>
      </c>
      <c r="F437" s="3032"/>
      <c r="G437" s="3032">
        <f t="shared" si="34"/>
        <v>219.7</v>
      </c>
      <c r="H437" s="3032"/>
      <c r="I437" s="3032"/>
      <c r="J437" s="3032">
        <f>J434</f>
        <v>108.89</v>
      </c>
      <c r="K437" s="3032">
        <f t="shared" si="26"/>
        <v>110.80999999999999</v>
      </c>
      <c r="L437" s="3032">
        <f t="shared" si="31"/>
        <v>219.7</v>
      </c>
      <c r="M437" s="3032"/>
    </row>
    <row r="438" spans="1:13">
      <c r="A438" s="3032" t="s">
        <v>3146</v>
      </c>
      <c r="B438" s="3032">
        <v>4</v>
      </c>
      <c r="C438" s="3034">
        <v>-201</v>
      </c>
      <c r="D438" s="3032"/>
      <c r="E438" s="3032">
        <v>84.36</v>
      </c>
      <c r="F438" s="3032"/>
      <c r="G438" s="3032">
        <f t="shared" si="34"/>
        <v>84.36</v>
      </c>
      <c r="H438" s="3032">
        <f>SUM(G438:G445)</f>
        <v>1240.74</v>
      </c>
      <c r="I438" s="3032"/>
      <c r="J438" s="3032"/>
      <c r="K438" s="3032">
        <f t="shared" si="26"/>
        <v>84.36</v>
      </c>
      <c r="L438" s="3032">
        <f t="shared" si="31"/>
        <v>84.36</v>
      </c>
      <c r="M438" s="3032"/>
    </row>
    <row r="439" spans="1:13">
      <c r="A439" s="3032"/>
      <c r="B439" s="3032"/>
      <c r="C439" s="3034">
        <v>-202</v>
      </c>
      <c r="D439" s="3032"/>
      <c r="E439" s="3032">
        <v>85.08</v>
      </c>
      <c r="F439" s="3032"/>
      <c r="G439" s="3032">
        <f t="shared" ref="G439:G445" si="35">SUM(D439:F439)</f>
        <v>85.08</v>
      </c>
      <c r="H439" s="3032"/>
      <c r="I439" s="3032"/>
      <c r="J439" s="3032"/>
      <c r="K439" s="3032">
        <f t="shared" si="26"/>
        <v>85.08</v>
      </c>
      <c r="L439" s="3032">
        <f t="shared" si="31"/>
        <v>85.08</v>
      </c>
      <c r="M439" s="3032"/>
    </row>
    <row r="440" spans="1:13">
      <c r="A440" s="3032"/>
      <c r="B440" s="3032"/>
      <c r="C440" s="3034">
        <v>-203</v>
      </c>
      <c r="D440" s="3032"/>
      <c r="E440" s="3032">
        <v>85.08</v>
      </c>
      <c r="F440" s="3032"/>
      <c r="G440" s="3032">
        <f t="shared" si="35"/>
        <v>85.08</v>
      </c>
      <c r="H440" s="3032"/>
      <c r="I440" s="3032"/>
      <c r="J440" s="3032"/>
      <c r="K440" s="3032">
        <f t="shared" si="26"/>
        <v>85.08</v>
      </c>
      <c r="L440" s="3032">
        <f t="shared" si="31"/>
        <v>85.08</v>
      </c>
      <c r="M440" s="3032"/>
    </row>
    <row r="441" spans="1:13">
      <c r="A441" s="3032"/>
      <c r="B441" s="3032"/>
      <c r="C441" s="3034">
        <v>-204</v>
      </c>
      <c r="D441" s="3032"/>
      <c r="E441" s="3032">
        <v>85.08</v>
      </c>
      <c r="F441" s="3032"/>
      <c r="G441" s="3032">
        <f t="shared" si="35"/>
        <v>85.08</v>
      </c>
      <c r="H441" s="3032"/>
      <c r="I441" s="3032"/>
      <c r="J441" s="3032"/>
      <c r="K441" s="3032">
        <f t="shared" si="26"/>
        <v>85.08</v>
      </c>
      <c r="L441" s="3032">
        <f t="shared" si="31"/>
        <v>85.08</v>
      </c>
      <c r="M441" s="3032"/>
    </row>
    <row r="442" spans="1:13">
      <c r="A442" s="3032"/>
      <c r="B442" s="3032"/>
      <c r="C442" s="3034">
        <v>101</v>
      </c>
      <c r="D442" s="3032">
        <v>138.47999999999999</v>
      </c>
      <c r="E442" s="3032">
        <v>86.48</v>
      </c>
      <c r="F442" s="3032"/>
      <c r="G442" s="3032">
        <f t="shared" si="35"/>
        <v>224.95999999999998</v>
      </c>
      <c r="H442" s="3032"/>
      <c r="I442" s="3032"/>
      <c r="J442" s="3032">
        <f>ROUND(449.59/4,2)</f>
        <v>112.4</v>
      </c>
      <c r="K442" s="3032">
        <f t="shared" si="26"/>
        <v>112.55999999999997</v>
      </c>
      <c r="L442" s="3032">
        <f t="shared" si="31"/>
        <v>224.95999999999998</v>
      </c>
      <c r="M442" s="3032">
        <f>J442+J443+J444+J445</f>
        <v>449.59</v>
      </c>
    </row>
    <row r="443" spans="1:13">
      <c r="A443" s="3032"/>
      <c r="B443" s="3032"/>
      <c r="C443" s="3034">
        <v>102</v>
      </c>
      <c r="D443" s="3032">
        <v>138.47999999999999</v>
      </c>
      <c r="E443" s="3032">
        <v>86.63</v>
      </c>
      <c r="F443" s="3032"/>
      <c r="G443" s="3032">
        <f t="shared" si="35"/>
        <v>225.10999999999999</v>
      </c>
      <c r="H443" s="3032"/>
      <c r="I443" s="3032"/>
      <c r="J443" s="3032">
        <f>J442</f>
        <v>112.4</v>
      </c>
      <c r="K443" s="3032">
        <f t="shared" si="26"/>
        <v>112.70999999999998</v>
      </c>
      <c r="L443" s="3032">
        <f t="shared" si="31"/>
        <v>225.10999999999999</v>
      </c>
      <c r="M443" s="3032"/>
    </row>
    <row r="444" spans="1:13">
      <c r="A444" s="3032"/>
      <c r="B444" s="3032"/>
      <c r="C444" s="3034">
        <v>103</v>
      </c>
      <c r="D444" s="3032">
        <v>138.47999999999999</v>
      </c>
      <c r="E444" s="3032">
        <v>86.77</v>
      </c>
      <c r="F444" s="3032"/>
      <c r="G444" s="3032">
        <f t="shared" si="35"/>
        <v>225.25</v>
      </c>
      <c r="H444" s="3032"/>
      <c r="I444" s="3032"/>
      <c r="J444" s="3032">
        <f>J442</f>
        <v>112.4</v>
      </c>
      <c r="K444" s="3032">
        <f t="shared" si="26"/>
        <v>112.85</v>
      </c>
      <c r="L444" s="3032">
        <f t="shared" si="31"/>
        <v>225.25</v>
      </c>
      <c r="M444" s="3032"/>
    </row>
    <row r="445" spans="1:13">
      <c r="A445" s="3032"/>
      <c r="B445" s="3032"/>
      <c r="C445" s="3034">
        <v>104</v>
      </c>
      <c r="D445" s="3032">
        <v>138.68</v>
      </c>
      <c r="E445" s="3032">
        <v>87.14</v>
      </c>
      <c r="F445" s="3032"/>
      <c r="G445" s="3032">
        <f t="shared" si="35"/>
        <v>225.82</v>
      </c>
      <c r="H445" s="3032"/>
      <c r="I445" s="3032"/>
      <c r="J445" s="3032">
        <f>449.59-J442-J443-J444</f>
        <v>112.38999999999993</v>
      </c>
      <c r="K445" s="3032">
        <f t="shared" si="26"/>
        <v>113.43000000000006</v>
      </c>
      <c r="L445" s="3032">
        <f t="shared" si="31"/>
        <v>225.82</v>
      </c>
      <c r="M445" s="3032"/>
    </row>
    <row r="446" spans="1:13">
      <c r="A446" s="3032" t="s">
        <v>3147</v>
      </c>
      <c r="B446" s="3032">
        <v>6</v>
      </c>
      <c r="C446" s="3034">
        <v>-201</v>
      </c>
      <c r="D446" s="3032"/>
      <c r="E446" s="3032">
        <v>83.44</v>
      </c>
      <c r="F446" s="3032"/>
      <c r="G446" s="3032">
        <f>SUM(D446:F446)</f>
        <v>83.44</v>
      </c>
      <c r="H446" s="3032">
        <f>SUM(G446:G457)</f>
        <v>1816.3200000000002</v>
      </c>
      <c r="I446" s="3032"/>
      <c r="J446" s="3032"/>
      <c r="K446" s="3032">
        <f t="shared" si="26"/>
        <v>83.44</v>
      </c>
      <c r="L446" s="3032">
        <f t="shared" si="31"/>
        <v>83.44</v>
      </c>
      <c r="M446" s="3032"/>
    </row>
    <row r="447" spans="1:13">
      <c r="A447" s="3032"/>
      <c r="B447" s="3032"/>
      <c r="C447" s="3034">
        <v>-202</v>
      </c>
      <c r="D447" s="3032"/>
      <c r="E447" s="3032">
        <v>84.16</v>
      </c>
      <c r="F447" s="3032"/>
      <c r="G447" s="3032">
        <f t="shared" ref="G447:G457" si="36">SUM(D447:F447)</f>
        <v>84.16</v>
      </c>
      <c r="H447" s="3032"/>
      <c r="I447" s="3032"/>
      <c r="J447" s="3032"/>
      <c r="K447" s="3032">
        <f t="shared" si="26"/>
        <v>84.16</v>
      </c>
      <c r="L447" s="3032">
        <f t="shared" si="31"/>
        <v>84.16</v>
      </c>
      <c r="M447" s="3032"/>
    </row>
    <row r="448" spans="1:13">
      <c r="A448" s="3032"/>
      <c r="B448" s="3032"/>
      <c r="C448" s="3034">
        <v>-203</v>
      </c>
      <c r="D448" s="3032"/>
      <c r="E448" s="3032">
        <v>84.16</v>
      </c>
      <c r="F448" s="3032"/>
      <c r="G448" s="3032">
        <f t="shared" si="36"/>
        <v>84.16</v>
      </c>
      <c r="H448" s="3032"/>
      <c r="I448" s="3032"/>
      <c r="J448" s="3032"/>
      <c r="K448" s="3032">
        <f t="shared" si="26"/>
        <v>84.16</v>
      </c>
      <c r="L448" s="3032">
        <f t="shared" si="31"/>
        <v>84.16</v>
      </c>
      <c r="M448" s="3032"/>
    </row>
    <row r="449" spans="1:13">
      <c r="A449" s="3032"/>
      <c r="B449" s="3032"/>
      <c r="C449" s="3034">
        <v>-204</v>
      </c>
      <c r="D449" s="3032"/>
      <c r="E449" s="3032">
        <v>83.44</v>
      </c>
      <c r="F449" s="3032"/>
      <c r="G449" s="3032">
        <f t="shared" si="36"/>
        <v>83.44</v>
      </c>
      <c r="H449" s="3032"/>
      <c r="I449" s="3032"/>
      <c r="J449" s="3032"/>
      <c r="K449" s="3032">
        <f t="shared" si="26"/>
        <v>83.44</v>
      </c>
      <c r="L449" s="3032">
        <f t="shared" si="31"/>
        <v>83.44</v>
      </c>
      <c r="M449" s="3032"/>
    </row>
    <row r="450" spans="1:13">
      <c r="A450" s="3032"/>
      <c r="B450" s="3032"/>
      <c r="C450" s="3034">
        <v>-205</v>
      </c>
      <c r="D450" s="3032"/>
      <c r="E450" s="3032">
        <v>84.16</v>
      </c>
      <c r="F450" s="3032"/>
      <c r="G450" s="3032">
        <f t="shared" si="36"/>
        <v>84.16</v>
      </c>
      <c r="H450" s="3032"/>
      <c r="I450" s="3032"/>
      <c r="J450" s="3032"/>
      <c r="K450" s="3032">
        <f t="shared" si="26"/>
        <v>84.16</v>
      </c>
      <c r="L450" s="3032">
        <f t="shared" si="31"/>
        <v>84.16</v>
      </c>
      <c r="M450" s="3032"/>
    </row>
    <row r="451" spans="1:13">
      <c r="A451" s="3032"/>
      <c r="B451" s="3032"/>
      <c r="C451" s="3034">
        <v>-206</v>
      </c>
      <c r="D451" s="3032"/>
      <c r="E451" s="3032">
        <v>84.16</v>
      </c>
      <c r="F451" s="3032"/>
      <c r="G451" s="3032">
        <f t="shared" si="36"/>
        <v>84.16</v>
      </c>
      <c r="H451" s="3032"/>
      <c r="I451" s="3032"/>
      <c r="J451" s="3032"/>
      <c r="K451" s="3032">
        <f t="shared" si="26"/>
        <v>84.16</v>
      </c>
      <c r="L451" s="3032">
        <f t="shared" si="31"/>
        <v>84.16</v>
      </c>
      <c r="M451" s="3032"/>
    </row>
    <row r="452" spans="1:13">
      <c r="A452" s="3032"/>
      <c r="B452" s="3032"/>
      <c r="C452" s="3034">
        <v>101</v>
      </c>
      <c r="D452" s="3032">
        <v>134.22999999999999</v>
      </c>
      <c r="E452" s="3032">
        <v>84.32</v>
      </c>
      <c r="F452" s="3032"/>
      <c r="G452" s="3032">
        <f t="shared" si="36"/>
        <v>218.54999999999998</v>
      </c>
      <c r="H452" s="3032"/>
      <c r="I452" s="3032"/>
      <c r="J452" s="3032">
        <f>J424</f>
        <v>108.67</v>
      </c>
      <c r="K452" s="3032">
        <f t="shared" si="26"/>
        <v>109.87999999999998</v>
      </c>
      <c r="L452" s="3032">
        <f t="shared" si="31"/>
        <v>218.54999999999998</v>
      </c>
      <c r="M452" s="3032">
        <f>J452+J453+J454+J455+J456+J457</f>
        <v>652.01</v>
      </c>
    </row>
    <row r="453" spans="1:13">
      <c r="A453" s="3032"/>
      <c r="B453" s="3032"/>
      <c r="C453" s="3034">
        <v>102</v>
      </c>
      <c r="D453" s="3032">
        <v>134.22999999999999</v>
      </c>
      <c r="E453" s="3032">
        <v>84.46</v>
      </c>
      <c r="F453" s="3032"/>
      <c r="G453" s="3032">
        <f t="shared" si="36"/>
        <v>218.69</v>
      </c>
      <c r="H453" s="3032"/>
      <c r="I453" s="3032"/>
      <c r="J453" s="3032">
        <f>J452</f>
        <v>108.67</v>
      </c>
      <c r="K453" s="3032">
        <f t="shared" si="26"/>
        <v>110.02</v>
      </c>
      <c r="L453" s="3032">
        <f t="shared" si="31"/>
        <v>218.69</v>
      </c>
      <c r="M453" s="3032"/>
    </row>
    <row r="454" spans="1:13">
      <c r="A454" s="3032"/>
      <c r="B454" s="3032"/>
      <c r="C454" s="3034">
        <v>103</v>
      </c>
      <c r="D454" s="3032">
        <v>134.43</v>
      </c>
      <c r="E454" s="3032">
        <v>84.73</v>
      </c>
      <c r="F454" s="3032"/>
      <c r="G454" s="3032">
        <f t="shared" si="36"/>
        <v>219.16000000000003</v>
      </c>
      <c r="H454" s="3032"/>
      <c r="I454" s="3032"/>
      <c r="J454" s="3032">
        <f>J452</f>
        <v>108.67</v>
      </c>
      <c r="K454" s="3032">
        <f t="shared" si="26"/>
        <v>110.49000000000002</v>
      </c>
      <c r="L454" s="3032">
        <f t="shared" si="31"/>
        <v>219.16000000000003</v>
      </c>
      <c r="M454" s="3032"/>
    </row>
    <row r="455" spans="1:13">
      <c r="A455" s="3032"/>
      <c r="B455" s="3032"/>
      <c r="C455" s="3034">
        <v>104</v>
      </c>
      <c r="D455" s="3032">
        <v>134.22999999999999</v>
      </c>
      <c r="E455" s="3032">
        <v>84.32</v>
      </c>
      <c r="F455" s="3032"/>
      <c r="G455" s="3032">
        <f>SUM(D455:F455)</f>
        <v>218.54999999999998</v>
      </c>
      <c r="H455" s="3032"/>
      <c r="I455" s="3032"/>
      <c r="J455" s="3032">
        <f>J452</f>
        <v>108.67</v>
      </c>
      <c r="K455" s="3032">
        <f t="shared" si="26"/>
        <v>109.87999999999998</v>
      </c>
      <c r="L455" s="3032">
        <f t="shared" si="31"/>
        <v>218.54999999999998</v>
      </c>
      <c r="M455" s="3032"/>
    </row>
    <row r="456" spans="1:13">
      <c r="A456" s="3032"/>
      <c r="B456" s="3032"/>
      <c r="C456" s="3034">
        <v>105</v>
      </c>
      <c r="D456" s="3032">
        <v>134.22999999999999</v>
      </c>
      <c r="E456" s="3032">
        <v>84.46</v>
      </c>
      <c r="F456" s="3032"/>
      <c r="G456" s="3032">
        <f t="shared" si="36"/>
        <v>218.69</v>
      </c>
      <c r="H456" s="3032"/>
      <c r="I456" s="3032"/>
      <c r="J456" s="3032">
        <f>J452</f>
        <v>108.67</v>
      </c>
      <c r="K456" s="3032">
        <f t="shared" si="26"/>
        <v>110.02</v>
      </c>
      <c r="L456" s="3032">
        <f t="shared" si="31"/>
        <v>218.69</v>
      </c>
      <c r="M456" s="3032"/>
    </row>
    <row r="457" spans="1:13">
      <c r="A457" s="3032"/>
      <c r="B457" s="3032"/>
      <c r="C457" s="3034">
        <v>106</v>
      </c>
      <c r="D457" s="3032">
        <v>134.43</v>
      </c>
      <c r="E457" s="3032">
        <v>84.73</v>
      </c>
      <c r="F457" s="3032"/>
      <c r="G457" s="3032">
        <f t="shared" si="36"/>
        <v>219.16000000000003</v>
      </c>
      <c r="H457" s="3032"/>
      <c r="I457" s="3032"/>
      <c r="J457" s="3032">
        <f>J429</f>
        <v>108.66</v>
      </c>
      <c r="K457" s="3032">
        <f t="shared" si="26"/>
        <v>110.50000000000003</v>
      </c>
      <c r="L457" s="3032">
        <f t="shared" si="31"/>
        <v>219.16000000000003</v>
      </c>
      <c r="M457" s="3032"/>
    </row>
    <row r="458" spans="1:13">
      <c r="A458" s="3032" t="s">
        <v>3148</v>
      </c>
      <c r="B458" s="3032">
        <v>4</v>
      </c>
      <c r="C458" s="3034">
        <v>-201</v>
      </c>
      <c r="D458" s="3032"/>
      <c r="E458" s="3032">
        <v>84.46</v>
      </c>
      <c r="F458" s="3032"/>
      <c r="G458" s="3032">
        <f t="shared" ref="G458:G481" si="37">SUM(D458:F458)</f>
        <v>84.46</v>
      </c>
      <c r="H458" s="3032">
        <f>SUM(G458:G465)</f>
        <v>1240.81</v>
      </c>
      <c r="I458" s="3032"/>
      <c r="J458" s="3032"/>
      <c r="K458" s="3032">
        <f t="shared" si="26"/>
        <v>84.46</v>
      </c>
      <c r="L458" s="3032">
        <f t="shared" si="31"/>
        <v>84.46</v>
      </c>
      <c r="M458" s="3032"/>
    </row>
    <row r="459" spans="1:13">
      <c r="A459" s="3032"/>
      <c r="B459" s="3032"/>
      <c r="C459" s="3034">
        <v>-202</v>
      </c>
      <c r="D459" s="3032"/>
      <c r="E459" s="3032">
        <v>85.18</v>
      </c>
      <c r="F459" s="3032"/>
      <c r="G459" s="3032">
        <f t="shared" si="37"/>
        <v>85.18</v>
      </c>
      <c r="H459" s="3032"/>
      <c r="I459" s="3032"/>
      <c r="J459" s="3032"/>
      <c r="K459" s="3032">
        <f t="shared" si="26"/>
        <v>85.18</v>
      </c>
      <c r="L459" s="3032">
        <f t="shared" si="31"/>
        <v>85.18</v>
      </c>
      <c r="M459" s="3032"/>
    </row>
    <row r="460" spans="1:13">
      <c r="A460" s="3032"/>
      <c r="B460" s="3032"/>
      <c r="C460" s="3034">
        <v>-203</v>
      </c>
      <c r="D460" s="3032"/>
      <c r="E460" s="3032">
        <v>85.18</v>
      </c>
      <c r="F460" s="3032"/>
      <c r="G460" s="3032">
        <f t="shared" si="37"/>
        <v>85.18</v>
      </c>
      <c r="H460" s="3032"/>
      <c r="I460" s="3032"/>
      <c r="J460" s="3032"/>
      <c r="K460" s="3032">
        <f t="shared" si="26"/>
        <v>85.18</v>
      </c>
      <c r="L460" s="3032">
        <f t="shared" si="31"/>
        <v>85.18</v>
      </c>
      <c r="M460" s="3032"/>
    </row>
    <row r="461" spans="1:13">
      <c r="A461" s="3032"/>
      <c r="B461" s="3032"/>
      <c r="C461" s="3034">
        <v>-204</v>
      </c>
      <c r="D461" s="3032"/>
      <c r="E461" s="3032">
        <v>85.18</v>
      </c>
      <c r="F461" s="3032"/>
      <c r="G461" s="3032">
        <f t="shared" si="37"/>
        <v>85.18</v>
      </c>
      <c r="H461" s="3032"/>
      <c r="I461" s="3032"/>
      <c r="J461" s="3032"/>
      <c r="K461" s="3032">
        <f t="shared" si="26"/>
        <v>85.18</v>
      </c>
      <c r="L461" s="3032">
        <f t="shared" si="31"/>
        <v>85.18</v>
      </c>
      <c r="M461" s="3032"/>
    </row>
    <row r="462" spans="1:13">
      <c r="A462" s="3032"/>
      <c r="B462" s="3032"/>
      <c r="C462" s="3034">
        <v>101</v>
      </c>
      <c r="D462" s="3032">
        <v>138.38999999999999</v>
      </c>
      <c r="E462" s="3032">
        <v>86.55</v>
      </c>
      <c r="F462" s="3032"/>
      <c r="G462" s="3032">
        <f t="shared" si="37"/>
        <v>224.94</v>
      </c>
      <c r="H462" s="3032"/>
      <c r="I462" s="3032"/>
      <c r="J462" s="3032">
        <f>J442</f>
        <v>112.4</v>
      </c>
      <c r="K462" s="3032">
        <f t="shared" si="26"/>
        <v>112.53999999999999</v>
      </c>
      <c r="L462" s="3032">
        <f t="shared" ref="L462:L525" si="38">J462+K462</f>
        <v>224.94</v>
      </c>
      <c r="M462" s="3032">
        <f>J462+J463+J464+J465</f>
        <v>449.59</v>
      </c>
    </row>
    <row r="463" spans="1:13">
      <c r="A463" s="3032"/>
      <c r="B463" s="3032"/>
      <c r="C463" s="3034">
        <v>102</v>
      </c>
      <c r="D463" s="3032">
        <v>138.38999999999999</v>
      </c>
      <c r="E463" s="3032">
        <v>86.71</v>
      </c>
      <c r="F463" s="3032"/>
      <c r="G463" s="3032">
        <f t="shared" si="37"/>
        <v>225.09999999999997</v>
      </c>
      <c r="H463" s="3032"/>
      <c r="I463" s="3032"/>
      <c r="J463" s="3032">
        <f>J462</f>
        <v>112.4</v>
      </c>
      <c r="K463" s="3032">
        <f t="shared" si="26"/>
        <v>112.69999999999996</v>
      </c>
      <c r="L463" s="3032">
        <f t="shared" si="38"/>
        <v>225.09999999999997</v>
      </c>
      <c r="M463" s="3032"/>
    </row>
    <row r="464" spans="1:13">
      <c r="A464" s="3032"/>
      <c r="B464" s="3032"/>
      <c r="C464" s="3034">
        <v>103</v>
      </c>
      <c r="D464" s="3032">
        <v>138.38999999999999</v>
      </c>
      <c r="E464" s="3032">
        <v>86.71</v>
      </c>
      <c r="F464" s="3032"/>
      <c r="G464" s="3032">
        <f t="shared" si="37"/>
        <v>225.09999999999997</v>
      </c>
      <c r="H464" s="3032"/>
      <c r="I464" s="3032"/>
      <c r="J464" s="3032">
        <f>J462</f>
        <v>112.4</v>
      </c>
      <c r="K464" s="3032">
        <f t="shared" si="26"/>
        <v>112.69999999999996</v>
      </c>
      <c r="L464" s="3032">
        <f t="shared" si="38"/>
        <v>225.09999999999997</v>
      </c>
      <c r="M464" s="3032"/>
    </row>
    <row r="465" spans="1:13">
      <c r="A465" s="3032"/>
      <c r="B465" s="3032"/>
      <c r="C465" s="3034">
        <v>104</v>
      </c>
      <c r="D465" s="3032">
        <v>138.58000000000001</v>
      </c>
      <c r="E465" s="3032">
        <v>87.09</v>
      </c>
      <c r="F465" s="3032"/>
      <c r="G465" s="3032">
        <f t="shared" si="37"/>
        <v>225.67000000000002</v>
      </c>
      <c r="H465" s="3032"/>
      <c r="I465" s="3032"/>
      <c r="J465" s="3032">
        <f>J445</f>
        <v>112.38999999999993</v>
      </c>
      <c r="K465" s="3032">
        <f t="shared" si="26"/>
        <v>113.28000000000009</v>
      </c>
      <c r="L465" s="3032">
        <f t="shared" si="38"/>
        <v>225.67000000000002</v>
      </c>
      <c r="M465" s="3032"/>
    </row>
    <row r="466" spans="1:13">
      <c r="A466" s="3032" t="s">
        <v>3149</v>
      </c>
      <c r="B466" s="3032">
        <v>8</v>
      </c>
      <c r="C466" s="3034">
        <v>-201</v>
      </c>
      <c r="D466" s="3032"/>
      <c r="E466" s="3032">
        <v>83.36</v>
      </c>
      <c r="F466" s="3032"/>
      <c r="G466" s="3032">
        <f t="shared" si="37"/>
        <v>83.36</v>
      </c>
      <c r="H466" s="3032">
        <f>SUM(G466:G481)</f>
        <v>2418.6800000000003</v>
      </c>
      <c r="I466" s="3032"/>
      <c r="J466" s="3032"/>
      <c r="K466" s="3032">
        <f t="shared" si="26"/>
        <v>83.36</v>
      </c>
      <c r="L466" s="3032">
        <f t="shared" si="38"/>
        <v>83.36</v>
      </c>
      <c r="M466" s="3032"/>
    </row>
    <row r="467" spans="1:13">
      <c r="A467" s="3032"/>
      <c r="B467" s="3032"/>
      <c r="C467" s="3034">
        <v>-202</v>
      </c>
      <c r="D467" s="3032"/>
      <c r="E467" s="3032">
        <v>84.08</v>
      </c>
      <c r="F467" s="3032"/>
      <c r="G467" s="3032">
        <f t="shared" si="37"/>
        <v>84.08</v>
      </c>
      <c r="H467" s="3032"/>
      <c r="I467" s="3032"/>
      <c r="J467" s="3032"/>
      <c r="K467" s="3032">
        <f t="shared" si="26"/>
        <v>84.08</v>
      </c>
      <c r="L467" s="3032">
        <f t="shared" si="38"/>
        <v>84.08</v>
      </c>
      <c r="M467" s="3032"/>
    </row>
    <row r="468" spans="1:13">
      <c r="A468" s="3032"/>
      <c r="B468" s="3032"/>
      <c r="C468" s="3034">
        <v>-203</v>
      </c>
      <c r="D468" s="3032"/>
      <c r="E468" s="3032">
        <v>84.08</v>
      </c>
      <c r="F468" s="3032"/>
      <c r="G468" s="3032">
        <f t="shared" si="37"/>
        <v>84.08</v>
      </c>
      <c r="H468" s="3032"/>
      <c r="I468" s="3032"/>
      <c r="J468" s="3032"/>
      <c r="K468" s="3032">
        <f t="shared" si="26"/>
        <v>84.08</v>
      </c>
      <c r="L468" s="3032">
        <f t="shared" si="38"/>
        <v>84.08</v>
      </c>
      <c r="M468" s="3032"/>
    </row>
    <row r="469" spans="1:13">
      <c r="A469" s="3032"/>
      <c r="B469" s="3032"/>
      <c r="C469" s="3034">
        <v>-204</v>
      </c>
      <c r="D469" s="3032"/>
      <c r="E469" s="3032">
        <v>84.08</v>
      </c>
      <c r="F469" s="3032"/>
      <c r="G469" s="3032">
        <f t="shared" si="37"/>
        <v>84.08</v>
      </c>
      <c r="H469" s="3032"/>
      <c r="I469" s="3032"/>
      <c r="J469" s="3032"/>
      <c r="K469" s="3032">
        <f t="shared" si="26"/>
        <v>84.08</v>
      </c>
      <c r="L469" s="3032">
        <f t="shared" si="38"/>
        <v>84.08</v>
      </c>
      <c r="M469" s="3032"/>
    </row>
    <row r="470" spans="1:13">
      <c r="A470" s="3032"/>
      <c r="B470" s="3032"/>
      <c r="C470" s="3034">
        <v>-205</v>
      </c>
      <c r="D470" s="3032"/>
      <c r="E470" s="3032">
        <v>83.36</v>
      </c>
      <c r="F470" s="3032"/>
      <c r="G470" s="3032">
        <f t="shared" si="37"/>
        <v>83.36</v>
      </c>
      <c r="H470" s="3032"/>
      <c r="I470" s="3032"/>
      <c r="J470" s="3032"/>
      <c r="K470" s="3032">
        <f t="shared" si="26"/>
        <v>83.36</v>
      </c>
      <c r="L470" s="3032">
        <f t="shared" si="38"/>
        <v>83.36</v>
      </c>
      <c r="M470" s="3032"/>
    </row>
    <row r="471" spans="1:13">
      <c r="A471" s="3032"/>
      <c r="B471" s="3032"/>
      <c r="C471" s="3034">
        <v>-206</v>
      </c>
      <c r="D471" s="3032"/>
      <c r="E471" s="3032">
        <v>84.08</v>
      </c>
      <c r="F471" s="3032"/>
      <c r="G471" s="3032">
        <f t="shared" si="37"/>
        <v>84.08</v>
      </c>
      <c r="H471" s="3032"/>
      <c r="I471" s="3032"/>
      <c r="J471" s="3032"/>
      <c r="K471" s="3032">
        <f t="shared" si="26"/>
        <v>84.08</v>
      </c>
      <c r="L471" s="3032">
        <f t="shared" si="38"/>
        <v>84.08</v>
      </c>
      <c r="M471" s="3032"/>
    </row>
    <row r="472" spans="1:13">
      <c r="A472" s="3032"/>
      <c r="B472" s="3032"/>
      <c r="C472" s="3034">
        <v>-207</v>
      </c>
      <c r="D472" s="3032"/>
      <c r="E472" s="3032">
        <v>84.08</v>
      </c>
      <c r="F472" s="3032"/>
      <c r="G472" s="3032">
        <f t="shared" si="37"/>
        <v>84.08</v>
      </c>
      <c r="H472" s="3032"/>
      <c r="I472" s="3032"/>
      <c r="J472" s="3032"/>
      <c r="K472" s="3032">
        <f t="shared" si="26"/>
        <v>84.08</v>
      </c>
      <c r="L472" s="3032">
        <f t="shared" si="38"/>
        <v>84.08</v>
      </c>
      <c r="M472" s="3032"/>
    </row>
    <row r="473" spans="1:13">
      <c r="A473" s="3032"/>
      <c r="B473" s="3032"/>
      <c r="C473" s="3034">
        <v>-208</v>
      </c>
      <c r="D473" s="3032"/>
      <c r="E473" s="3032">
        <v>84.08</v>
      </c>
      <c r="F473" s="3032"/>
      <c r="G473" s="3032">
        <f t="shared" si="37"/>
        <v>84.08</v>
      </c>
      <c r="H473" s="3032"/>
      <c r="I473" s="3032"/>
      <c r="J473" s="3032"/>
      <c r="K473" s="3032">
        <f t="shared" si="26"/>
        <v>84.08</v>
      </c>
      <c r="L473" s="3032">
        <f t="shared" si="38"/>
        <v>84.08</v>
      </c>
      <c r="M473" s="3032"/>
    </row>
    <row r="474" spans="1:13">
      <c r="A474" s="3032"/>
      <c r="B474" s="3032"/>
      <c r="C474" s="3034">
        <v>101</v>
      </c>
      <c r="D474" s="3032">
        <v>134.03</v>
      </c>
      <c r="E474" s="3032">
        <v>84.18</v>
      </c>
      <c r="F474" s="3032"/>
      <c r="G474" s="3032">
        <f t="shared" si="37"/>
        <v>218.21</v>
      </c>
      <c r="H474" s="3032"/>
      <c r="I474" s="3032"/>
      <c r="J474" s="3032">
        <f>ROUND(868.47/8,2)</f>
        <v>108.56</v>
      </c>
      <c r="K474" s="3032">
        <f t="shared" si="26"/>
        <v>109.65</v>
      </c>
      <c r="L474" s="3032">
        <f t="shared" si="38"/>
        <v>218.21</v>
      </c>
      <c r="M474" s="3032">
        <f>J474+J475+J476+J477+J478+J479+J480+J481</f>
        <v>868.47</v>
      </c>
    </row>
    <row r="475" spans="1:13">
      <c r="A475" s="3032"/>
      <c r="B475" s="3032"/>
      <c r="C475" s="3034">
        <v>102</v>
      </c>
      <c r="D475" s="3032">
        <v>134.03</v>
      </c>
      <c r="E475" s="3032">
        <v>84.33</v>
      </c>
      <c r="F475" s="3032"/>
      <c r="G475" s="3032">
        <f t="shared" si="37"/>
        <v>218.36</v>
      </c>
      <c r="H475" s="3032"/>
      <c r="I475" s="3032"/>
      <c r="J475" s="3032">
        <f t="shared" ref="J475:J480" si="39">$J$474</f>
        <v>108.56</v>
      </c>
      <c r="K475" s="3032">
        <f t="shared" si="26"/>
        <v>109.80000000000001</v>
      </c>
      <c r="L475" s="3032">
        <f t="shared" si="38"/>
        <v>218.36</v>
      </c>
      <c r="M475" s="3032"/>
    </row>
    <row r="476" spans="1:13">
      <c r="A476" s="3032"/>
      <c r="B476" s="3032"/>
      <c r="C476" s="3034">
        <v>103</v>
      </c>
      <c r="D476" s="3032">
        <v>134.03</v>
      </c>
      <c r="E476" s="3032">
        <v>84.33</v>
      </c>
      <c r="F476" s="3032"/>
      <c r="G476" s="3032">
        <f t="shared" si="37"/>
        <v>218.36</v>
      </c>
      <c r="H476" s="3032"/>
      <c r="I476" s="3032"/>
      <c r="J476" s="3032">
        <f t="shared" si="39"/>
        <v>108.56</v>
      </c>
      <c r="K476" s="3032">
        <f t="shared" si="26"/>
        <v>109.80000000000001</v>
      </c>
      <c r="L476" s="3032">
        <f t="shared" si="38"/>
        <v>218.36</v>
      </c>
      <c r="M476" s="3032"/>
    </row>
    <row r="477" spans="1:13">
      <c r="A477" s="3032"/>
      <c r="B477" s="3032"/>
      <c r="C477" s="3034">
        <v>104</v>
      </c>
      <c r="D477" s="3032">
        <v>134.22</v>
      </c>
      <c r="E477" s="3032">
        <v>84.59</v>
      </c>
      <c r="F477" s="3032"/>
      <c r="G477" s="3032">
        <f t="shared" si="37"/>
        <v>218.81</v>
      </c>
      <c r="H477" s="3032"/>
      <c r="I477" s="3032"/>
      <c r="J477" s="3032">
        <f t="shared" si="39"/>
        <v>108.56</v>
      </c>
      <c r="K477" s="3032">
        <f t="shared" si="26"/>
        <v>110.25</v>
      </c>
      <c r="L477" s="3032">
        <f t="shared" si="38"/>
        <v>218.81</v>
      </c>
      <c r="M477" s="3032"/>
    </row>
    <row r="478" spans="1:13">
      <c r="A478" s="3032"/>
      <c r="B478" s="3032"/>
      <c r="C478" s="3034">
        <v>105</v>
      </c>
      <c r="D478" s="3032">
        <v>134.03</v>
      </c>
      <c r="E478" s="3032">
        <v>84.18</v>
      </c>
      <c r="F478" s="3032"/>
      <c r="G478" s="3032">
        <f t="shared" si="37"/>
        <v>218.21</v>
      </c>
      <c r="H478" s="3032"/>
      <c r="I478" s="3032"/>
      <c r="J478" s="3032">
        <f t="shared" si="39"/>
        <v>108.56</v>
      </c>
      <c r="K478" s="3032">
        <f t="shared" si="26"/>
        <v>109.65</v>
      </c>
      <c r="L478" s="3032">
        <f t="shared" si="38"/>
        <v>218.21</v>
      </c>
      <c r="M478" s="3032"/>
    </row>
    <row r="479" spans="1:13">
      <c r="A479" s="3032"/>
      <c r="B479" s="3032"/>
      <c r="C479" s="3034">
        <v>106</v>
      </c>
      <c r="D479" s="3032">
        <v>134.03</v>
      </c>
      <c r="E479" s="3032">
        <v>84.33</v>
      </c>
      <c r="F479" s="3032"/>
      <c r="G479" s="3032">
        <f t="shared" si="37"/>
        <v>218.36</v>
      </c>
      <c r="H479" s="3032"/>
      <c r="I479" s="3032"/>
      <c r="J479" s="3032">
        <f t="shared" si="39"/>
        <v>108.56</v>
      </c>
      <c r="K479" s="3032">
        <f t="shared" si="26"/>
        <v>109.80000000000001</v>
      </c>
      <c r="L479" s="3032">
        <f t="shared" si="38"/>
        <v>218.36</v>
      </c>
      <c r="M479" s="3032"/>
    </row>
    <row r="480" spans="1:13">
      <c r="A480" s="3032"/>
      <c r="B480" s="3032"/>
      <c r="C480" s="3034">
        <v>107</v>
      </c>
      <c r="D480" s="3032">
        <v>134.03</v>
      </c>
      <c r="E480" s="3032">
        <v>84.33</v>
      </c>
      <c r="F480" s="3032"/>
      <c r="G480" s="3032">
        <f t="shared" si="37"/>
        <v>218.36</v>
      </c>
      <c r="H480" s="3032"/>
      <c r="I480" s="3032"/>
      <c r="J480" s="3032">
        <f t="shared" si="39"/>
        <v>108.56</v>
      </c>
      <c r="K480" s="3032">
        <f t="shared" si="26"/>
        <v>109.80000000000001</v>
      </c>
      <c r="L480" s="3032">
        <f t="shared" si="38"/>
        <v>218.36</v>
      </c>
      <c r="M480" s="3032"/>
    </row>
    <row r="481" spans="1:13">
      <c r="A481" s="3032"/>
      <c r="B481" s="3032"/>
      <c r="C481" s="3034">
        <v>108</v>
      </c>
      <c r="D481" s="3032">
        <v>134.22</v>
      </c>
      <c r="E481" s="3032">
        <v>84.59</v>
      </c>
      <c r="F481" s="3032"/>
      <c r="G481" s="3032">
        <f t="shared" si="37"/>
        <v>218.81</v>
      </c>
      <c r="H481" s="3032"/>
      <c r="I481" s="3032"/>
      <c r="J481" s="3032">
        <f>868.47-J474-J475-J476-J477-J478-J479-J480</f>
        <v>108.55000000000018</v>
      </c>
      <c r="K481" s="3032">
        <f t="shared" si="26"/>
        <v>110.25999999999982</v>
      </c>
      <c r="L481" s="3032">
        <f t="shared" si="38"/>
        <v>218.81</v>
      </c>
      <c r="M481" s="3032"/>
    </row>
    <row r="482" spans="1:13">
      <c r="A482" s="3032" t="s">
        <v>3150</v>
      </c>
      <c r="B482" s="3032">
        <v>6</v>
      </c>
      <c r="C482" s="3034">
        <v>-201</v>
      </c>
      <c r="D482" s="3032"/>
      <c r="E482" s="3032">
        <v>83.43</v>
      </c>
      <c r="F482" s="3032"/>
      <c r="G482" s="3032">
        <f>SUM(D482:F482)</f>
        <v>83.43</v>
      </c>
      <c r="H482" s="3032">
        <f>SUM(G482:G493)</f>
        <v>1815.6799999999998</v>
      </c>
      <c r="I482" s="3032"/>
      <c r="J482" s="3032"/>
      <c r="K482" s="3032">
        <f t="shared" si="26"/>
        <v>83.43</v>
      </c>
      <c r="L482" s="3032">
        <f t="shared" si="38"/>
        <v>83.43</v>
      </c>
      <c r="M482" s="3032"/>
    </row>
    <row r="483" spans="1:13">
      <c r="A483" s="3032"/>
      <c r="B483" s="3032"/>
      <c r="C483" s="3034">
        <v>-202</v>
      </c>
      <c r="D483" s="3032"/>
      <c r="E483" s="3032">
        <v>84.15</v>
      </c>
      <c r="F483" s="3032"/>
      <c r="G483" s="3032">
        <f t="shared" ref="G483:G493" si="40">SUM(D483:F483)</f>
        <v>84.15</v>
      </c>
      <c r="H483" s="3032"/>
      <c r="I483" s="3032"/>
      <c r="J483" s="3032"/>
      <c r="K483" s="3032">
        <f t="shared" si="26"/>
        <v>84.15</v>
      </c>
      <c r="L483" s="3032">
        <f t="shared" si="38"/>
        <v>84.15</v>
      </c>
      <c r="M483" s="3032"/>
    </row>
    <row r="484" spans="1:13">
      <c r="A484" s="3032"/>
      <c r="B484" s="3032"/>
      <c r="C484" s="3034">
        <v>-203</v>
      </c>
      <c r="D484" s="3032"/>
      <c r="E484" s="3032">
        <v>84.15</v>
      </c>
      <c r="F484" s="3032"/>
      <c r="G484" s="3032">
        <f t="shared" si="40"/>
        <v>84.15</v>
      </c>
      <c r="H484" s="3032"/>
      <c r="I484" s="3032"/>
      <c r="J484" s="3032"/>
      <c r="K484" s="3032">
        <f t="shared" si="26"/>
        <v>84.15</v>
      </c>
      <c r="L484" s="3032">
        <f t="shared" si="38"/>
        <v>84.15</v>
      </c>
      <c r="M484" s="3032"/>
    </row>
    <row r="485" spans="1:13">
      <c r="A485" s="3032"/>
      <c r="B485" s="3032"/>
      <c r="C485" s="3034">
        <v>-204</v>
      </c>
      <c r="D485" s="3032"/>
      <c r="E485" s="3032">
        <v>83.43</v>
      </c>
      <c r="F485" s="3032"/>
      <c r="G485" s="3032">
        <f t="shared" si="40"/>
        <v>83.43</v>
      </c>
      <c r="H485" s="3032"/>
      <c r="I485" s="3032"/>
      <c r="J485" s="3032"/>
      <c r="K485" s="3032">
        <f t="shared" si="26"/>
        <v>83.43</v>
      </c>
      <c r="L485" s="3032">
        <f t="shared" si="38"/>
        <v>83.43</v>
      </c>
      <c r="M485" s="3032"/>
    </row>
    <row r="486" spans="1:13">
      <c r="A486" s="3032"/>
      <c r="B486" s="3032"/>
      <c r="C486" s="3034">
        <v>-205</v>
      </c>
      <c r="D486" s="3032"/>
      <c r="E486" s="3032">
        <v>84.15</v>
      </c>
      <c r="F486" s="3032"/>
      <c r="G486" s="3032">
        <f t="shared" si="40"/>
        <v>84.15</v>
      </c>
      <c r="H486" s="3032"/>
      <c r="I486" s="3032"/>
      <c r="J486" s="3032"/>
      <c r="K486" s="3032">
        <f t="shared" si="26"/>
        <v>84.15</v>
      </c>
      <c r="L486" s="3032">
        <f t="shared" si="38"/>
        <v>84.15</v>
      </c>
      <c r="M486" s="3032"/>
    </row>
    <row r="487" spans="1:13">
      <c r="A487" s="3032"/>
      <c r="B487" s="3032"/>
      <c r="C487" s="3034">
        <v>-206</v>
      </c>
      <c r="D487" s="3032"/>
      <c r="E487" s="3032">
        <v>84.15</v>
      </c>
      <c r="F487" s="3032"/>
      <c r="G487" s="3032">
        <f t="shared" si="40"/>
        <v>84.15</v>
      </c>
      <c r="H487" s="3032"/>
      <c r="I487" s="3032"/>
      <c r="J487" s="3032"/>
      <c r="K487" s="3032">
        <f t="shared" si="26"/>
        <v>84.15</v>
      </c>
      <c r="L487" s="3032">
        <f t="shared" si="38"/>
        <v>84.15</v>
      </c>
      <c r="M487" s="3032"/>
    </row>
    <row r="488" spans="1:13">
      <c r="A488" s="3032"/>
      <c r="B488" s="3032"/>
      <c r="C488" s="3034">
        <v>101</v>
      </c>
      <c r="D488" s="3032">
        <v>134.18</v>
      </c>
      <c r="E488" s="3032">
        <v>84.28</v>
      </c>
      <c r="F488" s="3032"/>
      <c r="G488" s="3032">
        <f t="shared" si="40"/>
        <v>218.46</v>
      </c>
      <c r="H488" s="3032"/>
      <c r="I488" s="3032"/>
      <c r="J488" s="3032">
        <f>J452</f>
        <v>108.67</v>
      </c>
      <c r="K488" s="3032">
        <f t="shared" si="26"/>
        <v>109.79</v>
      </c>
      <c r="L488" s="3032">
        <f t="shared" si="38"/>
        <v>218.46</v>
      </c>
      <c r="M488" s="3032">
        <f>J488+J489+J490+J491+J492+J493</f>
        <v>652.01</v>
      </c>
    </row>
    <row r="489" spans="1:13">
      <c r="A489" s="3032"/>
      <c r="B489" s="3032"/>
      <c r="C489" s="3034">
        <v>102</v>
      </c>
      <c r="D489" s="3032">
        <v>134.16999999999999</v>
      </c>
      <c r="E489" s="3032">
        <v>84.42</v>
      </c>
      <c r="F489" s="3032"/>
      <c r="G489" s="3032">
        <f t="shared" si="40"/>
        <v>218.58999999999997</v>
      </c>
      <c r="H489" s="3032"/>
      <c r="I489" s="3032"/>
      <c r="J489" s="3032">
        <f>J488</f>
        <v>108.67</v>
      </c>
      <c r="K489" s="3032">
        <f t="shared" si="26"/>
        <v>109.91999999999997</v>
      </c>
      <c r="L489" s="3032">
        <f t="shared" si="38"/>
        <v>218.58999999999997</v>
      </c>
      <c r="M489" s="3032"/>
    </row>
    <row r="490" spans="1:13">
      <c r="A490" s="3032"/>
      <c r="B490" s="3032"/>
      <c r="C490" s="3034">
        <v>103</v>
      </c>
      <c r="D490" s="3032">
        <v>134.36000000000001</v>
      </c>
      <c r="E490" s="3032">
        <v>84.7</v>
      </c>
      <c r="F490" s="3032"/>
      <c r="G490" s="3032">
        <f t="shared" si="40"/>
        <v>219.06</v>
      </c>
      <c r="H490" s="3032"/>
      <c r="I490" s="3032"/>
      <c r="J490" s="3032">
        <f>J488</f>
        <v>108.67</v>
      </c>
      <c r="K490" s="3032">
        <f t="shared" si="26"/>
        <v>110.39</v>
      </c>
      <c r="L490" s="3032">
        <f t="shared" si="38"/>
        <v>219.06</v>
      </c>
      <c r="M490" s="3032"/>
    </row>
    <row r="491" spans="1:13">
      <c r="A491" s="3032"/>
      <c r="B491" s="3032"/>
      <c r="C491" s="3034">
        <v>104</v>
      </c>
      <c r="D491" s="3032">
        <v>134.18</v>
      </c>
      <c r="E491" s="3032">
        <v>84.28</v>
      </c>
      <c r="F491" s="3032"/>
      <c r="G491" s="3032">
        <f t="shared" si="40"/>
        <v>218.46</v>
      </c>
      <c r="H491" s="3032"/>
      <c r="I491" s="3032"/>
      <c r="J491" s="3032">
        <f>J488</f>
        <v>108.67</v>
      </c>
      <c r="K491" s="3032">
        <f t="shared" si="26"/>
        <v>109.79</v>
      </c>
      <c r="L491" s="3032">
        <f t="shared" si="38"/>
        <v>218.46</v>
      </c>
      <c r="M491" s="3032"/>
    </row>
    <row r="492" spans="1:13">
      <c r="A492" s="3032"/>
      <c r="B492" s="3032"/>
      <c r="C492" s="3034">
        <v>105</v>
      </c>
      <c r="D492" s="3032">
        <v>134.16999999999999</v>
      </c>
      <c r="E492" s="3032">
        <v>84.42</v>
      </c>
      <c r="F492" s="3032"/>
      <c r="G492" s="3032">
        <f t="shared" si="40"/>
        <v>218.58999999999997</v>
      </c>
      <c r="H492" s="3032"/>
      <c r="I492" s="3032"/>
      <c r="J492" s="3032">
        <f>J488</f>
        <v>108.67</v>
      </c>
      <c r="K492" s="3032">
        <f t="shared" si="26"/>
        <v>109.91999999999997</v>
      </c>
      <c r="L492" s="3032">
        <f t="shared" si="38"/>
        <v>218.58999999999997</v>
      </c>
      <c r="M492" s="3032"/>
    </row>
    <row r="493" spans="1:13">
      <c r="A493" s="3032"/>
      <c r="B493" s="3032"/>
      <c r="C493" s="3034">
        <v>106</v>
      </c>
      <c r="D493" s="3032">
        <v>134.36000000000001</v>
      </c>
      <c r="E493" s="3032">
        <v>84.7</v>
      </c>
      <c r="F493" s="3032"/>
      <c r="G493" s="3032">
        <f t="shared" si="40"/>
        <v>219.06</v>
      </c>
      <c r="H493" s="3032"/>
      <c r="I493" s="3032"/>
      <c r="J493" s="3032">
        <f>J457</f>
        <v>108.66</v>
      </c>
      <c r="K493" s="3032">
        <f t="shared" si="26"/>
        <v>110.4</v>
      </c>
      <c r="L493" s="3032">
        <f t="shared" si="38"/>
        <v>219.06</v>
      </c>
      <c r="M493" s="3032"/>
    </row>
    <row r="494" spans="1:13">
      <c r="A494" s="3032" t="s">
        <v>3151</v>
      </c>
      <c r="B494" s="3032">
        <v>6</v>
      </c>
      <c r="C494" s="3034">
        <v>-201</v>
      </c>
      <c r="D494" s="3032"/>
      <c r="E494" s="3032">
        <v>83.43</v>
      </c>
      <c r="F494" s="3032"/>
      <c r="G494" s="3032">
        <f>SUM(D494:F494)</f>
        <v>83.43</v>
      </c>
      <c r="H494" s="3032">
        <f>SUM(G494:G505)</f>
        <v>1815.6799999999998</v>
      </c>
      <c r="I494" s="3032"/>
      <c r="J494" s="3032"/>
      <c r="K494" s="3032">
        <f t="shared" si="26"/>
        <v>83.43</v>
      </c>
      <c r="L494" s="3032">
        <f t="shared" si="38"/>
        <v>83.43</v>
      </c>
      <c r="M494" s="3032"/>
    </row>
    <row r="495" spans="1:13">
      <c r="A495" s="3032"/>
      <c r="B495" s="3032"/>
      <c r="C495" s="3034">
        <v>-202</v>
      </c>
      <c r="D495" s="3032"/>
      <c r="E495" s="3032">
        <v>84.15</v>
      </c>
      <c r="F495" s="3032"/>
      <c r="G495" s="3032">
        <f t="shared" ref="G495:G505" si="41">SUM(D495:F495)</f>
        <v>84.15</v>
      </c>
      <c r="H495" s="3032"/>
      <c r="I495" s="3032"/>
      <c r="J495" s="3032"/>
      <c r="K495" s="3032">
        <f t="shared" si="26"/>
        <v>84.15</v>
      </c>
      <c r="L495" s="3032">
        <f t="shared" si="38"/>
        <v>84.15</v>
      </c>
      <c r="M495" s="3032"/>
    </row>
    <row r="496" spans="1:13">
      <c r="A496" s="3032"/>
      <c r="B496" s="3032"/>
      <c r="C496" s="3034">
        <v>-203</v>
      </c>
      <c r="D496" s="3032"/>
      <c r="E496" s="3032">
        <v>84.15</v>
      </c>
      <c r="F496" s="3032"/>
      <c r="G496" s="3032">
        <f t="shared" si="41"/>
        <v>84.15</v>
      </c>
      <c r="H496" s="3032"/>
      <c r="I496" s="3032"/>
      <c r="J496" s="3032"/>
      <c r="K496" s="3032">
        <f t="shared" si="26"/>
        <v>84.15</v>
      </c>
      <c r="L496" s="3032">
        <f t="shared" si="38"/>
        <v>84.15</v>
      </c>
      <c r="M496" s="3032"/>
    </row>
    <row r="497" spans="1:13">
      <c r="A497" s="3032"/>
      <c r="B497" s="3032"/>
      <c r="C497" s="3034">
        <v>-204</v>
      </c>
      <c r="D497" s="3032"/>
      <c r="E497" s="3032">
        <v>83.43</v>
      </c>
      <c r="F497" s="3032"/>
      <c r="G497" s="3032">
        <f t="shared" si="41"/>
        <v>83.43</v>
      </c>
      <c r="H497" s="3032"/>
      <c r="I497" s="3032"/>
      <c r="J497" s="3032"/>
      <c r="K497" s="3032">
        <f t="shared" si="26"/>
        <v>83.43</v>
      </c>
      <c r="L497" s="3032">
        <f t="shared" si="38"/>
        <v>83.43</v>
      </c>
      <c r="M497" s="3032"/>
    </row>
    <row r="498" spans="1:13">
      <c r="A498" s="3032"/>
      <c r="B498" s="3032"/>
      <c r="C498" s="3034">
        <v>-205</v>
      </c>
      <c r="D498" s="3032"/>
      <c r="E498" s="3032">
        <v>84.15</v>
      </c>
      <c r="F498" s="3032"/>
      <c r="G498" s="3032">
        <f t="shared" si="41"/>
        <v>84.15</v>
      </c>
      <c r="H498" s="3032"/>
      <c r="I498" s="3032"/>
      <c r="J498" s="3032"/>
      <c r="K498" s="3032">
        <f t="shared" si="26"/>
        <v>84.15</v>
      </c>
      <c r="L498" s="3032">
        <f t="shared" si="38"/>
        <v>84.15</v>
      </c>
      <c r="M498" s="3032"/>
    </row>
    <row r="499" spans="1:13">
      <c r="A499" s="3032"/>
      <c r="B499" s="3032"/>
      <c r="C499" s="3034">
        <v>-206</v>
      </c>
      <c r="D499" s="3032"/>
      <c r="E499" s="3032">
        <v>84.15</v>
      </c>
      <c r="F499" s="3032"/>
      <c r="G499" s="3032">
        <f t="shared" si="41"/>
        <v>84.15</v>
      </c>
      <c r="H499" s="3032"/>
      <c r="I499" s="3032"/>
      <c r="J499" s="3032"/>
      <c r="K499" s="3032">
        <f t="shared" si="26"/>
        <v>84.15</v>
      </c>
      <c r="L499" s="3032">
        <f t="shared" si="38"/>
        <v>84.15</v>
      </c>
      <c r="M499" s="3032"/>
    </row>
    <row r="500" spans="1:13">
      <c r="A500" s="3032"/>
      <c r="B500" s="3032"/>
      <c r="C500" s="3034">
        <v>101</v>
      </c>
      <c r="D500" s="3032">
        <v>134.18</v>
      </c>
      <c r="E500" s="3032">
        <v>84.28</v>
      </c>
      <c r="F500" s="3032"/>
      <c r="G500" s="3032">
        <f t="shared" si="41"/>
        <v>218.46</v>
      </c>
      <c r="H500" s="3032"/>
      <c r="I500" s="3032"/>
      <c r="J500" s="3032">
        <f>J488</f>
        <v>108.67</v>
      </c>
      <c r="K500" s="3032">
        <f t="shared" si="26"/>
        <v>109.79</v>
      </c>
      <c r="L500" s="3032">
        <f t="shared" si="38"/>
        <v>218.46</v>
      </c>
      <c r="M500" s="3032">
        <f>J500+J501+J502+J503+J504+J505</f>
        <v>652.01</v>
      </c>
    </row>
    <row r="501" spans="1:13">
      <c r="A501" s="3032"/>
      <c r="B501" s="3032"/>
      <c r="C501" s="3034">
        <v>102</v>
      </c>
      <c r="D501" s="3032">
        <v>134.16999999999999</v>
      </c>
      <c r="E501" s="3032">
        <v>84.42</v>
      </c>
      <c r="F501" s="3032"/>
      <c r="G501" s="3032">
        <f t="shared" si="41"/>
        <v>218.58999999999997</v>
      </c>
      <c r="H501" s="3032"/>
      <c r="I501" s="3032"/>
      <c r="J501" s="3032">
        <f>J500</f>
        <v>108.67</v>
      </c>
      <c r="K501" s="3032">
        <f t="shared" si="26"/>
        <v>109.91999999999997</v>
      </c>
      <c r="L501" s="3032">
        <f t="shared" si="38"/>
        <v>218.58999999999997</v>
      </c>
      <c r="M501" s="3032"/>
    </row>
    <row r="502" spans="1:13">
      <c r="A502" s="3032"/>
      <c r="B502" s="3032"/>
      <c r="C502" s="3034">
        <v>103</v>
      </c>
      <c r="D502" s="3032">
        <v>134.36000000000001</v>
      </c>
      <c r="E502" s="3032">
        <v>84.7</v>
      </c>
      <c r="F502" s="3032"/>
      <c r="G502" s="3032">
        <f t="shared" si="41"/>
        <v>219.06</v>
      </c>
      <c r="H502" s="3032"/>
      <c r="I502" s="3032"/>
      <c r="J502" s="3032">
        <f>J500</f>
        <v>108.67</v>
      </c>
      <c r="K502" s="3032">
        <f t="shared" si="26"/>
        <v>110.39</v>
      </c>
      <c r="L502" s="3032">
        <f t="shared" si="38"/>
        <v>219.06</v>
      </c>
      <c r="M502" s="3032"/>
    </row>
    <row r="503" spans="1:13">
      <c r="A503" s="3032"/>
      <c r="B503" s="3032"/>
      <c r="C503" s="3034">
        <v>104</v>
      </c>
      <c r="D503" s="3032">
        <v>134.18</v>
      </c>
      <c r="E503" s="3032">
        <v>84.28</v>
      </c>
      <c r="F503" s="3032"/>
      <c r="G503" s="3032">
        <f t="shared" si="41"/>
        <v>218.46</v>
      </c>
      <c r="H503" s="3032"/>
      <c r="I503" s="3032"/>
      <c r="J503" s="3032">
        <f>J500</f>
        <v>108.67</v>
      </c>
      <c r="K503" s="3032">
        <f t="shared" si="26"/>
        <v>109.79</v>
      </c>
      <c r="L503" s="3032">
        <f t="shared" si="38"/>
        <v>218.46</v>
      </c>
      <c r="M503" s="3032"/>
    </row>
    <row r="504" spans="1:13">
      <c r="A504" s="3032"/>
      <c r="B504" s="3032"/>
      <c r="C504" s="3034">
        <v>105</v>
      </c>
      <c r="D504" s="3032">
        <v>134.16999999999999</v>
      </c>
      <c r="E504" s="3032">
        <v>84.42</v>
      </c>
      <c r="F504" s="3032"/>
      <c r="G504" s="3032">
        <f t="shared" si="41"/>
        <v>218.58999999999997</v>
      </c>
      <c r="H504" s="3032"/>
      <c r="I504" s="3032"/>
      <c r="J504" s="3032">
        <f>J500</f>
        <v>108.67</v>
      </c>
      <c r="K504" s="3032">
        <f t="shared" si="26"/>
        <v>109.91999999999997</v>
      </c>
      <c r="L504" s="3032">
        <f t="shared" si="38"/>
        <v>218.58999999999997</v>
      </c>
      <c r="M504" s="3032"/>
    </row>
    <row r="505" spans="1:13">
      <c r="A505" s="3032"/>
      <c r="B505" s="3032"/>
      <c r="C505" s="3034">
        <v>106</v>
      </c>
      <c r="D505" s="3032">
        <v>134.36000000000001</v>
      </c>
      <c r="E505" s="3032">
        <v>84.7</v>
      </c>
      <c r="F505" s="3032"/>
      <c r="G505" s="3032">
        <f t="shared" si="41"/>
        <v>219.06</v>
      </c>
      <c r="H505" s="3032"/>
      <c r="I505" s="3032"/>
      <c r="J505" s="3032">
        <f>J493</f>
        <v>108.66</v>
      </c>
      <c r="K505" s="3032">
        <f t="shared" si="26"/>
        <v>110.4</v>
      </c>
      <c r="L505" s="3032">
        <f t="shared" si="38"/>
        <v>219.06</v>
      </c>
      <c r="M505" s="3032"/>
    </row>
    <row r="506" spans="1:13">
      <c r="A506" s="3032" t="s">
        <v>3152</v>
      </c>
      <c r="B506" s="3032">
        <v>8</v>
      </c>
      <c r="C506" s="3034">
        <v>-201</v>
      </c>
      <c r="D506" s="3032"/>
      <c r="E506" s="3032">
        <v>83.37</v>
      </c>
      <c r="F506" s="3032"/>
      <c r="G506" s="3032">
        <f>SUM(D506:F506)</f>
        <v>83.37</v>
      </c>
      <c r="H506" s="3032">
        <f>SUM(G506:G521)</f>
        <v>2419.2400000000002</v>
      </c>
      <c r="I506" s="3032"/>
      <c r="J506" s="3032"/>
      <c r="K506" s="3032">
        <f t="shared" si="26"/>
        <v>83.37</v>
      </c>
      <c r="L506" s="3032">
        <f t="shared" si="38"/>
        <v>83.37</v>
      </c>
      <c r="M506" s="3032"/>
    </row>
    <row r="507" spans="1:13">
      <c r="A507" s="3032"/>
      <c r="B507" s="3032"/>
      <c r="C507" s="3034">
        <v>-202</v>
      </c>
      <c r="D507" s="3032"/>
      <c r="E507" s="3032">
        <v>84.09</v>
      </c>
      <c r="F507" s="3032"/>
      <c r="G507" s="3032">
        <f t="shared" ref="G507:G521" si="42">SUM(D507:F507)</f>
        <v>84.09</v>
      </c>
      <c r="H507" s="3032"/>
      <c r="I507" s="3032"/>
      <c r="J507" s="3032"/>
      <c r="K507" s="3032">
        <f t="shared" si="26"/>
        <v>84.09</v>
      </c>
      <c r="L507" s="3032">
        <f t="shared" si="38"/>
        <v>84.09</v>
      </c>
      <c r="M507" s="3032"/>
    </row>
    <row r="508" spans="1:13">
      <c r="A508" s="3032"/>
      <c r="B508" s="3032"/>
      <c r="C508" s="3034">
        <v>-203</v>
      </c>
      <c r="D508" s="3032"/>
      <c r="E508" s="3032">
        <v>84.09</v>
      </c>
      <c r="F508" s="3032"/>
      <c r="G508" s="3032">
        <f t="shared" si="42"/>
        <v>84.09</v>
      </c>
      <c r="H508" s="3032"/>
      <c r="I508" s="3032"/>
      <c r="J508" s="3032"/>
      <c r="K508" s="3032">
        <f t="shared" si="26"/>
        <v>84.09</v>
      </c>
      <c r="L508" s="3032">
        <f t="shared" si="38"/>
        <v>84.09</v>
      </c>
      <c r="M508" s="3032"/>
    </row>
    <row r="509" spans="1:13">
      <c r="A509" s="3032"/>
      <c r="B509" s="3032"/>
      <c r="C509" s="3034">
        <v>-204</v>
      </c>
      <c r="D509" s="3032"/>
      <c r="E509" s="3032">
        <v>84.09</v>
      </c>
      <c r="F509" s="3032"/>
      <c r="G509" s="3032">
        <f t="shared" si="42"/>
        <v>84.09</v>
      </c>
      <c r="H509" s="3032"/>
      <c r="I509" s="3032"/>
      <c r="J509" s="3032"/>
      <c r="K509" s="3032">
        <f t="shared" si="26"/>
        <v>84.09</v>
      </c>
      <c r="L509" s="3032">
        <f t="shared" si="38"/>
        <v>84.09</v>
      </c>
      <c r="M509" s="3032"/>
    </row>
    <row r="510" spans="1:13">
      <c r="A510" s="3032"/>
      <c r="B510" s="3032"/>
      <c r="C510" s="3034">
        <v>-205</v>
      </c>
      <c r="D510" s="3032"/>
      <c r="E510" s="3032">
        <v>83.37</v>
      </c>
      <c r="F510" s="3032"/>
      <c r="G510" s="3032">
        <f t="shared" si="42"/>
        <v>83.37</v>
      </c>
      <c r="H510" s="3032"/>
      <c r="I510" s="3032"/>
      <c r="J510" s="3032"/>
      <c r="K510" s="3032">
        <f t="shared" si="26"/>
        <v>83.37</v>
      </c>
      <c r="L510" s="3032">
        <f t="shared" si="38"/>
        <v>83.37</v>
      </c>
      <c r="M510" s="3032"/>
    </row>
    <row r="511" spans="1:13">
      <c r="A511" s="3032"/>
      <c r="B511" s="3032"/>
      <c r="C511" s="3034">
        <v>-206</v>
      </c>
      <c r="D511" s="3032"/>
      <c r="E511" s="3032">
        <v>84.09</v>
      </c>
      <c r="F511" s="3032"/>
      <c r="G511" s="3032">
        <f t="shared" si="42"/>
        <v>84.09</v>
      </c>
      <c r="H511" s="3032"/>
      <c r="I511" s="3032"/>
      <c r="J511" s="3032"/>
      <c r="K511" s="3032">
        <f t="shared" si="26"/>
        <v>84.09</v>
      </c>
      <c r="L511" s="3032">
        <f t="shared" si="38"/>
        <v>84.09</v>
      </c>
      <c r="M511" s="3032"/>
    </row>
    <row r="512" spans="1:13">
      <c r="A512" s="3032"/>
      <c r="B512" s="3032"/>
      <c r="C512" s="3034">
        <v>-207</v>
      </c>
      <c r="D512" s="3032"/>
      <c r="E512" s="3032">
        <v>84.09</v>
      </c>
      <c r="F512" s="3032"/>
      <c r="G512" s="3032">
        <f t="shared" si="42"/>
        <v>84.09</v>
      </c>
      <c r="H512" s="3032"/>
      <c r="I512" s="3032"/>
      <c r="J512" s="3032"/>
      <c r="K512" s="3032">
        <f t="shared" si="26"/>
        <v>84.09</v>
      </c>
      <c r="L512" s="3032">
        <f t="shared" si="38"/>
        <v>84.09</v>
      </c>
      <c r="M512" s="3032"/>
    </row>
    <row r="513" spans="1:13">
      <c r="A513" s="3032"/>
      <c r="B513" s="3032"/>
      <c r="C513" s="3034">
        <v>-208</v>
      </c>
      <c r="D513" s="3032"/>
      <c r="E513" s="3032">
        <v>84.09</v>
      </c>
      <c r="F513" s="3032"/>
      <c r="G513" s="3032">
        <f t="shared" si="42"/>
        <v>84.09</v>
      </c>
      <c r="H513" s="3032"/>
      <c r="I513" s="3032"/>
      <c r="J513" s="3032"/>
      <c r="K513" s="3032">
        <f t="shared" si="26"/>
        <v>84.09</v>
      </c>
      <c r="L513" s="3032">
        <f t="shared" si="38"/>
        <v>84.09</v>
      </c>
      <c r="M513" s="3032"/>
    </row>
    <row r="514" spans="1:13">
      <c r="A514" s="3032"/>
      <c r="B514" s="3032"/>
      <c r="C514" s="3034">
        <v>101</v>
      </c>
      <c r="D514" s="3032">
        <v>134.07</v>
      </c>
      <c r="E514" s="3032">
        <v>84.2</v>
      </c>
      <c r="F514" s="3032"/>
      <c r="G514" s="3032">
        <f t="shared" si="42"/>
        <v>218.26999999999998</v>
      </c>
      <c r="H514" s="3032"/>
      <c r="I514" s="3032"/>
      <c r="J514" s="3032">
        <f>J474</f>
        <v>108.56</v>
      </c>
      <c r="K514" s="3032">
        <f t="shared" si="26"/>
        <v>109.70999999999998</v>
      </c>
      <c r="L514" s="3032">
        <f t="shared" si="38"/>
        <v>218.26999999999998</v>
      </c>
      <c r="M514" s="3032">
        <f>J514+J515+J516+J517+J518+J519+J520+J521</f>
        <v>868.4699999999998</v>
      </c>
    </row>
    <row r="515" spans="1:13">
      <c r="A515" s="3032"/>
      <c r="B515" s="3032"/>
      <c r="C515" s="3034">
        <v>102</v>
      </c>
      <c r="D515" s="3032">
        <v>134.07</v>
      </c>
      <c r="E515" s="3032">
        <v>84.35</v>
      </c>
      <c r="F515" s="3032"/>
      <c r="G515" s="3032">
        <f t="shared" si="42"/>
        <v>218.42</v>
      </c>
      <c r="H515" s="3032"/>
      <c r="I515" s="3032"/>
      <c r="J515" s="3032">
        <f>J514</f>
        <v>108.56</v>
      </c>
      <c r="K515" s="3032">
        <f t="shared" si="26"/>
        <v>109.85999999999999</v>
      </c>
      <c r="L515" s="3032">
        <f t="shared" si="38"/>
        <v>218.42</v>
      </c>
      <c r="M515" s="3032"/>
    </row>
    <row r="516" spans="1:13">
      <c r="A516" s="3032"/>
      <c r="B516" s="3032"/>
      <c r="C516" s="3034">
        <v>103</v>
      </c>
      <c r="D516" s="3032">
        <v>134.07</v>
      </c>
      <c r="E516" s="3032">
        <v>84.35</v>
      </c>
      <c r="F516" s="3032"/>
      <c r="G516" s="3032">
        <f t="shared" si="42"/>
        <v>218.42</v>
      </c>
      <c r="H516" s="3032"/>
      <c r="I516" s="3032"/>
      <c r="J516" s="3032">
        <f>J514</f>
        <v>108.56</v>
      </c>
      <c r="K516" s="3032">
        <f t="shared" si="26"/>
        <v>109.85999999999999</v>
      </c>
      <c r="L516" s="3032">
        <f t="shared" si="38"/>
        <v>218.42</v>
      </c>
      <c r="M516" s="3032"/>
    </row>
    <row r="517" spans="1:13">
      <c r="A517" s="3032"/>
      <c r="B517" s="3032"/>
      <c r="C517" s="3034">
        <v>104</v>
      </c>
      <c r="D517" s="3032">
        <v>134.26</v>
      </c>
      <c r="E517" s="3032">
        <v>84.61</v>
      </c>
      <c r="F517" s="3032"/>
      <c r="G517" s="3032">
        <f t="shared" si="42"/>
        <v>218.87</v>
      </c>
      <c r="H517" s="3032"/>
      <c r="I517" s="3032"/>
      <c r="J517" s="3032">
        <f>J514</f>
        <v>108.56</v>
      </c>
      <c r="K517" s="3032">
        <f t="shared" si="26"/>
        <v>110.31</v>
      </c>
      <c r="L517" s="3032">
        <f t="shared" si="38"/>
        <v>218.87</v>
      </c>
      <c r="M517" s="3032"/>
    </row>
    <row r="518" spans="1:13">
      <c r="A518" s="3032"/>
      <c r="B518" s="3032"/>
      <c r="C518" s="3034">
        <v>105</v>
      </c>
      <c r="D518" s="3032">
        <v>134.07</v>
      </c>
      <c r="E518" s="3032">
        <v>84.2</v>
      </c>
      <c r="F518" s="3032"/>
      <c r="G518" s="3032">
        <f t="shared" si="42"/>
        <v>218.26999999999998</v>
      </c>
      <c r="H518" s="3032"/>
      <c r="I518" s="3032"/>
      <c r="J518" s="3032">
        <f>J514</f>
        <v>108.56</v>
      </c>
      <c r="K518" s="3032">
        <f t="shared" si="26"/>
        <v>109.70999999999998</v>
      </c>
      <c r="L518" s="3032">
        <f t="shared" si="38"/>
        <v>218.26999999999998</v>
      </c>
      <c r="M518" s="3032"/>
    </row>
    <row r="519" spans="1:13">
      <c r="A519" s="3032"/>
      <c r="B519" s="3032"/>
      <c r="C519" s="3034">
        <v>106</v>
      </c>
      <c r="D519" s="3032">
        <v>134.07</v>
      </c>
      <c r="E519" s="3032">
        <v>84.35</v>
      </c>
      <c r="F519" s="3032"/>
      <c r="G519" s="3032">
        <f t="shared" si="42"/>
        <v>218.42</v>
      </c>
      <c r="H519" s="3032"/>
      <c r="I519" s="3032"/>
      <c r="J519" s="3032">
        <f>J514</f>
        <v>108.56</v>
      </c>
      <c r="K519" s="3032">
        <f t="shared" si="26"/>
        <v>109.85999999999999</v>
      </c>
      <c r="L519" s="3032">
        <f t="shared" si="38"/>
        <v>218.42</v>
      </c>
      <c r="M519" s="3032"/>
    </row>
    <row r="520" spans="1:13">
      <c r="A520" s="3032"/>
      <c r="B520" s="3032"/>
      <c r="C520" s="3034">
        <v>107</v>
      </c>
      <c r="D520" s="3032">
        <v>134.07</v>
      </c>
      <c r="E520" s="3032">
        <v>84.35</v>
      </c>
      <c r="F520" s="3032"/>
      <c r="G520" s="3032">
        <f t="shared" si="42"/>
        <v>218.42</v>
      </c>
      <c r="H520" s="3032"/>
      <c r="I520" s="3032"/>
      <c r="J520" s="3032">
        <f>J514</f>
        <v>108.56</v>
      </c>
      <c r="K520" s="3032">
        <f t="shared" si="26"/>
        <v>109.85999999999999</v>
      </c>
      <c r="L520" s="3032">
        <f t="shared" si="38"/>
        <v>218.42</v>
      </c>
      <c r="M520" s="3032"/>
    </row>
    <row r="521" spans="1:13">
      <c r="A521" s="3032"/>
      <c r="B521" s="3032"/>
      <c r="C521" s="3034">
        <v>108</v>
      </c>
      <c r="D521" s="3032">
        <v>134.26</v>
      </c>
      <c r="E521" s="3032">
        <v>84.61</v>
      </c>
      <c r="F521" s="3032"/>
      <c r="G521" s="3032">
        <f t="shared" si="42"/>
        <v>218.87</v>
      </c>
      <c r="H521" s="3032"/>
      <c r="I521" s="3032"/>
      <c r="J521" s="3032">
        <v>108.55</v>
      </c>
      <c r="K521" s="3032">
        <f t="shared" si="26"/>
        <v>110.32000000000001</v>
      </c>
      <c r="L521" s="3032">
        <f t="shared" si="38"/>
        <v>218.87</v>
      </c>
      <c r="M521" s="3032"/>
    </row>
    <row r="522" spans="1:13">
      <c r="A522" s="3032" t="s">
        <v>3153</v>
      </c>
      <c r="B522" s="3032">
        <v>8</v>
      </c>
      <c r="C522" s="3034">
        <v>-201</v>
      </c>
      <c r="D522" s="3032"/>
      <c r="E522" s="3032">
        <v>83.36</v>
      </c>
      <c r="F522" s="3032"/>
      <c r="G522" s="3032">
        <f>SUM(D522:F522)</f>
        <v>83.36</v>
      </c>
      <c r="H522" s="3032">
        <f>SUM(G522:G537)</f>
        <v>2418.62</v>
      </c>
      <c r="I522" s="3032"/>
      <c r="J522" s="3032"/>
      <c r="K522" s="3032">
        <f t="shared" si="26"/>
        <v>83.36</v>
      </c>
      <c r="L522" s="3032">
        <f t="shared" si="38"/>
        <v>83.36</v>
      </c>
      <c r="M522" s="3032"/>
    </row>
    <row r="523" spans="1:13">
      <c r="A523" s="3032"/>
      <c r="B523" s="3032"/>
      <c r="C523" s="3034">
        <v>-202</v>
      </c>
      <c r="D523" s="3032"/>
      <c r="E523" s="3032">
        <v>84.08</v>
      </c>
      <c r="F523" s="3032"/>
      <c r="G523" s="3032">
        <f t="shared" ref="G523:G586" si="43">SUM(D523:F523)</f>
        <v>84.08</v>
      </c>
      <c r="H523" s="3032"/>
      <c r="I523" s="3032"/>
      <c r="J523" s="3032"/>
      <c r="K523" s="3032">
        <f t="shared" si="26"/>
        <v>84.08</v>
      </c>
      <c r="L523" s="3032">
        <f t="shared" si="38"/>
        <v>84.08</v>
      </c>
      <c r="M523" s="3032"/>
    </row>
    <row r="524" spans="1:13">
      <c r="A524" s="3032"/>
      <c r="B524" s="3032"/>
      <c r="C524" s="3034">
        <v>-203</v>
      </c>
      <c r="D524" s="3032"/>
      <c r="E524" s="3032">
        <v>84.08</v>
      </c>
      <c r="F524" s="3032"/>
      <c r="G524" s="3032">
        <f t="shared" si="43"/>
        <v>84.08</v>
      </c>
      <c r="H524" s="3032"/>
      <c r="I524" s="3032"/>
      <c r="J524" s="3032"/>
      <c r="K524" s="3032">
        <f t="shared" si="26"/>
        <v>84.08</v>
      </c>
      <c r="L524" s="3032">
        <f t="shared" si="38"/>
        <v>84.08</v>
      </c>
      <c r="M524" s="3032"/>
    </row>
    <row r="525" spans="1:13">
      <c r="A525" s="3032"/>
      <c r="B525" s="3032"/>
      <c r="C525" s="3034">
        <v>-204</v>
      </c>
      <c r="D525" s="3032"/>
      <c r="E525" s="3032">
        <v>84.08</v>
      </c>
      <c r="F525" s="3032"/>
      <c r="G525" s="3032">
        <f t="shared" si="43"/>
        <v>84.08</v>
      </c>
      <c r="H525" s="3032"/>
      <c r="I525" s="3032"/>
      <c r="J525" s="3032"/>
      <c r="K525" s="3032">
        <f t="shared" si="26"/>
        <v>84.08</v>
      </c>
      <c r="L525" s="3032">
        <f t="shared" si="38"/>
        <v>84.08</v>
      </c>
      <c r="M525" s="3032"/>
    </row>
    <row r="526" spans="1:13">
      <c r="A526" s="3032"/>
      <c r="B526" s="3032"/>
      <c r="C526" s="3034">
        <v>-205</v>
      </c>
      <c r="D526" s="3032"/>
      <c r="E526" s="3032">
        <v>83.36</v>
      </c>
      <c r="F526" s="3032"/>
      <c r="G526" s="3032">
        <f t="shared" si="43"/>
        <v>83.36</v>
      </c>
      <c r="H526" s="3032"/>
      <c r="I526" s="3032"/>
      <c r="J526" s="3032"/>
      <c r="K526" s="3032">
        <f t="shared" si="26"/>
        <v>83.36</v>
      </c>
      <c r="L526" s="3032">
        <f t="shared" ref="L526:L781" si="44">J526+K526</f>
        <v>83.36</v>
      </c>
      <c r="M526" s="3032"/>
    </row>
    <row r="527" spans="1:13">
      <c r="A527" s="3032"/>
      <c r="B527" s="3032"/>
      <c r="C527" s="3034">
        <v>-206</v>
      </c>
      <c r="D527" s="3032"/>
      <c r="E527" s="3032">
        <v>84.08</v>
      </c>
      <c r="F527" s="3032"/>
      <c r="G527" s="3032">
        <f t="shared" si="43"/>
        <v>84.08</v>
      </c>
      <c r="H527" s="3032"/>
      <c r="I527" s="3032"/>
      <c r="J527" s="3032"/>
      <c r="K527" s="3032">
        <f t="shared" si="26"/>
        <v>84.08</v>
      </c>
      <c r="L527" s="3032">
        <f t="shared" si="44"/>
        <v>84.08</v>
      </c>
      <c r="M527" s="3032"/>
    </row>
    <row r="528" spans="1:13">
      <c r="A528" s="3032"/>
      <c r="B528" s="3032"/>
      <c r="C528" s="3034">
        <v>-207</v>
      </c>
      <c r="D528" s="3032"/>
      <c r="E528" s="3032">
        <v>84.08</v>
      </c>
      <c r="F528" s="3032"/>
      <c r="G528" s="3032">
        <f t="shared" si="43"/>
        <v>84.08</v>
      </c>
      <c r="H528" s="3032"/>
      <c r="I528" s="3032"/>
      <c r="J528" s="3032"/>
      <c r="K528" s="3032">
        <f t="shared" si="26"/>
        <v>84.08</v>
      </c>
      <c r="L528" s="3032">
        <f t="shared" si="44"/>
        <v>84.08</v>
      </c>
      <c r="M528" s="3032"/>
    </row>
    <row r="529" spans="1:13">
      <c r="A529" s="3032"/>
      <c r="B529" s="3032"/>
      <c r="C529" s="3034">
        <v>-208</v>
      </c>
      <c r="D529" s="3032"/>
      <c r="E529" s="3032">
        <v>84.08</v>
      </c>
      <c r="F529" s="3032"/>
      <c r="G529" s="3032">
        <f t="shared" si="43"/>
        <v>84.08</v>
      </c>
      <c r="H529" s="3032"/>
      <c r="I529" s="3032"/>
      <c r="J529" s="3032"/>
      <c r="K529" s="3032">
        <f t="shared" si="26"/>
        <v>84.08</v>
      </c>
      <c r="L529" s="3032">
        <f t="shared" si="44"/>
        <v>84.08</v>
      </c>
      <c r="M529" s="3032"/>
    </row>
    <row r="530" spans="1:13">
      <c r="A530" s="3032"/>
      <c r="B530" s="3032"/>
      <c r="C530" s="3034">
        <v>101</v>
      </c>
      <c r="D530" s="3032">
        <v>134.02000000000001</v>
      </c>
      <c r="E530" s="3032">
        <v>84.18</v>
      </c>
      <c r="F530" s="3032"/>
      <c r="G530" s="3032">
        <f t="shared" si="43"/>
        <v>218.20000000000002</v>
      </c>
      <c r="H530" s="3032"/>
      <c r="I530" s="3032"/>
      <c r="J530" s="3032">
        <f>J514</f>
        <v>108.56</v>
      </c>
      <c r="K530" s="3032">
        <f t="shared" si="26"/>
        <v>109.64000000000001</v>
      </c>
      <c r="L530" s="3032">
        <f t="shared" si="44"/>
        <v>218.20000000000002</v>
      </c>
      <c r="M530" s="3032">
        <f>SUM(J530:J537)</f>
        <v>868.4699999999998</v>
      </c>
    </row>
    <row r="531" spans="1:13">
      <c r="A531" s="3032"/>
      <c r="B531" s="3032"/>
      <c r="C531" s="3034">
        <v>102</v>
      </c>
      <c r="D531" s="3032">
        <v>134.02000000000001</v>
      </c>
      <c r="E531" s="3032">
        <v>84.33</v>
      </c>
      <c r="F531" s="3032"/>
      <c r="G531" s="3032">
        <f t="shared" si="43"/>
        <v>218.35000000000002</v>
      </c>
      <c r="H531" s="3032"/>
      <c r="I531" s="3032"/>
      <c r="J531" s="3032">
        <f>J530</f>
        <v>108.56</v>
      </c>
      <c r="K531" s="3032">
        <f t="shared" si="26"/>
        <v>109.79000000000002</v>
      </c>
      <c r="L531" s="3032">
        <f t="shared" si="44"/>
        <v>218.35000000000002</v>
      </c>
      <c r="M531" s="3032"/>
    </row>
    <row r="532" spans="1:13">
      <c r="A532" s="3032"/>
      <c r="B532" s="3032"/>
      <c r="C532" s="3034">
        <v>103</v>
      </c>
      <c r="D532" s="3032">
        <v>134.02000000000001</v>
      </c>
      <c r="E532" s="3032">
        <v>84.33</v>
      </c>
      <c r="F532" s="3032"/>
      <c r="G532" s="3032">
        <f t="shared" si="43"/>
        <v>218.35000000000002</v>
      </c>
      <c r="H532" s="3032"/>
      <c r="I532" s="3032"/>
      <c r="J532" s="3032">
        <f>J530</f>
        <v>108.56</v>
      </c>
      <c r="K532" s="3032">
        <f t="shared" si="26"/>
        <v>109.79000000000002</v>
      </c>
      <c r="L532" s="3032">
        <f t="shared" si="44"/>
        <v>218.35000000000002</v>
      </c>
      <c r="M532" s="3032"/>
    </row>
    <row r="533" spans="1:13">
      <c r="A533" s="3032"/>
      <c r="B533" s="3032"/>
      <c r="C533" s="3034">
        <v>104</v>
      </c>
      <c r="D533" s="3032">
        <v>134.21</v>
      </c>
      <c r="E533" s="3032">
        <v>84.6</v>
      </c>
      <c r="F533" s="3032"/>
      <c r="G533" s="3032">
        <f t="shared" si="43"/>
        <v>218.81</v>
      </c>
      <c r="H533" s="3032"/>
      <c r="I533" s="3032"/>
      <c r="J533" s="3032">
        <f>J530</f>
        <v>108.56</v>
      </c>
      <c r="K533" s="3032">
        <f t="shared" si="26"/>
        <v>110.25</v>
      </c>
      <c r="L533" s="3032">
        <f t="shared" si="44"/>
        <v>218.81</v>
      </c>
      <c r="M533" s="3032"/>
    </row>
    <row r="534" spans="1:13">
      <c r="A534" s="3032"/>
      <c r="B534" s="3032"/>
      <c r="C534" s="3034">
        <v>105</v>
      </c>
      <c r="D534" s="3032">
        <v>134.02000000000001</v>
      </c>
      <c r="E534" s="3032">
        <v>84.18</v>
      </c>
      <c r="F534" s="3032"/>
      <c r="G534" s="3032">
        <f t="shared" si="43"/>
        <v>218.20000000000002</v>
      </c>
      <c r="H534" s="3032"/>
      <c r="I534" s="3032"/>
      <c r="J534" s="3032">
        <f>J530</f>
        <v>108.56</v>
      </c>
      <c r="K534" s="3032">
        <f t="shared" si="26"/>
        <v>109.64000000000001</v>
      </c>
      <c r="L534" s="3032">
        <f t="shared" si="44"/>
        <v>218.20000000000002</v>
      </c>
      <c r="M534" s="3032"/>
    </row>
    <row r="535" spans="1:13">
      <c r="A535" s="3032"/>
      <c r="B535" s="3032"/>
      <c r="C535" s="3034">
        <v>106</v>
      </c>
      <c r="D535" s="3032">
        <v>134.02000000000001</v>
      </c>
      <c r="E535" s="3032">
        <v>84.33</v>
      </c>
      <c r="F535" s="3032"/>
      <c r="G535" s="3032">
        <f t="shared" si="43"/>
        <v>218.35000000000002</v>
      </c>
      <c r="H535" s="3032"/>
      <c r="I535" s="3032"/>
      <c r="J535" s="3032">
        <f>J530</f>
        <v>108.56</v>
      </c>
      <c r="K535" s="3032">
        <f t="shared" si="26"/>
        <v>109.79000000000002</v>
      </c>
      <c r="L535" s="3032">
        <f t="shared" si="44"/>
        <v>218.35000000000002</v>
      </c>
      <c r="M535" s="3032"/>
    </row>
    <row r="536" spans="1:13">
      <c r="A536" s="3032"/>
      <c r="B536" s="3032"/>
      <c r="C536" s="3034">
        <v>107</v>
      </c>
      <c r="D536" s="3032">
        <v>134.02000000000001</v>
      </c>
      <c r="E536" s="3032">
        <v>84.33</v>
      </c>
      <c r="F536" s="3032"/>
      <c r="G536" s="3032">
        <f t="shared" si="43"/>
        <v>218.35000000000002</v>
      </c>
      <c r="H536" s="3032"/>
      <c r="I536" s="3032"/>
      <c r="J536" s="3032">
        <f>J530</f>
        <v>108.56</v>
      </c>
      <c r="K536" s="3032">
        <f t="shared" si="26"/>
        <v>109.79000000000002</v>
      </c>
      <c r="L536" s="3032">
        <f t="shared" si="44"/>
        <v>218.35000000000002</v>
      </c>
      <c r="M536" s="3032"/>
    </row>
    <row r="537" spans="1:13">
      <c r="A537" s="3032"/>
      <c r="B537" s="3032"/>
      <c r="C537" s="3034">
        <v>108</v>
      </c>
      <c r="D537" s="3032">
        <v>134.21</v>
      </c>
      <c r="E537" s="3032">
        <v>84.6</v>
      </c>
      <c r="F537" s="3032"/>
      <c r="G537" s="3032">
        <f t="shared" si="43"/>
        <v>218.81</v>
      </c>
      <c r="H537" s="3032"/>
      <c r="I537" s="3032"/>
      <c r="J537" s="3032">
        <f>J521</f>
        <v>108.55</v>
      </c>
      <c r="K537" s="3032">
        <f t="shared" si="26"/>
        <v>110.26</v>
      </c>
      <c r="L537" s="3032">
        <f t="shared" si="44"/>
        <v>218.81</v>
      </c>
      <c r="M537" s="3032"/>
    </row>
    <row r="538" spans="1:13">
      <c r="A538" s="3032" t="s">
        <v>3154</v>
      </c>
      <c r="B538" s="3032">
        <v>2</v>
      </c>
      <c r="C538" s="3034">
        <v>-101</v>
      </c>
      <c r="D538" s="3032"/>
      <c r="E538" s="3032">
        <v>70.25</v>
      </c>
      <c r="F538" s="3032"/>
      <c r="G538" s="3032">
        <f t="shared" si="43"/>
        <v>70.25</v>
      </c>
      <c r="H538" s="3032">
        <f>SUM(G538:G541)</f>
        <v>1170.81</v>
      </c>
      <c r="I538" s="3032"/>
      <c r="J538" s="3032"/>
      <c r="K538" s="3032">
        <f t="shared" si="26"/>
        <v>70.25</v>
      </c>
      <c r="L538" s="3032">
        <f t="shared" si="44"/>
        <v>70.25</v>
      </c>
      <c r="M538" s="3032"/>
    </row>
    <row r="539" spans="1:13">
      <c r="A539" s="3032"/>
      <c r="B539" s="3032"/>
      <c r="C539" s="3034">
        <v>-102</v>
      </c>
      <c r="D539" s="3032"/>
      <c r="E539" s="3032">
        <v>70.25</v>
      </c>
      <c r="F539" s="3032"/>
      <c r="G539" s="3032">
        <f t="shared" si="43"/>
        <v>70.25</v>
      </c>
      <c r="H539" s="3032"/>
      <c r="I539" s="3032"/>
      <c r="J539" s="3032"/>
      <c r="K539" s="3032">
        <f t="shared" si="26"/>
        <v>70.25</v>
      </c>
      <c r="L539" s="3032">
        <f t="shared" si="44"/>
        <v>70.25</v>
      </c>
      <c r="M539" s="3032"/>
    </row>
    <row r="540" spans="1:13">
      <c r="A540" s="3032"/>
      <c r="B540" s="3032"/>
      <c r="C540" s="3034">
        <v>101</v>
      </c>
      <c r="D540" s="3032">
        <v>223.12</v>
      </c>
      <c r="E540" s="3032">
        <v>292.07</v>
      </c>
      <c r="F540" s="3032"/>
      <c r="G540" s="3032">
        <f t="shared" si="43"/>
        <v>515.19000000000005</v>
      </c>
      <c r="H540" s="3032"/>
      <c r="I540" s="3032"/>
      <c r="J540" s="3032">
        <f>351.38/2</f>
        <v>175.69</v>
      </c>
      <c r="K540" s="3032">
        <f t="shared" si="26"/>
        <v>339.50000000000006</v>
      </c>
      <c r="L540" s="3032">
        <f t="shared" si="44"/>
        <v>515.19000000000005</v>
      </c>
      <c r="M540" s="3032">
        <f>J540+J541</f>
        <v>351.38</v>
      </c>
    </row>
    <row r="541" spans="1:13">
      <c r="A541" s="3032"/>
      <c r="B541" s="3032"/>
      <c r="C541" s="3034">
        <v>102</v>
      </c>
      <c r="D541" s="3032">
        <v>223.02</v>
      </c>
      <c r="E541" s="3032">
        <v>292.10000000000002</v>
      </c>
      <c r="F541" s="3032"/>
      <c r="G541" s="3032">
        <f t="shared" si="43"/>
        <v>515.12</v>
      </c>
      <c r="H541" s="3032"/>
      <c r="I541" s="3032"/>
      <c r="J541" s="3032">
        <f>J540</f>
        <v>175.69</v>
      </c>
      <c r="K541" s="3032">
        <f t="shared" si="26"/>
        <v>339.43</v>
      </c>
      <c r="L541" s="3032">
        <f t="shared" si="44"/>
        <v>515.12</v>
      </c>
      <c r="M541" s="3032"/>
    </row>
    <row r="542" spans="1:13">
      <c r="A542" s="3032" t="s">
        <v>3155</v>
      </c>
      <c r="B542" s="3032">
        <v>2</v>
      </c>
      <c r="C542" s="3034">
        <v>-101</v>
      </c>
      <c r="D542" s="3032"/>
      <c r="E542" s="3032">
        <v>70.25</v>
      </c>
      <c r="F542" s="3032"/>
      <c r="G542" s="3032">
        <f t="shared" si="43"/>
        <v>70.25</v>
      </c>
      <c r="H542" s="3032">
        <f>SUM(G542:G545)</f>
        <v>1170.81</v>
      </c>
      <c r="I542" s="3032"/>
      <c r="J542" s="3032"/>
      <c r="K542" s="3032">
        <f t="shared" si="26"/>
        <v>70.25</v>
      </c>
      <c r="L542" s="3032">
        <f t="shared" si="44"/>
        <v>70.25</v>
      </c>
      <c r="M542" s="3032"/>
    </row>
    <row r="543" spans="1:13">
      <c r="A543" s="3032"/>
      <c r="B543" s="3032"/>
      <c r="C543" s="3034">
        <v>-102</v>
      </c>
      <c r="D543" s="3032"/>
      <c r="E543" s="3032">
        <v>70.25</v>
      </c>
      <c r="F543" s="3032"/>
      <c r="G543" s="3032">
        <f t="shared" si="43"/>
        <v>70.25</v>
      </c>
      <c r="H543" s="3032"/>
      <c r="I543" s="3032"/>
      <c r="J543" s="3032"/>
      <c r="K543" s="3032">
        <f t="shared" si="26"/>
        <v>70.25</v>
      </c>
      <c r="L543" s="3032">
        <f t="shared" si="44"/>
        <v>70.25</v>
      </c>
      <c r="M543" s="3032"/>
    </row>
    <row r="544" spans="1:13">
      <c r="A544" s="3032"/>
      <c r="B544" s="3032"/>
      <c r="C544" s="3034">
        <v>101</v>
      </c>
      <c r="D544" s="3032">
        <v>223.12</v>
      </c>
      <c r="E544" s="3032">
        <v>292.07</v>
      </c>
      <c r="F544" s="3032"/>
      <c r="G544" s="3032">
        <f t="shared" si="43"/>
        <v>515.19000000000005</v>
      </c>
      <c r="H544" s="3032"/>
      <c r="I544" s="3032"/>
      <c r="J544" s="3032">
        <f>J540</f>
        <v>175.69</v>
      </c>
      <c r="K544" s="3032">
        <f>G544-J544</f>
        <v>339.50000000000006</v>
      </c>
      <c r="L544" s="3032">
        <f t="shared" si="44"/>
        <v>515.19000000000005</v>
      </c>
      <c r="M544" s="3032">
        <f>J544+J545</f>
        <v>351.38</v>
      </c>
    </row>
    <row r="545" spans="1:13">
      <c r="A545" s="3032"/>
      <c r="B545" s="3032"/>
      <c r="C545" s="3034">
        <v>102</v>
      </c>
      <c r="D545" s="3032">
        <v>223.02</v>
      </c>
      <c r="E545" s="3032">
        <v>292.10000000000002</v>
      </c>
      <c r="F545" s="3032"/>
      <c r="G545" s="3032">
        <f t="shared" si="43"/>
        <v>515.12</v>
      </c>
      <c r="H545" s="3032"/>
      <c r="I545" s="3032"/>
      <c r="J545" s="3032">
        <f>J541</f>
        <v>175.69</v>
      </c>
      <c r="K545" s="3032">
        <f>G545-J545</f>
        <v>339.43</v>
      </c>
      <c r="L545" s="3032">
        <f>J545+K545</f>
        <v>515.12</v>
      </c>
      <c r="M545" s="3032"/>
    </row>
    <row r="546" spans="1:13">
      <c r="A546" s="3032" t="s">
        <v>3156</v>
      </c>
      <c r="B546" s="3032">
        <v>8</v>
      </c>
      <c r="C546" s="3034">
        <v>-201</v>
      </c>
      <c r="D546" s="3032"/>
      <c r="E546" s="3032">
        <v>83.36</v>
      </c>
      <c r="F546" s="3032"/>
      <c r="G546" s="3032">
        <f t="shared" si="43"/>
        <v>83.36</v>
      </c>
      <c r="H546" s="3032">
        <f>SUM(G546:G561)</f>
        <v>2418.62</v>
      </c>
      <c r="I546" s="3032"/>
      <c r="J546" s="3032"/>
      <c r="K546" s="3032">
        <f t="shared" si="26"/>
        <v>83.36</v>
      </c>
      <c r="L546" s="3032">
        <f t="shared" si="44"/>
        <v>83.36</v>
      </c>
      <c r="M546" s="3032"/>
    </row>
    <row r="547" spans="1:13">
      <c r="A547" s="3032"/>
      <c r="B547" s="3032"/>
      <c r="C547" s="3034">
        <v>-202</v>
      </c>
      <c r="D547" s="3032"/>
      <c r="E547" s="3032">
        <v>84.08</v>
      </c>
      <c r="F547" s="3032"/>
      <c r="G547" s="3032">
        <f t="shared" si="43"/>
        <v>84.08</v>
      </c>
      <c r="H547" s="3032"/>
      <c r="I547" s="3032"/>
      <c r="J547" s="3032"/>
      <c r="K547" s="3032">
        <f t="shared" si="26"/>
        <v>84.08</v>
      </c>
      <c r="L547" s="3032">
        <f t="shared" si="44"/>
        <v>84.08</v>
      </c>
      <c r="M547" s="3032"/>
    </row>
    <row r="548" spans="1:13">
      <c r="A548" s="3032"/>
      <c r="B548" s="3032"/>
      <c r="C548" s="3034">
        <v>-203</v>
      </c>
      <c r="D548" s="3032"/>
      <c r="E548" s="3032">
        <v>84.08</v>
      </c>
      <c r="F548" s="3032"/>
      <c r="G548" s="3032">
        <f t="shared" si="43"/>
        <v>84.08</v>
      </c>
      <c r="H548" s="3032"/>
      <c r="I548" s="3032"/>
      <c r="J548" s="3032"/>
      <c r="K548" s="3032">
        <f t="shared" si="26"/>
        <v>84.08</v>
      </c>
      <c r="L548" s="3032">
        <f t="shared" si="44"/>
        <v>84.08</v>
      </c>
      <c r="M548" s="3032"/>
    </row>
    <row r="549" spans="1:13">
      <c r="A549" s="3032"/>
      <c r="B549" s="3032"/>
      <c r="C549" s="3034">
        <v>-204</v>
      </c>
      <c r="D549" s="3032"/>
      <c r="E549" s="3032">
        <v>84.08</v>
      </c>
      <c r="F549" s="3032"/>
      <c r="G549" s="3032">
        <f t="shared" si="43"/>
        <v>84.08</v>
      </c>
      <c r="H549" s="3032"/>
      <c r="I549" s="3032"/>
      <c r="J549" s="3032"/>
      <c r="K549" s="3032">
        <f t="shared" si="26"/>
        <v>84.08</v>
      </c>
      <c r="L549" s="3032">
        <f t="shared" si="44"/>
        <v>84.08</v>
      </c>
      <c r="M549" s="3032"/>
    </row>
    <row r="550" spans="1:13">
      <c r="A550" s="3032"/>
      <c r="B550" s="3032"/>
      <c r="C550" s="3034">
        <v>-205</v>
      </c>
      <c r="D550" s="3032"/>
      <c r="E550" s="3032">
        <v>83.36</v>
      </c>
      <c r="F550" s="3032"/>
      <c r="G550" s="3032">
        <f t="shared" si="43"/>
        <v>83.36</v>
      </c>
      <c r="H550" s="3032"/>
      <c r="I550" s="3032"/>
      <c r="J550" s="3032"/>
      <c r="K550" s="3032">
        <f t="shared" si="26"/>
        <v>83.36</v>
      </c>
      <c r="L550" s="3032">
        <f t="shared" si="44"/>
        <v>83.36</v>
      </c>
      <c r="M550" s="3032"/>
    </row>
    <row r="551" spans="1:13">
      <c r="A551" s="3032"/>
      <c r="B551" s="3032"/>
      <c r="C551" s="3034">
        <v>-206</v>
      </c>
      <c r="D551" s="3032"/>
      <c r="E551" s="3032">
        <v>84.08</v>
      </c>
      <c r="F551" s="3032"/>
      <c r="G551" s="3032">
        <f t="shared" si="43"/>
        <v>84.08</v>
      </c>
      <c r="H551" s="3032"/>
      <c r="I551" s="3032"/>
      <c r="J551" s="3032"/>
      <c r="K551" s="3032">
        <f t="shared" si="26"/>
        <v>84.08</v>
      </c>
      <c r="L551" s="3032">
        <f t="shared" si="44"/>
        <v>84.08</v>
      </c>
      <c r="M551" s="3032"/>
    </row>
    <row r="552" spans="1:13">
      <c r="A552" s="3032"/>
      <c r="B552" s="3032"/>
      <c r="C552" s="3034">
        <v>-207</v>
      </c>
      <c r="D552" s="3032"/>
      <c r="E552" s="3032">
        <v>84.08</v>
      </c>
      <c r="F552" s="3032"/>
      <c r="G552" s="3032">
        <f t="shared" si="43"/>
        <v>84.08</v>
      </c>
      <c r="H552" s="3032"/>
      <c r="I552" s="3032"/>
      <c r="J552" s="3032"/>
      <c r="K552" s="3032">
        <f t="shared" si="26"/>
        <v>84.08</v>
      </c>
      <c r="L552" s="3032">
        <f t="shared" si="44"/>
        <v>84.08</v>
      </c>
      <c r="M552" s="3032"/>
    </row>
    <row r="553" spans="1:13">
      <c r="A553" s="3032"/>
      <c r="B553" s="3032"/>
      <c r="C553" s="3034">
        <v>-208</v>
      </c>
      <c r="D553" s="3032"/>
      <c r="E553" s="3032">
        <v>84.08</v>
      </c>
      <c r="F553" s="3032"/>
      <c r="G553" s="3032">
        <f t="shared" si="43"/>
        <v>84.08</v>
      </c>
      <c r="H553" s="3032"/>
      <c r="I553" s="3032"/>
      <c r="J553" s="3032"/>
      <c r="K553" s="3032">
        <f t="shared" si="26"/>
        <v>84.08</v>
      </c>
      <c r="L553" s="3032">
        <f t="shared" si="44"/>
        <v>84.08</v>
      </c>
      <c r="M553" s="3032"/>
    </row>
    <row r="554" spans="1:13">
      <c r="A554" s="3032"/>
      <c r="B554" s="3032"/>
      <c r="C554" s="3039">
        <v>101</v>
      </c>
      <c r="D554" s="3032">
        <v>134.02000000000001</v>
      </c>
      <c r="E554" s="3032">
        <v>84.18</v>
      </c>
      <c r="F554" s="3032"/>
      <c r="G554" s="3032">
        <f>SUM(D554:F554)</f>
        <v>218.20000000000002</v>
      </c>
      <c r="H554" s="3032"/>
      <c r="I554" s="3032"/>
      <c r="J554" s="3032">
        <f>J530</f>
        <v>108.56</v>
      </c>
      <c r="K554" s="3032">
        <f t="shared" si="26"/>
        <v>109.64000000000001</v>
      </c>
      <c r="L554" s="3032">
        <f t="shared" si="44"/>
        <v>218.20000000000002</v>
      </c>
      <c r="M554" s="3032">
        <f>SUM(J554:J561)</f>
        <v>868.4699999999998</v>
      </c>
    </row>
    <row r="555" spans="1:13">
      <c r="A555" s="3032"/>
      <c r="B555" s="3032"/>
      <c r="C555" s="3034">
        <v>102</v>
      </c>
      <c r="D555" s="3032">
        <v>134.02000000000001</v>
      </c>
      <c r="E555" s="3032">
        <v>84.33</v>
      </c>
      <c r="F555" s="3032"/>
      <c r="G555" s="3032">
        <f t="shared" si="43"/>
        <v>218.35000000000002</v>
      </c>
      <c r="H555" s="3032"/>
      <c r="I555" s="3032"/>
      <c r="J555" s="3032">
        <f>J554</f>
        <v>108.56</v>
      </c>
      <c r="K555" s="3032">
        <f t="shared" si="26"/>
        <v>109.79000000000002</v>
      </c>
      <c r="L555" s="3032">
        <f t="shared" si="44"/>
        <v>218.35000000000002</v>
      </c>
      <c r="M555" s="3032"/>
    </row>
    <row r="556" spans="1:13">
      <c r="A556" s="3032"/>
      <c r="B556" s="3032"/>
      <c r="C556" s="3034">
        <v>103</v>
      </c>
      <c r="D556" s="3032">
        <v>134.02000000000001</v>
      </c>
      <c r="E556" s="3032">
        <v>84.33</v>
      </c>
      <c r="F556" s="3032"/>
      <c r="G556" s="3032">
        <f t="shared" si="43"/>
        <v>218.35000000000002</v>
      </c>
      <c r="H556" s="3032"/>
      <c r="I556" s="3032"/>
      <c r="J556" s="3032">
        <f>J554</f>
        <v>108.56</v>
      </c>
      <c r="K556" s="3032">
        <f t="shared" si="26"/>
        <v>109.79000000000002</v>
      </c>
      <c r="L556" s="3032">
        <f t="shared" si="44"/>
        <v>218.35000000000002</v>
      </c>
      <c r="M556" s="3032"/>
    </row>
    <row r="557" spans="1:13">
      <c r="A557" s="3032"/>
      <c r="B557" s="3032"/>
      <c r="C557" s="3034">
        <v>104</v>
      </c>
      <c r="D557" s="3032">
        <v>134.21</v>
      </c>
      <c r="E557" s="3032">
        <v>84.6</v>
      </c>
      <c r="F557" s="3032"/>
      <c r="G557" s="3032">
        <f t="shared" si="43"/>
        <v>218.81</v>
      </c>
      <c r="H557" s="3032"/>
      <c r="I557" s="3032"/>
      <c r="J557" s="3032">
        <f>J554</f>
        <v>108.56</v>
      </c>
      <c r="K557" s="3032">
        <f t="shared" si="26"/>
        <v>110.25</v>
      </c>
      <c r="L557" s="3032">
        <f t="shared" si="44"/>
        <v>218.81</v>
      </c>
      <c r="M557" s="3032"/>
    </row>
    <row r="558" spans="1:13">
      <c r="A558" s="3032"/>
      <c r="B558" s="3032"/>
      <c r="C558" s="3034">
        <v>105</v>
      </c>
      <c r="D558" s="3032">
        <v>134.02000000000001</v>
      </c>
      <c r="E558" s="3032">
        <v>84.18</v>
      </c>
      <c r="F558" s="3032"/>
      <c r="G558" s="3032">
        <f t="shared" si="43"/>
        <v>218.20000000000002</v>
      </c>
      <c r="H558" s="3032"/>
      <c r="I558" s="3032"/>
      <c r="J558" s="3032">
        <f>J554</f>
        <v>108.56</v>
      </c>
      <c r="K558" s="3032">
        <f t="shared" si="26"/>
        <v>109.64000000000001</v>
      </c>
      <c r="L558" s="3032">
        <f t="shared" si="44"/>
        <v>218.20000000000002</v>
      </c>
      <c r="M558" s="3032"/>
    </row>
    <row r="559" spans="1:13">
      <c r="A559" s="3032"/>
      <c r="B559" s="3032"/>
      <c r="C559" s="3034">
        <v>106</v>
      </c>
      <c r="D559" s="3032">
        <v>134.02000000000001</v>
      </c>
      <c r="E559" s="3032">
        <v>84.33</v>
      </c>
      <c r="F559" s="3032"/>
      <c r="G559" s="3032">
        <f t="shared" si="43"/>
        <v>218.35000000000002</v>
      </c>
      <c r="H559" s="3032"/>
      <c r="I559" s="3032"/>
      <c r="J559" s="3032">
        <f>J554</f>
        <v>108.56</v>
      </c>
      <c r="K559" s="3032">
        <f t="shared" si="26"/>
        <v>109.79000000000002</v>
      </c>
      <c r="L559" s="3032">
        <f t="shared" si="44"/>
        <v>218.35000000000002</v>
      </c>
      <c r="M559" s="3032"/>
    </row>
    <row r="560" spans="1:13">
      <c r="A560" s="3032"/>
      <c r="B560" s="3032"/>
      <c r="C560" s="3034">
        <v>107</v>
      </c>
      <c r="D560" s="3032">
        <v>134.02000000000001</v>
      </c>
      <c r="E560" s="3032">
        <v>84.33</v>
      </c>
      <c r="F560" s="3032"/>
      <c r="G560" s="3032">
        <f t="shared" si="43"/>
        <v>218.35000000000002</v>
      </c>
      <c r="H560" s="3032"/>
      <c r="I560" s="3032"/>
      <c r="J560" s="3032">
        <f>J554</f>
        <v>108.56</v>
      </c>
      <c r="K560" s="3032">
        <f t="shared" si="26"/>
        <v>109.79000000000002</v>
      </c>
      <c r="L560" s="3032">
        <f t="shared" si="44"/>
        <v>218.35000000000002</v>
      </c>
      <c r="M560" s="3032"/>
    </row>
    <row r="561" spans="1:13">
      <c r="A561" s="3032"/>
      <c r="B561" s="3032"/>
      <c r="C561" s="3034">
        <v>108</v>
      </c>
      <c r="D561" s="3032">
        <v>134.21</v>
      </c>
      <c r="E561" s="3032">
        <v>84.6</v>
      </c>
      <c r="F561" s="3032"/>
      <c r="G561" s="3032">
        <f t="shared" si="43"/>
        <v>218.81</v>
      </c>
      <c r="H561" s="3032"/>
      <c r="I561" s="3032"/>
      <c r="J561" s="3032">
        <v>108.55</v>
      </c>
      <c r="K561" s="3032">
        <f t="shared" si="26"/>
        <v>110.26</v>
      </c>
      <c r="L561" s="3032">
        <f t="shared" si="44"/>
        <v>218.81</v>
      </c>
      <c r="M561" s="3032"/>
    </row>
    <row r="562" spans="1:13">
      <c r="A562" s="3032" t="s">
        <v>3157</v>
      </c>
      <c r="B562" s="3032">
        <v>8</v>
      </c>
      <c r="C562" s="3034">
        <v>-201</v>
      </c>
      <c r="D562" s="3032"/>
      <c r="E562" s="3032">
        <v>83.36</v>
      </c>
      <c r="F562" s="3032"/>
      <c r="G562" s="3032">
        <f t="shared" si="43"/>
        <v>83.36</v>
      </c>
      <c r="H562" s="3032">
        <f>SUM(G562:G577)</f>
        <v>2418.62</v>
      </c>
      <c r="I562" s="3032"/>
      <c r="J562" s="3032"/>
      <c r="K562" s="3032">
        <f t="shared" si="26"/>
        <v>83.36</v>
      </c>
      <c r="L562" s="3032">
        <f t="shared" si="44"/>
        <v>83.36</v>
      </c>
      <c r="M562" s="3032"/>
    </row>
    <row r="563" spans="1:13">
      <c r="A563" s="3032"/>
      <c r="B563" s="3032"/>
      <c r="C563" s="3034">
        <v>-202</v>
      </c>
      <c r="D563" s="3032"/>
      <c r="E563" s="3032">
        <v>84.08</v>
      </c>
      <c r="F563" s="3032"/>
      <c r="G563" s="3032">
        <f t="shared" si="43"/>
        <v>84.08</v>
      </c>
      <c r="H563" s="3032"/>
      <c r="I563" s="3032"/>
      <c r="J563" s="3032"/>
      <c r="K563" s="3032">
        <f t="shared" si="26"/>
        <v>84.08</v>
      </c>
      <c r="L563" s="3032">
        <f t="shared" si="44"/>
        <v>84.08</v>
      </c>
      <c r="M563" s="3032"/>
    </row>
    <row r="564" spans="1:13">
      <c r="A564" s="3032"/>
      <c r="B564" s="3032"/>
      <c r="C564" s="3034">
        <v>-203</v>
      </c>
      <c r="D564" s="3032"/>
      <c r="E564" s="3032">
        <v>84.08</v>
      </c>
      <c r="F564" s="3032"/>
      <c r="G564" s="3032">
        <f t="shared" si="43"/>
        <v>84.08</v>
      </c>
      <c r="H564" s="3032"/>
      <c r="I564" s="3032"/>
      <c r="J564" s="3032"/>
      <c r="K564" s="3032">
        <f t="shared" si="26"/>
        <v>84.08</v>
      </c>
      <c r="L564" s="3032">
        <f t="shared" si="44"/>
        <v>84.08</v>
      </c>
      <c r="M564" s="3032"/>
    </row>
    <row r="565" spans="1:13">
      <c r="A565" s="3032"/>
      <c r="B565" s="3032"/>
      <c r="C565" s="3034">
        <v>-204</v>
      </c>
      <c r="D565" s="3032"/>
      <c r="E565" s="3032">
        <v>84.08</v>
      </c>
      <c r="F565" s="3032"/>
      <c r="G565" s="3032">
        <f t="shared" si="43"/>
        <v>84.08</v>
      </c>
      <c r="H565" s="3032"/>
      <c r="I565" s="3032"/>
      <c r="J565" s="3032"/>
      <c r="K565" s="3032">
        <f t="shared" si="26"/>
        <v>84.08</v>
      </c>
      <c r="L565" s="3032">
        <f t="shared" si="44"/>
        <v>84.08</v>
      </c>
      <c r="M565" s="3032"/>
    </row>
    <row r="566" spans="1:13">
      <c r="A566" s="3032"/>
      <c r="B566" s="3032"/>
      <c r="C566" s="3034">
        <v>-205</v>
      </c>
      <c r="D566" s="3032"/>
      <c r="E566" s="3032">
        <v>83.36</v>
      </c>
      <c r="F566" s="3032"/>
      <c r="G566" s="3032">
        <f t="shared" si="43"/>
        <v>83.36</v>
      </c>
      <c r="H566" s="3032"/>
      <c r="I566" s="3032"/>
      <c r="J566" s="3032"/>
      <c r="K566" s="3032">
        <f t="shared" si="26"/>
        <v>83.36</v>
      </c>
      <c r="L566" s="3032">
        <f t="shared" si="44"/>
        <v>83.36</v>
      </c>
      <c r="M566" s="3032"/>
    </row>
    <row r="567" spans="1:13">
      <c r="A567" s="3032"/>
      <c r="B567" s="3032"/>
      <c r="C567" s="3034">
        <v>-206</v>
      </c>
      <c r="D567" s="3032"/>
      <c r="E567" s="3032">
        <v>84.08</v>
      </c>
      <c r="F567" s="3032"/>
      <c r="G567" s="3032">
        <f t="shared" si="43"/>
        <v>84.08</v>
      </c>
      <c r="H567" s="3032"/>
      <c r="I567" s="3032"/>
      <c r="J567" s="3032"/>
      <c r="K567" s="3032">
        <f t="shared" si="26"/>
        <v>84.08</v>
      </c>
      <c r="L567" s="3032">
        <f t="shared" si="44"/>
        <v>84.08</v>
      </c>
      <c r="M567" s="3032"/>
    </row>
    <row r="568" spans="1:13">
      <c r="A568" s="3032"/>
      <c r="B568" s="3032"/>
      <c r="C568" s="3034">
        <v>-207</v>
      </c>
      <c r="D568" s="3032"/>
      <c r="E568" s="3032">
        <v>84.08</v>
      </c>
      <c r="F568" s="3032"/>
      <c r="G568" s="3032">
        <f t="shared" si="43"/>
        <v>84.08</v>
      </c>
      <c r="H568" s="3032"/>
      <c r="I568" s="3032"/>
      <c r="J568" s="3032"/>
      <c r="K568" s="3032">
        <f t="shared" si="26"/>
        <v>84.08</v>
      </c>
      <c r="L568" s="3032">
        <f t="shared" si="44"/>
        <v>84.08</v>
      </c>
      <c r="M568" s="3032"/>
    </row>
    <row r="569" spans="1:13">
      <c r="A569" s="3032"/>
      <c r="B569" s="3032"/>
      <c r="C569" s="3034">
        <v>-208</v>
      </c>
      <c r="D569" s="3032"/>
      <c r="E569" s="3032">
        <v>84.08</v>
      </c>
      <c r="F569" s="3032"/>
      <c r="G569" s="3032">
        <f t="shared" si="43"/>
        <v>84.08</v>
      </c>
      <c r="H569" s="3032"/>
      <c r="I569" s="3032"/>
      <c r="J569" s="3032"/>
      <c r="K569" s="3032">
        <f t="shared" si="26"/>
        <v>84.08</v>
      </c>
      <c r="L569" s="3032">
        <f t="shared" si="44"/>
        <v>84.08</v>
      </c>
      <c r="M569" s="3032"/>
    </row>
    <row r="570" spans="1:13">
      <c r="A570" s="3032"/>
      <c r="B570" s="3032"/>
      <c r="C570" s="3034">
        <v>101</v>
      </c>
      <c r="D570" s="3032">
        <v>134.02000000000001</v>
      </c>
      <c r="E570" s="3032">
        <v>84.18</v>
      </c>
      <c r="F570" s="3032"/>
      <c r="G570" s="3032">
        <f t="shared" si="43"/>
        <v>218.20000000000002</v>
      </c>
      <c r="H570" s="3032"/>
      <c r="I570" s="3032"/>
      <c r="J570" s="3032">
        <f>J554</f>
        <v>108.56</v>
      </c>
      <c r="K570" s="3032">
        <f t="shared" si="26"/>
        <v>109.64000000000001</v>
      </c>
      <c r="L570" s="3032">
        <f t="shared" si="44"/>
        <v>218.20000000000002</v>
      </c>
      <c r="M570" s="3032">
        <f>SUM(J570:J577)</f>
        <v>868.4699999999998</v>
      </c>
    </row>
    <row r="571" spans="1:13">
      <c r="A571" s="3032"/>
      <c r="B571" s="3032"/>
      <c r="C571" s="3034">
        <v>102</v>
      </c>
      <c r="D571" s="3032">
        <v>134.02000000000001</v>
      </c>
      <c r="E571" s="3032">
        <v>84.33</v>
      </c>
      <c r="F571" s="3032"/>
      <c r="G571" s="3032">
        <f t="shared" si="43"/>
        <v>218.35000000000002</v>
      </c>
      <c r="H571" s="3032"/>
      <c r="I571" s="3032"/>
      <c r="J571" s="3032">
        <f>J570</f>
        <v>108.56</v>
      </c>
      <c r="K571" s="3032">
        <f t="shared" si="26"/>
        <v>109.79000000000002</v>
      </c>
      <c r="L571" s="3032">
        <f t="shared" si="44"/>
        <v>218.35000000000002</v>
      </c>
      <c r="M571" s="3032"/>
    </row>
    <row r="572" spans="1:13">
      <c r="A572" s="3032"/>
      <c r="B572" s="3032"/>
      <c r="C572" s="3034">
        <v>103</v>
      </c>
      <c r="D572" s="3032">
        <v>134.02000000000001</v>
      </c>
      <c r="E572" s="3032">
        <v>84.33</v>
      </c>
      <c r="F572" s="3032"/>
      <c r="G572" s="3032">
        <f t="shared" si="43"/>
        <v>218.35000000000002</v>
      </c>
      <c r="H572" s="3032"/>
      <c r="I572" s="3032"/>
      <c r="J572" s="3032">
        <f>J570</f>
        <v>108.56</v>
      </c>
      <c r="K572" s="3032">
        <f t="shared" si="26"/>
        <v>109.79000000000002</v>
      </c>
      <c r="L572" s="3032">
        <f t="shared" si="44"/>
        <v>218.35000000000002</v>
      </c>
      <c r="M572" s="3032"/>
    </row>
    <row r="573" spans="1:13">
      <c r="A573" s="3032"/>
      <c r="B573" s="3032"/>
      <c r="C573" s="3034">
        <v>104</v>
      </c>
      <c r="D573" s="3032">
        <v>134.21</v>
      </c>
      <c r="E573" s="3032">
        <v>84.6</v>
      </c>
      <c r="F573" s="3032"/>
      <c r="G573" s="3032">
        <f t="shared" si="43"/>
        <v>218.81</v>
      </c>
      <c r="H573" s="3032"/>
      <c r="I573" s="3032"/>
      <c r="J573" s="3032">
        <f>J570</f>
        <v>108.56</v>
      </c>
      <c r="K573" s="3032">
        <f t="shared" si="26"/>
        <v>110.25</v>
      </c>
      <c r="L573" s="3032">
        <f t="shared" si="44"/>
        <v>218.81</v>
      </c>
      <c r="M573" s="3032"/>
    </row>
    <row r="574" spans="1:13">
      <c r="A574" s="3032"/>
      <c r="B574" s="3032"/>
      <c r="C574" s="3034">
        <v>105</v>
      </c>
      <c r="D574" s="3032">
        <v>134.02000000000001</v>
      </c>
      <c r="E574" s="3032">
        <v>84.18</v>
      </c>
      <c r="F574" s="3032"/>
      <c r="G574" s="3032">
        <f t="shared" si="43"/>
        <v>218.20000000000002</v>
      </c>
      <c r="H574" s="3032"/>
      <c r="I574" s="3032"/>
      <c r="J574" s="3032">
        <f>J570</f>
        <v>108.56</v>
      </c>
      <c r="K574" s="3032">
        <f t="shared" si="26"/>
        <v>109.64000000000001</v>
      </c>
      <c r="L574" s="3032">
        <f t="shared" si="44"/>
        <v>218.20000000000002</v>
      </c>
      <c r="M574" s="3032"/>
    </row>
    <row r="575" spans="1:13">
      <c r="A575" s="3032"/>
      <c r="B575" s="3032"/>
      <c r="C575" s="3034">
        <v>106</v>
      </c>
      <c r="D575" s="3032">
        <v>134.02000000000001</v>
      </c>
      <c r="E575" s="3032">
        <v>84.33</v>
      </c>
      <c r="F575" s="3032"/>
      <c r="G575" s="3032">
        <f t="shared" si="43"/>
        <v>218.35000000000002</v>
      </c>
      <c r="H575" s="3032"/>
      <c r="I575" s="3032"/>
      <c r="J575" s="3032">
        <f>J570</f>
        <v>108.56</v>
      </c>
      <c r="K575" s="3032">
        <f t="shared" si="26"/>
        <v>109.79000000000002</v>
      </c>
      <c r="L575" s="3032">
        <f t="shared" si="44"/>
        <v>218.35000000000002</v>
      </c>
      <c r="M575" s="3032"/>
    </row>
    <row r="576" spans="1:13">
      <c r="A576" s="3032"/>
      <c r="B576" s="3032"/>
      <c r="C576" s="3034">
        <v>107</v>
      </c>
      <c r="D576" s="3032">
        <v>134.02000000000001</v>
      </c>
      <c r="E576" s="3032">
        <v>84.33</v>
      </c>
      <c r="F576" s="3032"/>
      <c r="G576" s="3032">
        <f t="shared" si="43"/>
        <v>218.35000000000002</v>
      </c>
      <c r="H576" s="3032"/>
      <c r="I576" s="3032"/>
      <c r="J576" s="3032">
        <f>J570</f>
        <v>108.56</v>
      </c>
      <c r="K576" s="3032">
        <f t="shared" si="26"/>
        <v>109.79000000000002</v>
      </c>
      <c r="L576" s="3032">
        <f t="shared" si="44"/>
        <v>218.35000000000002</v>
      </c>
      <c r="M576" s="3032"/>
    </row>
    <row r="577" spans="1:13">
      <c r="A577" s="3032"/>
      <c r="B577" s="3032"/>
      <c r="C577" s="3034">
        <v>108</v>
      </c>
      <c r="D577" s="3032">
        <v>134.21</v>
      </c>
      <c r="E577" s="3032">
        <v>84.6</v>
      </c>
      <c r="F577" s="3032"/>
      <c r="G577" s="3032">
        <f t="shared" si="43"/>
        <v>218.81</v>
      </c>
      <c r="H577" s="3032"/>
      <c r="I577" s="3032"/>
      <c r="J577" s="3032">
        <f>J561</f>
        <v>108.55</v>
      </c>
      <c r="K577" s="3032">
        <f t="shared" si="26"/>
        <v>110.26</v>
      </c>
      <c r="L577" s="3032">
        <f t="shared" si="44"/>
        <v>218.81</v>
      </c>
      <c r="M577" s="3032"/>
    </row>
    <row r="578" spans="1:13">
      <c r="A578" s="3032" t="s">
        <v>3158</v>
      </c>
      <c r="B578" s="3032">
        <v>6</v>
      </c>
      <c r="C578" s="3034">
        <v>-201</v>
      </c>
      <c r="D578" s="3032"/>
      <c r="E578" s="3032">
        <v>83.46</v>
      </c>
      <c r="F578" s="3032"/>
      <c r="G578" s="3032">
        <f t="shared" si="43"/>
        <v>83.46</v>
      </c>
      <c r="H578" s="3032">
        <f>SUM(G578:G589)</f>
        <v>1817.5199999999998</v>
      </c>
      <c r="I578" s="3032"/>
      <c r="J578" s="3032"/>
      <c r="K578" s="3032">
        <f t="shared" si="26"/>
        <v>83.46</v>
      </c>
      <c r="L578" s="3032">
        <f t="shared" si="44"/>
        <v>83.46</v>
      </c>
      <c r="M578" s="3032"/>
    </row>
    <row r="579" spans="1:13">
      <c r="A579" s="3032"/>
      <c r="B579" s="3032"/>
      <c r="C579" s="3034">
        <v>-202</v>
      </c>
      <c r="D579" s="3032"/>
      <c r="E579" s="3032">
        <v>84.18</v>
      </c>
      <c r="F579" s="3032"/>
      <c r="G579" s="3032">
        <f t="shared" si="43"/>
        <v>84.18</v>
      </c>
      <c r="H579" s="3032"/>
      <c r="I579" s="3032"/>
      <c r="J579" s="3032"/>
      <c r="K579" s="3032">
        <f t="shared" si="26"/>
        <v>84.18</v>
      </c>
      <c r="L579" s="3032">
        <f t="shared" si="44"/>
        <v>84.18</v>
      </c>
      <c r="M579" s="3032"/>
    </row>
    <row r="580" spans="1:13">
      <c r="A580" s="3032"/>
      <c r="B580" s="3032"/>
      <c r="C580" s="3034">
        <v>-203</v>
      </c>
      <c r="D580" s="3032"/>
      <c r="E580" s="3032">
        <v>84.18</v>
      </c>
      <c r="F580" s="3032"/>
      <c r="G580" s="3032">
        <f t="shared" si="43"/>
        <v>84.18</v>
      </c>
      <c r="H580" s="3032"/>
      <c r="I580" s="3032"/>
      <c r="J580" s="3032"/>
      <c r="K580" s="3032">
        <f t="shared" si="26"/>
        <v>84.18</v>
      </c>
      <c r="L580" s="3032">
        <f t="shared" si="44"/>
        <v>84.18</v>
      </c>
      <c r="M580" s="3032"/>
    </row>
    <row r="581" spans="1:13">
      <c r="A581" s="3032"/>
      <c r="B581" s="3032"/>
      <c r="C581" s="3034">
        <v>-204</v>
      </c>
      <c r="D581" s="3032"/>
      <c r="E581" s="3032">
        <v>83.46</v>
      </c>
      <c r="F581" s="3032"/>
      <c r="G581" s="3032">
        <f t="shared" si="43"/>
        <v>83.46</v>
      </c>
      <c r="H581" s="3032"/>
      <c r="I581" s="3032"/>
      <c r="J581" s="3032"/>
      <c r="K581" s="3032">
        <f t="shared" si="26"/>
        <v>83.46</v>
      </c>
      <c r="L581" s="3032">
        <f t="shared" si="44"/>
        <v>83.46</v>
      </c>
      <c r="M581" s="3032"/>
    </row>
    <row r="582" spans="1:13">
      <c r="A582" s="3032"/>
      <c r="B582" s="3032"/>
      <c r="C582" s="3034">
        <v>-205</v>
      </c>
      <c r="D582" s="3032"/>
      <c r="E582" s="3032">
        <v>84.18</v>
      </c>
      <c r="F582" s="3032"/>
      <c r="G582" s="3032">
        <f t="shared" si="43"/>
        <v>84.18</v>
      </c>
      <c r="H582" s="3032"/>
      <c r="I582" s="3032"/>
      <c r="J582" s="3032"/>
      <c r="K582" s="3032">
        <f t="shared" si="26"/>
        <v>84.18</v>
      </c>
      <c r="L582" s="3032">
        <f t="shared" si="44"/>
        <v>84.18</v>
      </c>
      <c r="M582" s="3032"/>
    </row>
    <row r="583" spans="1:13">
      <c r="A583" s="3032"/>
      <c r="B583" s="3032"/>
      <c r="C583" s="3034">
        <v>-206</v>
      </c>
      <c r="D583" s="3032"/>
      <c r="E583" s="3032">
        <v>84.18</v>
      </c>
      <c r="F583" s="3032"/>
      <c r="G583" s="3032">
        <f t="shared" si="43"/>
        <v>84.18</v>
      </c>
      <c r="H583" s="3032"/>
      <c r="I583" s="3032"/>
      <c r="J583" s="3032"/>
      <c r="K583" s="3032">
        <f t="shared" si="26"/>
        <v>84.18</v>
      </c>
      <c r="L583" s="3032">
        <f t="shared" si="44"/>
        <v>84.18</v>
      </c>
      <c r="M583" s="3032"/>
    </row>
    <row r="584" spans="1:13">
      <c r="A584" s="3032"/>
      <c r="B584" s="3032"/>
      <c r="C584" s="3034">
        <v>101</v>
      </c>
      <c r="D584" s="3032">
        <v>134.34</v>
      </c>
      <c r="E584" s="3032">
        <v>84.39</v>
      </c>
      <c r="F584" s="3032"/>
      <c r="G584" s="3032">
        <f t="shared" si="43"/>
        <v>218.73000000000002</v>
      </c>
      <c r="H584" s="3032"/>
      <c r="I584" s="3032"/>
      <c r="J584" s="3032">
        <f>J500</f>
        <v>108.67</v>
      </c>
      <c r="K584" s="3032">
        <f t="shared" si="26"/>
        <v>110.06000000000002</v>
      </c>
      <c r="L584" s="3032">
        <f t="shared" si="44"/>
        <v>218.73000000000002</v>
      </c>
      <c r="M584" s="3032">
        <f>SUM(J584:J589)</f>
        <v>652.01</v>
      </c>
    </row>
    <row r="585" spans="1:13">
      <c r="A585" s="3032"/>
      <c r="B585" s="3032"/>
      <c r="C585" s="3034">
        <v>102</v>
      </c>
      <c r="D585" s="3032">
        <v>134.34</v>
      </c>
      <c r="E585" s="3032">
        <v>84.53</v>
      </c>
      <c r="F585" s="3032"/>
      <c r="G585" s="3032">
        <f t="shared" si="43"/>
        <v>218.87</v>
      </c>
      <c r="H585" s="3032"/>
      <c r="I585" s="3032"/>
      <c r="J585" s="3032">
        <f>J584</f>
        <v>108.67</v>
      </c>
      <c r="K585" s="3032">
        <f t="shared" si="26"/>
        <v>110.2</v>
      </c>
      <c r="L585" s="3032">
        <f t="shared" si="44"/>
        <v>218.87</v>
      </c>
      <c r="M585" s="3032"/>
    </row>
    <row r="586" spans="1:13">
      <c r="A586" s="3032"/>
      <c r="B586" s="3032"/>
      <c r="C586" s="3034">
        <v>103</v>
      </c>
      <c r="D586" s="3032">
        <v>134.54</v>
      </c>
      <c r="E586" s="3032">
        <v>84.8</v>
      </c>
      <c r="F586" s="3032"/>
      <c r="G586" s="3032">
        <f t="shared" si="43"/>
        <v>219.33999999999997</v>
      </c>
      <c r="H586" s="3032"/>
      <c r="I586" s="3032"/>
      <c r="J586" s="3032">
        <f>J584</f>
        <v>108.67</v>
      </c>
      <c r="K586" s="3032">
        <f t="shared" si="26"/>
        <v>110.66999999999997</v>
      </c>
      <c r="L586" s="3032">
        <f t="shared" si="44"/>
        <v>219.33999999999997</v>
      </c>
      <c r="M586" s="3032"/>
    </row>
    <row r="587" spans="1:13">
      <c r="A587" s="3032"/>
      <c r="B587" s="3032"/>
      <c r="C587" s="3034">
        <v>104</v>
      </c>
      <c r="D587" s="3032">
        <v>134.34</v>
      </c>
      <c r="E587" s="3032">
        <v>84.39</v>
      </c>
      <c r="F587" s="3032"/>
      <c r="G587" s="3032">
        <f t="shared" ref="G587:G650" si="45">SUM(D587:F587)</f>
        <v>218.73000000000002</v>
      </c>
      <c r="H587" s="3032"/>
      <c r="I587" s="3032"/>
      <c r="J587" s="3032">
        <f>J584</f>
        <v>108.67</v>
      </c>
      <c r="K587" s="3032">
        <f t="shared" si="26"/>
        <v>110.06000000000002</v>
      </c>
      <c r="L587" s="3032">
        <f t="shared" si="44"/>
        <v>218.73000000000002</v>
      </c>
      <c r="M587" s="3032"/>
    </row>
    <row r="588" spans="1:13">
      <c r="A588" s="3032"/>
      <c r="B588" s="3032"/>
      <c r="C588" s="3034">
        <v>105</v>
      </c>
      <c r="D588" s="3032">
        <v>134.34</v>
      </c>
      <c r="E588" s="3032">
        <v>84.53</v>
      </c>
      <c r="F588" s="3032"/>
      <c r="G588" s="3032">
        <f t="shared" si="45"/>
        <v>218.87</v>
      </c>
      <c r="H588" s="3032"/>
      <c r="I588" s="3032"/>
      <c r="J588" s="3032">
        <f>J584</f>
        <v>108.67</v>
      </c>
      <c r="K588" s="3032">
        <f t="shared" si="26"/>
        <v>110.2</v>
      </c>
      <c r="L588" s="3032">
        <f t="shared" si="44"/>
        <v>218.87</v>
      </c>
      <c r="M588" s="3032"/>
    </row>
    <row r="589" spans="1:13">
      <c r="A589" s="3032"/>
      <c r="B589" s="3032"/>
      <c r="C589" s="3034">
        <v>106</v>
      </c>
      <c r="D589" s="3032">
        <v>134.54</v>
      </c>
      <c r="E589" s="3032">
        <v>84.8</v>
      </c>
      <c r="F589" s="3032"/>
      <c r="G589" s="3032">
        <f t="shared" si="45"/>
        <v>219.33999999999997</v>
      </c>
      <c r="H589" s="3032"/>
      <c r="I589" s="3032"/>
      <c r="J589" s="3032">
        <v>108.66</v>
      </c>
      <c r="K589" s="3032">
        <f t="shared" si="26"/>
        <v>110.67999999999998</v>
      </c>
      <c r="L589" s="3032">
        <f t="shared" si="44"/>
        <v>219.33999999999997</v>
      </c>
      <c r="M589" s="3032"/>
    </row>
    <row r="590" spans="1:13">
      <c r="A590" s="3032" t="s">
        <v>3159</v>
      </c>
      <c r="B590" s="3032">
        <v>6</v>
      </c>
      <c r="C590" s="3034">
        <v>-201</v>
      </c>
      <c r="D590" s="3032"/>
      <c r="E590" s="3032">
        <v>83.45</v>
      </c>
      <c r="F590" s="3032"/>
      <c r="G590" s="3032">
        <f t="shared" si="45"/>
        <v>83.45</v>
      </c>
      <c r="H590" s="3032">
        <f>SUM(G590:G601)</f>
        <v>1817.1</v>
      </c>
      <c r="I590" s="3032"/>
      <c r="J590" s="3032"/>
      <c r="K590" s="3032">
        <f t="shared" si="26"/>
        <v>83.45</v>
      </c>
      <c r="L590" s="3032">
        <f t="shared" si="44"/>
        <v>83.45</v>
      </c>
      <c r="M590" s="3032"/>
    </row>
    <row r="591" spans="1:13">
      <c r="A591" s="3032"/>
      <c r="B591" s="3032"/>
      <c r="C591" s="3034">
        <v>-202</v>
      </c>
      <c r="D591" s="3032"/>
      <c r="E591" s="3032">
        <v>84.18</v>
      </c>
      <c r="F591" s="3032"/>
      <c r="G591" s="3032">
        <f t="shared" si="45"/>
        <v>84.18</v>
      </c>
      <c r="H591" s="3032"/>
      <c r="I591" s="3032"/>
      <c r="J591" s="3032"/>
      <c r="K591" s="3032">
        <f t="shared" si="26"/>
        <v>84.18</v>
      </c>
      <c r="L591" s="3032">
        <f t="shared" si="44"/>
        <v>84.18</v>
      </c>
      <c r="M591" s="3032"/>
    </row>
    <row r="592" spans="1:13">
      <c r="A592" s="3032"/>
      <c r="B592" s="3032"/>
      <c r="C592" s="3034">
        <v>-203</v>
      </c>
      <c r="D592" s="3032"/>
      <c r="E592" s="3032">
        <v>84.18</v>
      </c>
      <c r="F592" s="3032"/>
      <c r="G592" s="3032">
        <f t="shared" si="45"/>
        <v>84.18</v>
      </c>
      <c r="H592" s="3032"/>
      <c r="I592" s="3032"/>
      <c r="J592" s="3032"/>
      <c r="K592" s="3032">
        <f t="shared" si="26"/>
        <v>84.18</v>
      </c>
      <c r="L592" s="3032">
        <f t="shared" si="44"/>
        <v>84.18</v>
      </c>
      <c r="M592" s="3032"/>
    </row>
    <row r="593" spans="1:13">
      <c r="A593" s="3032"/>
      <c r="B593" s="3032"/>
      <c r="C593" s="3034">
        <v>-204</v>
      </c>
      <c r="D593" s="3032"/>
      <c r="E593" s="3032">
        <v>83.45</v>
      </c>
      <c r="F593" s="3032"/>
      <c r="G593" s="3032">
        <f t="shared" si="45"/>
        <v>83.45</v>
      </c>
      <c r="H593" s="3032"/>
      <c r="I593" s="3032"/>
      <c r="J593" s="3032"/>
      <c r="K593" s="3032">
        <f t="shared" si="26"/>
        <v>83.45</v>
      </c>
      <c r="L593" s="3032">
        <f t="shared" si="44"/>
        <v>83.45</v>
      </c>
      <c r="M593" s="3032"/>
    </row>
    <row r="594" spans="1:13">
      <c r="A594" s="3032"/>
      <c r="B594" s="3032"/>
      <c r="C594" s="3034">
        <v>-205</v>
      </c>
      <c r="D594" s="3032"/>
      <c r="E594" s="3032">
        <v>84.18</v>
      </c>
      <c r="F594" s="3032"/>
      <c r="G594" s="3032">
        <f t="shared" si="45"/>
        <v>84.18</v>
      </c>
      <c r="H594" s="3032"/>
      <c r="I594" s="3032"/>
      <c r="J594" s="3032"/>
      <c r="K594" s="3032">
        <f t="shared" si="26"/>
        <v>84.18</v>
      </c>
      <c r="L594" s="3032">
        <f t="shared" si="44"/>
        <v>84.18</v>
      </c>
      <c r="M594" s="3032"/>
    </row>
    <row r="595" spans="1:13">
      <c r="A595" s="3032"/>
      <c r="B595" s="3032"/>
      <c r="C595" s="3034">
        <v>-206</v>
      </c>
      <c r="D595" s="3032"/>
      <c r="E595" s="3032">
        <v>84.18</v>
      </c>
      <c r="F595" s="3032"/>
      <c r="G595" s="3032">
        <f t="shared" si="45"/>
        <v>84.18</v>
      </c>
      <c r="H595" s="3032"/>
      <c r="I595" s="3032"/>
      <c r="J595" s="3032"/>
      <c r="K595" s="3032">
        <f t="shared" si="26"/>
        <v>84.18</v>
      </c>
      <c r="L595" s="3032">
        <f t="shared" si="44"/>
        <v>84.18</v>
      </c>
      <c r="M595" s="3032"/>
    </row>
    <row r="596" spans="1:13">
      <c r="A596" s="3032"/>
      <c r="B596" s="3032"/>
      <c r="C596" s="3034">
        <v>101</v>
      </c>
      <c r="D596" s="3032">
        <v>134.30000000000001</v>
      </c>
      <c r="E596" s="3032">
        <v>84.37</v>
      </c>
      <c r="F596" s="3032"/>
      <c r="G596" s="3032">
        <f t="shared" si="45"/>
        <v>218.67000000000002</v>
      </c>
      <c r="H596" s="3032"/>
      <c r="I596" s="3032"/>
      <c r="J596" s="3032">
        <f>J584</f>
        <v>108.67</v>
      </c>
      <c r="K596" s="3032">
        <f t="shared" si="26"/>
        <v>110.00000000000001</v>
      </c>
      <c r="L596" s="3032">
        <f t="shared" si="44"/>
        <v>218.67000000000002</v>
      </c>
      <c r="M596" s="3032">
        <f>J596+J597+J598+J599+J600+J601</f>
        <v>652.01</v>
      </c>
    </row>
    <row r="597" spans="1:13">
      <c r="A597" s="3032"/>
      <c r="B597" s="3032"/>
      <c r="C597" s="3034">
        <v>102</v>
      </c>
      <c r="D597" s="3032">
        <v>134.29</v>
      </c>
      <c r="E597" s="3032">
        <v>84.51</v>
      </c>
      <c r="F597" s="3032"/>
      <c r="G597" s="3032">
        <f t="shared" si="45"/>
        <v>218.8</v>
      </c>
      <c r="H597" s="3032"/>
      <c r="I597" s="3032"/>
      <c r="J597" s="3032">
        <f>J596</f>
        <v>108.67</v>
      </c>
      <c r="K597" s="3032">
        <f t="shared" si="26"/>
        <v>110.13000000000001</v>
      </c>
      <c r="L597" s="3032">
        <f t="shared" si="44"/>
        <v>218.8</v>
      </c>
      <c r="M597" s="3032"/>
    </row>
    <row r="598" spans="1:13">
      <c r="A598" s="3032"/>
      <c r="B598" s="3032"/>
      <c r="C598" s="3034">
        <v>103</v>
      </c>
      <c r="D598" s="3032">
        <v>134.49</v>
      </c>
      <c r="E598" s="3032">
        <v>84.78</v>
      </c>
      <c r="F598" s="3032"/>
      <c r="G598" s="3032">
        <f t="shared" si="45"/>
        <v>219.27</v>
      </c>
      <c r="H598" s="3032"/>
      <c r="I598" s="3032"/>
      <c r="J598" s="3032">
        <f>J596</f>
        <v>108.67</v>
      </c>
      <c r="K598" s="3032">
        <f t="shared" si="26"/>
        <v>110.60000000000001</v>
      </c>
      <c r="L598" s="3032">
        <f t="shared" si="44"/>
        <v>219.27</v>
      </c>
      <c r="M598" s="3032"/>
    </row>
    <row r="599" spans="1:13">
      <c r="A599" s="3032"/>
      <c r="B599" s="3032"/>
      <c r="C599" s="3034">
        <v>104</v>
      </c>
      <c r="D599" s="3032">
        <v>134.30000000000001</v>
      </c>
      <c r="E599" s="3032">
        <v>84.37</v>
      </c>
      <c r="F599" s="3032"/>
      <c r="G599" s="3032">
        <f t="shared" si="45"/>
        <v>218.67000000000002</v>
      </c>
      <c r="H599" s="3032"/>
      <c r="I599" s="3032"/>
      <c r="J599" s="3032">
        <f>J596</f>
        <v>108.67</v>
      </c>
      <c r="K599" s="3032">
        <f t="shared" si="26"/>
        <v>110.00000000000001</v>
      </c>
      <c r="L599" s="3032">
        <f t="shared" si="44"/>
        <v>218.67000000000002</v>
      </c>
      <c r="M599" s="3032"/>
    </row>
    <row r="600" spans="1:13">
      <c r="A600" s="3032"/>
      <c r="B600" s="3032"/>
      <c r="C600" s="3034">
        <v>105</v>
      </c>
      <c r="D600" s="3032">
        <v>134.29</v>
      </c>
      <c r="E600" s="3032">
        <v>84.51</v>
      </c>
      <c r="F600" s="3032"/>
      <c r="G600" s="3032">
        <f t="shared" si="45"/>
        <v>218.8</v>
      </c>
      <c r="H600" s="3032"/>
      <c r="I600" s="3032"/>
      <c r="J600" s="3032">
        <f>J596</f>
        <v>108.67</v>
      </c>
      <c r="K600" s="3032">
        <f t="shared" si="26"/>
        <v>110.13000000000001</v>
      </c>
      <c r="L600" s="3032">
        <f t="shared" si="44"/>
        <v>218.8</v>
      </c>
      <c r="M600" s="3032"/>
    </row>
    <row r="601" spans="1:13">
      <c r="A601" s="3032"/>
      <c r="B601" s="3032"/>
      <c r="C601" s="3034">
        <v>106</v>
      </c>
      <c r="D601" s="3032">
        <v>134.49</v>
      </c>
      <c r="E601" s="3032">
        <v>84.78</v>
      </c>
      <c r="F601" s="3032"/>
      <c r="G601" s="3032">
        <f t="shared" si="45"/>
        <v>219.27</v>
      </c>
      <c r="H601" s="3032"/>
      <c r="I601" s="3032"/>
      <c r="J601" s="3032">
        <f>J589</f>
        <v>108.66</v>
      </c>
      <c r="K601" s="3032">
        <f t="shared" si="26"/>
        <v>110.61000000000001</v>
      </c>
      <c r="L601" s="3032">
        <f t="shared" si="44"/>
        <v>219.27</v>
      </c>
      <c r="M601" s="3032"/>
    </row>
    <row r="602" spans="1:13">
      <c r="A602" s="3032" t="s">
        <v>3160</v>
      </c>
      <c r="B602" s="3032">
        <v>8</v>
      </c>
      <c r="C602" s="3034">
        <v>-201</v>
      </c>
      <c r="D602" s="3032"/>
      <c r="E602" s="3032">
        <v>83.38</v>
      </c>
      <c r="F602" s="3032"/>
      <c r="G602" s="3032">
        <f t="shared" si="45"/>
        <v>83.38</v>
      </c>
      <c r="H602" s="3032">
        <f>SUM(G602:G617)</f>
        <v>2419.88</v>
      </c>
      <c r="I602" s="3032"/>
      <c r="J602" s="3032"/>
      <c r="K602" s="3032">
        <f t="shared" si="26"/>
        <v>83.38</v>
      </c>
      <c r="L602" s="3032">
        <f t="shared" si="44"/>
        <v>83.38</v>
      </c>
      <c r="M602" s="3032"/>
    </row>
    <row r="603" spans="1:13">
      <c r="A603" s="3032"/>
      <c r="B603" s="3032"/>
      <c r="C603" s="3034">
        <v>-202</v>
      </c>
      <c r="D603" s="3032"/>
      <c r="E603" s="3032">
        <v>84.1</v>
      </c>
      <c r="F603" s="3032"/>
      <c r="G603" s="3032">
        <f t="shared" si="45"/>
        <v>84.1</v>
      </c>
      <c r="H603" s="3032"/>
      <c r="I603" s="3032"/>
      <c r="J603" s="3032"/>
      <c r="K603" s="3032">
        <f t="shared" si="26"/>
        <v>84.1</v>
      </c>
      <c r="L603" s="3032">
        <f t="shared" si="44"/>
        <v>84.1</v>
      </c>
      <c r="M603" s="3032"/>
    </row>
    <row r="604" spans="1:13">
      <c r="A604" s="3032"/>
      <c r="B604" s="3032"/>
      <c r="C604" s="3034">
        <v>-203</v>
      </c>
      <c r="D604" s="3032"/>
      <c r="E604" s="3032">
        <v>84.1</v>
      </c>
      <c r="F604" s="3032"/>
      <c r="G604" s="3032">
        <f t="shared" si="45"/>
        <v>84.1</v>
      </c>
      <c r="H604" s="3032"/>
      <c r="I604" s="3032"/>
      <c r="J604" s="3032"/>
      <c r="K604" s="3032">
        <f t="shared" si="26"/>
        <v>84.1</v>
      </c>
      <c r="L604" s="3032">
        <f t="shared" si="44"/>
        <v>84.1</v>
      </c>
      <c r="M604" s="3032"/>
    </row>
    <row r="605" spans="1:13">
      <c r="A605" s="3032"/>
      <c r="B605" s="3032"/>
      <c r="C605" s="3034">
        <v>-204</v>
      </c>
      <c r="D605" s="3032"/>
      <c r="E605" s="3032">
        <v>84.1</v>
      </c>
      <c r="F605" s="3032"/>
      <c r="G605" s="3032">
        <f t="shared" si="45"/>
        <v>84.1</v>
      </c>
      <c r="H605" s="3032"/>
      <c r="I605" s="3032"/>
      <c r="J605" s="3032"/>
      <c r="K605" s="3032">
        <f t="shared" si="26"/>
        <v>84.1</v>
      </c>
      <c r="L605" s="3032">
        <f t="shared" si="44"/>
        <v>84.1</v>
      </c>
      <c r="M605" s="3032"/>
    </row>
    <row r="606" spans="1:13">
      <c r="A606" s="3032"/>
      <c r="B606" s="3032"/>
      <c r="C606" s="3034">
        <v>-205</v>
      </c>
      <c r="D606" s="3032"/>
      <c r="E606" s="3032">
        <v>83.38</v>
      </c>
      <c r="F606" s="3032"/>
      <c r="G606" s="3032">
        <f t="shared" si="45"/>
        <v>83.38</v>
      </c>
      <c r="H606" s="3032"/>
      <c r="I606" s="3032"/>
      <c r="J606" s="3032"/>
      <c r="K606" s="3032">
        <f t="shared" si="26"/>
        <v>83.38</v>
      </c>
      <c r="L606" s="3032">
        <f t="shared" si="44"/>
        <v>83.38</v>
      </c>
      <c r="M606" s="3032"/>
    </row>
    <row r="607" spans="1:13">
      <c r="A607" s="3032"/>
      <c r="B607" s="3032"/>
      <c r="C607" s="3034">
        <v>-206</v>
      </c>
      <c r="D607" s="3032"/>
      <c r="E607" s="3032">
        <v>84.1</v>
      </c>
      <c r="F607" s="3032"/>
      <c r="G607" s="3032">
        <f t="shared" si="45"/>
        <v>84.1</v>
      </c>
      <c r="H607" s="3032"/>
      <c r="I607" s="3032"/>
      <c r="J607" s="3032"/>
      <c r="K607" s="3032">
        <f t="shared" si="26"/>
        <v>84.1</v>
      </c>
      <c r="L607" s="3032">
        <f t="shared" si="44"/>
        <v>84.1</v>
      </c>
      <c r="M607" s="3032"/>
    </row>
    <row r="608" spans="1:13">
      <c r="A608" s="3032"/>
      <c r="B608" s="3032"/>
      <c r="C608" s="3034">
        <v>-207</v>
      </c>
      <c r="D608" s="3032"/>
      <c r="E608" s="3032">
        <v>84.1</v>
      </c>
      <c r="F608" s="3032"/>
      <c r="G608" s="3032">
        <f t="shared" si="45"/>
        <v>84.1</v>
      </c>
      <c r="H608" s="3032"/>
      <c r="I608" s="3032"/>
      <c r="J608" s="3032"/>
      <c r="K608" s="3032">
        <f t="shared" si="26"/>
        <v>84.1</v>
      </c>
      <c r="L608" s="3032">
        <f t="shared" si="44"/>
        <v>84.1</v>
      </c>
      <c r="M608" s="3032"/>
    </row>
    <row r="609" spans="1:13">
      <c r="A609" s="3032"/>
      <c r="B609" s="3032"/>
      <c r="C609" s="3034">
        <v>-208</v>
      </c>
      <c r="D609" s="3032"/>
      <c r="E609" s="3032">
        <v>84.1</v>
      </c>
      <c r="F609" s="3032"/>
      <c r="G609" s="3032">
        <f t="shared" si="45"/>
        <v>84.1</v>
      </c>
      <c r="H609" s="3032"/>
      <c r="I609" s="3032"/>
      <c r="J609" s="3032"/>
      <c r="K609" s="3032">
        <f t="shared" si="26"/>
        <v>84.1</v>
      </c>
      <c r="L609" s="3032">
        <f t="shared" si="44"/>
        <v>84.1</v>
      </c>
      <c r="M609" s="3032"/>
    </row>
    <row r="610" spans="1:13">
      <c r="A610" s="3032"/>
      <c r="B610" s="3032"/>
      <c r="C610" s="3034">
        <v>101</v>
      </c>
      <c r="D610" s="3032">
        <v>134.11000000000001</v>
      </c>
      <c r="E610" s="3032">
        <v>84.23</v>
      </c>
      <c r="F610" s="3032"/>
      <c r="G610" s="3032">
        <f t="shared" si="45"/>
        <v>218.34000000000003</v>
      </c>
      <c r="H610" s="3032"/>
      <c r="I610" s="3032"/>
      <c r="J610" s="3032">
        <f>J570</f>
        <v>108.56</v>
      </c>
      <c r="K610" s="3032">
        <f t="shared" si="26"/>
        <v>109.78000000000003</v>
      </c>
      <c r="L610" s="3032">
        <f t="shared" si="44"/>
        <v>218.34000000000003</v>
      </c>
      <c r="M610" s="3032">
        <f>SUM(J610:J617)</f>
        <v>868.4699999999998</v>
      </c>
    </row>
    <row r="611" spans="1:13">
      <c r="A611" s="3032"/>
      <c r="B611" s="3032"/>
      <c r="C611" s="3034">
        <v>102</v>
      </c>
      <c r="D611" s="3032">
        <v>134.11000000000001</v>
      </c>
      <c r="E611" s="3032">
        <v>84.38</v>
      </c>
      <c r="F611" s="3032"/>
      <c r="G611" s="3032">
        <f t="shared" si="45"/>
        <v>218.49</v>
      </c>
      <c r="H611" s="3032"/>
      <c r="I611" s="3032"/>
      <c r="J611" s="3032">
        <f>J610</f>
        <v>108.56</v>
      </c>
      <c r="K611" s="3032">
        <f t="shared" si="26"/>
        <v>109.93</v>
      </c>
      <c r="L611" s="3032">
        <f t="shared" si="44"/>
        <v>218.49</v>
      </c>
      <c r="M611" s="3032"/>
    </row>
    <row r="612" spans="1:13">
      <c r="A612" s="3032"/>
      <c r="B612" s="3032"/>
      <c r="C612" s="3034">
        <v>103</v>
      </c>
      <c r="D612" s="3032">
        <v>134.11000000000001</v>
      </c>
      <c r="E612" s="3032">
        <v>84.38</v>
      </c>
      <c r="F612" s="3032"/>
      <c r="G612" s="3032">
        <f t="shared" si="45"/>
        <v>218.49</v>
      </c>
      <c r="H612" s="3032"/>
      <c r="I612" s="3032"/>
      <c r="J612" s="3032">
        <f>J610</f>
        <v>108.56</v>
      </c>
      <c r="K612" s="3032">
        <f t="shared" si="26"/>
        <v>109.93</v>
      </c>
      <c r="L612" s="3032">
        <f t="shared" si="44"/>
        <v>218.49</v>
      </c>
      <c r="M612" s="3032"/>
    </row>
    <row r="613" spans="1:13">
      <c r="A613" s="3032"/>
      <c r="B613" s="3032"/>
      <c r="C613" s="3034">
        <v>104</v>
      </c>
      <c r="D613" s="3032">
        <v>134.30000000000001</v>
      </c>
      <c r="E613" s="3032">
        <v>84.64</v>
      </c>
      <c r="F613" s="3032"/>
      <c r="G613" s="3032">
        <f t="shared" si="45"/>
        <v>218.94</v>
      </c>
      <c r="H613" s="3032"/>
      <c r="I613" s="3032"/>
      <c r="J613" s="3032">
        <f>J610</f>
        <v>108.56</v>
      </c>
      <c r="K613" s="3032">
        <f t="shared" si="26"/>
        <v>110.38</v>
      </c>
      <c r="L613" s="3032">
        <f t="shared" si="44"/>
        <v>218.94</v>
      </c>
      <c r="M613" s="3032"/>
    </row>
    <row r="614" spans="1:13">
      <c r="A614" s="3032"/>
      <c r="B614" s="3032"/>
      <c r="C614" s="3034">
        <v>105</v>
      </c>
      <c r="D614" s="3032">
        <v>134.11000000000001</v>
      </c>
      <c r="E614" s="3032">
        <v>84.23</v>
      </c>
      <c r="F614" s="3032"/>
      <c r="G614" s="3032">
        <f t="shared" si="45"/>
        <v>218.34000000000003</v>
      </c>
      <c r="H614" s="3032"/>
      <c r="I614" s="3032"/>
      <c r="J614" s="3032">
        <f>J610</f>
        <v>108.56</v>
      </c>
      <c r="K614" s="3032">
        <f t="shared" si="26"/>
        <v>109.78000000000003</v>
      </c>
      <c r="L614" s="3032">
        <f t="shared" si="44"/>
        <v>218.34000000000003</v>
      </c>
      <c r="M614" s="3032"/>
    </row>
    <row r="615" spans="1:13">
      <c r="A615" s="3032"/>
      <c r="B615" s="3032"/>
      <c r="C615" s="3034">
        <v>106</v>
      </c>
      <c r="D615" s="3032">
        <v>134.11000000000001</v>
      </c>
      <c r="E615" s="3032">
        <v>84.38</v>
      </c>
      <c r="F615" s="3032"/>
      <c r="G615" s="3032">
        <f t="shared" si="45"/>
        <v>218.49</v>
      </c>
      <c r="H615" s="3032"/>
      <c r="I615" s="3032"/>
      <c r="J615" s="3032">
        <f>J610</f>
        <v>108.56</v>
      </c>
      <c r="K615" s="3032">
        <f t="shared" si="26"/>
        <v>109.93</v>
      </c>
      <c r="L615" s="3032">
        <f t="shared" si="44"/>
        <v>218.49</v>
      </c>
      <c r="M615" s="3032"/>
    </row>
    <row r="616" spans="1:13">
      <c r="A616" s="3032"/>
      <c r="B616" s="3032"/>
      <c r="C616" s="3034">
        <v>107</v>
      </c>
      <c r="D616" s="3032">
        <v>134.11000000000001</v>
      </c>
      <c r="E616" s="3032">
        <v>84.38</v>
      </c>
      <c r="F616" s="3032"/>
      <c r="G616" s="3032">
        <f t="shared" si="45"/>
        <v>218.49</v>
      </c>
      <c r="H616" s="3032"/>
      <c r="I616" s="3032"/>
      <c r="J616" s="3032">
        <f>J610</f>
        <v>108.56</v>
      </c>
      <c r="K616" s="3032">
        <f t="shared" si="26"/>
        <v>109.93</v>
      </c>
      <c r="L616" s="3032">
        <f t="shared" si="44"/>
        <v>218.49</v>
      </c>
      <c r="M616" s="3032"/>
    </row>
    <row r="617" spans="1:13">
      <c r="A617" s="3032"/>
      <c r="B617" s="3032"/>
      <c r="C617" s="3034">
        <v>108</v>
      </c>
      <c r="D617" s="3032">
        <v>134.30000000000001</v>
      </c>
      <c r="E617" s="3032">
        <v>84.64</v>
      </c>
      <c r="F617" s="3032"/>
      <c r="G617" s="3032">
        <f t="shared" si="45"/>
        <v>218.94</v>
      </c>
      <c r="H617" s="3032"/>
      <c r="I617" s="3032"/>
      <c r="J617" s="3032">
        <v>108.55</v>
      </c>
      <c r="K617" s="3032">
        <f t="shared" si="26"/>
        <v>110.39</v>
      </c>
      <c r="L617" s="3032">
        <f t="shared" si="44"/>
        <v>218.94</v>
      </c>
      <c r="M617" s="3032"/>
    </row>
    <row r="618" spans="1:13">
      <c r="A618" s="3032" t="s">
        <v>3161</v>
      </c>
      <c r="B618" s="3032">
        <v>4</v>
      </c>
      <c r="C618" s="3034">
        <v>-201</v>
      </c>
      <c r="D618" s="3032"/>
      <c r="E618" s="3032">
        <v>84.35</v>
      </c>
      <c r="F618" s="3032"/>
      <c r="G618" s="3032">
        <f t="shared" si="45"/>
        <v>84.35</v>
      </c>
      <c r="H618" s="3032">
        <f>SUM(G618:G625)</f>
        <v>1240.22</v>
      </c>
      <c r="I618" s="3032"/>
      <c r="J618" s="3032"/>
      <c r="K618" s="3032">
        <f t="shared" ref="K618:K681" si="46">G618-J618</f>
        <v>84.35</v>
      </c>
      <c r="L618" s="3032">
        <f t="shared" si="44"/>
        <v>84.35</v>
      </c>
      <c r="M618" s="3032"/>
    </row>
    <row r="619" spans="1:13">
      <c r="A619" s="3032"/>
      <c r="B619" s="3032"/>
      <c r="C619" s="3034">
        <v>-202</v>
      </c>
      <c r="D619" s="3032"/>
      <c r="E619" s="3032">
        <v>85.07</v>
      </c>
      <c r="F619" s="3032"/>
      <c r="G619" s="3032">
        <f t="shared" si="45"/>
        <v>85.07</v>
      </c>
      <c r="H619" s="3032"/>
      <c r="I619" s="3032"/>
      <c r="J619" s="3032"/>
      <c r="K619" s="3032">
        <f t="shared" si="46"/>
        <v>85.07</v>
      </c>
      <c r="L619" s="3032">
        <f t="shared" si="44"/>
        <v>85.07</v>
      </c>
      <c r="M619" s="3032"/>
    </row>
    <row r="620" spans="1:13">
      <c r="A620" s="3032"/>
      <c r="B620" s="3032"/>
      <c r="C620" s="3034">
        <v>-203</v>
      </c>
      <c r="D620" s="3032"/>
      <c r="E620" s="3032">
        <v>85.07</v>
      </c>
      <c r="F620" s="3032"/>
      <c r="G620" s="3032">
        <f t="shared" si="45"/>
        <v>85.07</v>
      </c>
      <c r="H620" s="3032"/>
      <c r="I620" s="3032"/>
      <c r="J620" s="3032"/>
      <c r="K620" s="3032">
        <f t="shared" si="46"/>
        <v>85.07</v>
      </c>
      <c r="L620" s="3032">
        <f t="shared" si="44"/>
        <v>85.07</v>
      </c>
      <c r="M620" s="3032"/>
    </row>
    <row r="621" spans="1:13">
      <c r="A621" s="3032"/>
      <c r="B621" s="3032"/>
      <c r="C621" s="3034">
        <v>-204</v>
      </c>
      <c r="D621" s="3032"/>
      <c r="E621" s="3032">
        <v>85.07</v>
      </c>
      <c r="F621" s="3032"/>
      <c r="G621" s="3032">
        <f t="shared" si="45"/>
        <v>85.07</v>
      </c>
      <c r="H621" s="3032"/>
      <c r="I621" s="3032"/>
      <c r="J621" s="3032"/>
      <c r="K621" s="3032">
        <f t="shared" si="46"/>
        <v>85.07</v>
      </c>
      <c r="L621" s="3032">
        <f t="shared" si="44"/>
        <v>85.07</v>
      </c>
      <c r="M621" s="3032"/>
    </row>
    <row r="622" spans="1:13">
      <c r="A622" s="3032"/>
      <c r="B622" s="3032"/>
      <c r="C622" s="3034">
        <v>101</v>
      </c>
      <c r="D622" s="3032">
        <v>138.52000000000001</v>
      </c>
      <c r="E622" s="3032">
        <v>86.41</v>
      </c>
      <c r="F622" s="3032"/>
      <c r="G622" s="3032">
        <f t="shared" si="45"/>
        <v>224.93</v>
      </c>
      <c r="H622" s="3032"/>
      <c r="I622" s="3032"/>
      <c r="J622" s="3032">
        <f>ROUND(449.59/4,2)</f>
        <v>112.4</v>
      </c>
      <c r="K622" s="3032">
        <f t="shared" si="46"/>
        <v>112.53</v>
      </c>
      <c r="L622" s="3032">
        <f t="shared" si="44"/>
        <v>224.93</v>
      </c>
      <c r="M622" s="3032">
        <f>J622+J623+J624+J625</f>
        <v>449.59</v>
      </c>
    </row>
    <row r="623" spans="1:13">
      <c r="A623" s="3032"/>
      <c r="B623" s="3032"/>
      <c r="C623" s="3034">
        <v>102</v>
      </c>
      <c r="D623" s="3032">
        <v>138.52000000000001</v>
      </c>
      <c r="E623" s="3032">
        <v>86.56</v>
      </c>
      <c r="F623" s="3032"/>
      <c r="G623" s="3032">
        <f t="shared" si="45"/>
        <v>225.08</v>
      </c>
      <c r="H623" s="3032"/>
      <c r="I623" s="3032"/>
      <c r="J623" s="3032">
        <f>J622</f>
        <v>112.4</v>
      </c>
      <c r="K623" s="3032">
        <f t="shared" si="46"/>
        <v>112.68</v>
      </c>
      <c r="L623" s="3032">
        <f t="shared" si="44"/>
        <v>225.08</v>
      </c>
      <c r="M623" s="3032"/>
    </row>
    <row r="624" spans="1:13">
      <c r="A624" s="3032"/>
      <c r="B624" s="3032"/>
      <c r="C624" s="3034">
        <v>103</v>
      </c>
      <c r="D624" s="3032">
        <v>138.52000000000001</v>
      </c>
      <c r="E624" s="3032">
        <v>86.56</v>
      </c>
      <c r="F624" s="3032"/>
      <c r="G624" s="3032">
        <f t="shared" si="45"/>
        <v>225.08</v>
      </c>
      <c r="H624" s="3032"/>
      <c r="I624" s="3032"/>
      <c r="J624" s="3032">
        <f>J622</f>
        <v>112.4</v>
      </c>
      <c r="K624" s="3032">
        <f t="shared" si="46"/>
        <v>112.68</v>
      </c>
      <c r="L624" s="3032">
        <f t="shared" si="44"/>
        <v>225.08</v>
      </c>
      <c r="M624" s="3032"/>
    </row>
    <row r="625" spans="1:13">
      <c r="A625" s="3032"/>
      <c r="B625" s="3032"/>
      <c r="C625" s="3034">
        <v>104</v>
      </c>
      <c r="D625" s="3032">
        <v>138.71</v>
      </c>
      <c r="E625" s="3032">
        <v>86.86</v>
      </c>
      <c r="F625" s="3032"/>
      <c r="G625" s="3032">
        <f>SUM(D625:F625)</f>
        <v>225.57</v>
      </c>
      <c r="H625" s="3032"/>
      <c r="I625" s="3032"/>
      <c r="J625" s="3032">
        <f>449.59-J622-J623-J624</f>
        <v>112.38999999999993</v>
      </c>
      <c r="K625" s="3032">
        <f t="shared" si="46"/>
        <v>113.18000000000006</v>
      </c>
      <c r="L625" s="3032">
        <f t="shared" si="44"/>
        <v>225.57</v>
      </c>
      <c r="M625" s="3032"/>
    </row>
    <row r="626" spans="1:13">
      <c r="A626" s="3032" t="s">
        <v>3162</v>
      </c>
      <c r="B626" s="3032">
        <v>3</v>
      </c>
      <c r="C626" s="3034">
        <v>-201</v>
      </c>
      <c r="D626" s="3032"/>
      <c r="E626" s="3032">
        <v>84.4</v>
      </c>
      <c r="F626" s="3032"/>
      <c r="G626" s="3032">
        <f t="shared" si="45"/>
        <v>84.4</v>
      </c>
      <c r="H626" s="3032">
        <f>SUM(G626:G631)</f>
        <v>931.93999999999994</v>
      </c>
      <c r="I626" s="3032"/>
      <c r="J626" s="3032"/>
      <c r="K626" s="3032">
        <f t="shared" si="46"/>
        <v>84.4</v>
      </c>
      <c r="L626" s="3032">
        <f t="shared" si="44"/>
        <v>84.4</v>
      </c>
      <c r="M626" s="3032"/>
    </row>
    <row r="627" spans="1:13">
      <c r="A627" s="3032"/>
      <c r="B627" s="3032"/>
      <c r="C627" s="3034">
        <v>-202</v>
      </c>
      <c r="D627" s="3032"/>
      <c r="E627" s="3032">
        <v>85.12</v>
      </c>
      <c r="F627" s="3032"/>
      <c r="G627" s="3032">
        <f t="shared" si="45"/>
        <v>85.12</v>
      </c>
      <c r="H627" s="3032"/>
      <c r="I627" s="3032"/>
      <c r="J627" s="3032"/>
      <c r="K627" s="3032">
        <f t="shared" si="46"/>
        <v>85.12</v>
      </c>
      <c r="L627" s="3032">
        <f t="shared" si="44"/>
        <v>85.12</v>
      </c>
      <c r="M627" s="3032"/>
    </row>
    <row r="628" spans="1:13">
      <c r="A628" s="3032"/>
      <c r="B628" s="3032"/>
      <c r="C628" s="3034">
        <v>-203</v>
      </c>
      <c r="D628" s="3032"/>
      <c r="E628" s="3032">
        <v>85.12</v>
      </c>
      <c r="F628" s="3032"/>
      <c r="G628" s="3032">
        <f t="shared" si="45"/>
        <v>85.12</v>
      </c>
      <c r="H628" s="3032"/>
      <c r="I628" s="3032"/>
      <c r="J628" s="3032"/>
      <c r="K628" s="3032">
        <f t="shared" si="46"/>
        <v>85.12</v>
      </c>
      <c r="L628" s="3032">
        <f t="shared" si="44"/>
        <v>85.12</v>
      </c>
      <c r="M628" s="3032"/>
    </row>
    <row r="629" spans="1:13">
      <c r="A629" s="3032"/>
      <c r="B629" s="3032"/>
      <c r="C629" s="3034">
        <v>101</v>
      </c>
      <c r="D629" s="3032">
        <v>138.81</v>
      </c>
      <c r="E629" s="3032">
        <v>86.7</v>
      </c>
      <c r="F629" s="3032"/>
      <c r="G629" s="3032">
        <f t="shared" si="45"/>
        <v>225.51</v>
      </c>
      <c r="H629" s="3032"/>
      <c r="I629" s="3032"/>
      <c r="J629" s="3032">
        <f>ROUND(337.54/3,2)</f>
        <v>112.51</v>
      </c>
      <c r="K629" s="3032">
        <f t="shared" si="46"/>
        <v>112.99999999999999</v>
      </c>
      <c r="L629" s="3032">
        <f t="shared" si="44"/>
        <v>225.51</v>
      </c>
      <c r="M629" s="3032">
        <f>J629+J630+J631</f>
        <v>337.54</v>
      </c>
    </row>
    <row r="630" spans="1:13">
      <c r="A630" s="3032"/>
      <c r="B630" s="3032"/>
      <c r="C630" s="3034">
        <v>102</v>
      </c>
      <c r="D630" s="3032">
        <v>138.81</v>
      </c>
      <c r="E630" s="3032">
        <v>86.84</v>
      </c>
      <c r="F630" s="3032"/>
      <c r="G630" s="3032">
        <f t="shared" si="45"/>
        <v>225.65</v>
      </c>
      <c r="H630" s="3032"/>
      <c r="I630" s="3032"/>
      <c r="J630" s="3032">
        <f>J629</f>
        <v>112.51</v>
      </c>
      <c r="K630" s="3032">
        <f t="shared" si="46"/>
        <v>113.14</v>
      </c>
      <c r="L630" s="3032">
        <f t="shared" si="44"/>
        <v>225.65</v>
      </c>
      <c r="M630" s="3032"/>
    </row>
    <row r="631" spans="1:13">
      <c r="A631" s="3032"/>
      <c r="B631" s="3032"/>
      <c r="C631" s="3034">
        <v>103</v>
      </c>
      <c r="D631" s="3032">
        <v>139.02000000000001</v>
      </c>
      <c r="E631" s="3032">
        <v>87.12</v>
      </c>
      <c r="F631" s="3032"/>
      <c r="G631" s="3032">
        <f t="shared" si="45"/>
        <v>226.14000000000001</v>
      </c>
      <c r="H631" s="3032"/>
      <c r="I631" s="3032"/>
      <c r="J631" s="3032">
        <f>337.54-J629-J630</f>
        <v>112.52000000000002</v>
      </c>
      <c r="K631" s="3032">
        <f t="shared" si="46"/>
        <v>113.61999999999999</v>
      </c>
      <c r="L631" s="3032">
        <f t="shared" si="44"/>
        <v>226.14000000000001</v>
      </c>
      <c r="M631" s="3032"/>
    </row>
    <row r="632" spans="1:13">
      <c r="A632" s="3032" t="s">
        <v>3163</v>
      </c>
      <c r="B632" s="3032">
        <v>6</v>
      </c>
      <c r="C632" s="3034">
        <v>-201</v>
      </c>
      <c r="D632" s="3032"/>
      <c r="E632" s="3032">
        <v>83.45</v>
      </c>
      <c r="F632" s="3032"/>
      <c r="G632" s="3032">
        <f t="shared" si="45"/>
        <v>83.45</v>
      </c>
      <c r="H632" s="3032">
        <f>SUM(G632:G643)</f>
        <v>1816.8799999999999</v>
      </c>
      <c r="I632" s="3032"/>
      <c r="J632" s="3032"/>
      <c r="K632" s="3032">
        <f t="shared" si="46"/>
        <v>83.45</v>
      </c>
      <c r="L632" s="3032">
        <f t="shared" si="44"/>
        <v>83.45</v>
      </c>
      <c r="M632" s="3032"/>
    </row>
    <row r="633" spans="1:13">
      <c r="A633" s="3032"/>
      <c r="B633" s="3032"/>
      <c r="C633" s="3034">
        <v>-202</v>
      </c>
      <c r="D633" s="3032"/>
      <c r="E633" s="3032">
        <v>84.17</v>
      </c>
      <c r="F633" s="3032"/>
      <c r="G633" s="3032">
        <f t="shared" si="45"/>
        <v>84.17</v>
      </c>
      <c r="H633" s="3032"/>
      <c r="I633" s="3032"/>
      <c r="J633" s="3032"/>
      <c r="K633" s="3032">
        <f t="shared" si="46"/>
        <v>84.17</v>
      </c>
      <c r="L633" s="3032">
        <f t="shared" si="44"/>
        <v>84.17</v>
      </c>
      <c r="M633" s="3032"/>
    </row>
    <row r="634" spans="1:13">
      <c r="A634" s="3032"/>
      <c r="B634" s="3032"/>
      <c r="C634" s="3034">
        <v>-203</v>
      </c>
      <c r="D634" s="3032"/>
      <c r="E634" s="3032">
        <v>84.17</v>
      </c>
      <c r="F634" s="3032"/>
      <c r="G634" s="3032">
        <f t="shared" si="45"/>
        <v>84.17</v>
      </c>
      <c r="H634" s="3032"/>
      <c r="I634" s="3032"/>
      <c r="J634" s="3032"/>
      <c r="K634" s="3032">
        <f t="shared" si="46"/>
        <v>84.17</v>
      </c>
      <c r="L634" s="3032">
        <f t="shared" si="44"/>
        <v>84.17</v>
      </c>
      <c r="M634" s="3032"/>
    </row>
    <row r="635" spans="1:13">
      <c r="A635" s="3032"/>
      <c r="B635" s="3032"/>
      <c r="C635" s="3034">
        <v>-204</v>
      </c>
      <c r="D635" s="3032"/>
      <c r="E635" s="3032">
        <v>83.45</v>
      </c>
      <c r="F635" s="3032"/>
      <c r="G635" s="3032">
        <f t="shared" si="45"/>
        <v>83.45</v>
      </c>
      <c r="H635" s="3032"/>
      <c r="I635" s="3032"/>
      <c r="J635" s="3032"/>
      <c r="K635" s="3032">
        <f t="shared" si="46"/>
        <v>83.45</v>
      </c>
      <c r="L635" s="3032">
        <f t="shared" si="44"/>
        <v>83.45</v>
      </c>
      <c r="M635" s="3032"/>
    </row>
    <row r="636" spans="1:13">
      <c r="A636" s="3032"/>
      <c r="B636" s="3032"/>
      <c r="C636" s="3034">
        <v>-205</v>
      </c>
      <c r="D636" s="3032"/>
      <c r="E636" s="3032">
        <v>84.17</v>
      </c>
      <c r="F636" s="3032"/>
      <c r="G636" s="3032">
        <f t="shared" si="45"/>
        <v>84.17</v>
      </c>
      <c r="H636" s="3032"/>
      <c r="I636" s="3032"/>
      <c r="J636" s="3032"/>
      <c r="K636" s="3032">
        <f t="shared" si="46"/>
        <v>84.17</v>
      </c>
      <c r="L636" s="3032">
        <f t="shared" si="44"/>
        <v>84.17</v>
      </c>
      <c r="M636" s="3032"/>
    </row>
    <row r="637" spans="1:13">
      <c r="A637" s="3032"/>
      <c r="B637" s="3032"/>
      <c r="C637" s="3034">
        <v>-206</v>
      </c>
      <c r="D637" s="3032"/>
      <c r="E637" s="3032">
        <v>84.17</v>
      </c>
      <c r="F637" s="3032"/>
      <c r="G637" s="3032">
        <f t="shared" si="45"/>
        <v>84.17</v>
      </c>
      <c r="H637" s="3032"/>
      <c r="I637" s="3032"/>
      <c r="J637" s="3032"/>
      <c r="K637" s="3032">
        <f t="shared" si="46"/>
        <v>84.17</v>
      </c>
      <c r="L637" s="3032">
        <f t="shared" si="44"/>
        <v>84.17</v>
      </c>
      <c r="M637" s="3032"/>
    </row>
    <row r="638" spans="1:13">
      <c r="A638" s="3032"/>
      <c r="B638" s="3032"/>
      <c r="C638" s="3034">
        <v>101</v>
      </c>
      <c r="D638" s="3032">
        <v>134.29</v>
      </c>
      <c r="E638" s="3032">
        <v>84.35</v>
      </c>
      <c r="F638" s="3032"/>
      <c r="G638" s="3032">
        <f t="shared" si="45"/>
        <v>218.64</v>
      </c>
      <c r="H638" s="3032"/>
      <c r="I638" s="3032"/>
      <c r="J638" s="3032">
        <f>J596</f>
        <v>108.67</v>
      </c>
      <c r="K638" s="3032">
        <f t="shared" si="46"/>
        <v>109.96999999999998</v>
      </c>
      <c r="L638" s="3032">
        <f t="shared" si="44"/>
        <v>218.64</v>
      </c>
      <c r="M638" s="3032">
        <f>SUM(J638:J643)</f>
        <v>652.01</v>
      </c>
    </row>
    <row r="639" spans="1:13">
      <c r="A639" s="3032"/>
      <c r="B639" s="3032"/>
      <c r="C639" s="3034">
        <v>102</v>
      </c>
      <c r="D639" s="3032">
        <v>134.28</v>
      </c>
      <c r="E639" s="3032">
        <v>84.49</v>
      </c>
      <c r="F639" s="3032"/>
      <c r="G639" s="3032">
        <f t="shared" si="45"/>
        <v>218.76999999999998</v>
      </c>
      <c r="H639" s="3032"/>
      <c r="I639" s="3032"/>
      <c r="J639" s="3032">
        <f>J638</f>
        <v>108.67</v>
      </c>
      <c r="K639" s="3032">
        <f t="shared" si="46"/>
        <v>110.09999999999998</v>
      </c>
      <c r="L639" s="3032">
        <f t="shared" si="44"/>
        <v>218.76999999999998</v>
      </c>
      <c r="M639" s="3032"/>
    </row>
    <row r="640" spans="1:13">
      <c r="A640" s="3032"/>
      <c r="B640" s="3032"/>
      <c r="C640" s="3034">
        <v>103</v>
      </c>
      <c r="D640" s="3032">
        <v>134.47</v>
      </c>
      <c r="E640" s="3032">
        <v>84.77</v>
      </c>
      <c r="F640" s="3032"/>
      <c r="G640" s="3032">
        <f t="shared" si="45"/>
        <v>219.24</v>
      </c>
      <c r="H640" s="3032"/>
      <c r="I640" s="3032"/>
      <c r="J640" s="3032">
        <f>J638</f>
        <v>108.67</v>
      </c>
      <c r="K640" s="3032">
        <f t="shared" si="46"/>
        <v>110.57000000000001</v>
      </c>
      <c r="L640" s="3032">
        <f t="shared" si="44"/>
        <v>219.24</v>
      </c>
      <c r="M640" s="3032"/>
    </row>
    <row r="641" spans="1:13">
      <c r="A641" s="3032"/>
      <c r="B641" s="3032"/>
      <c r="C641" s="3034">
        <v>104</v>
      </c>
      <c r="D641" s="3032">
        <v>134.29</v>
      </c>
      <c r="E641" s="3032">
        <v>84.35</v>
      </c>
      <c r="F641" s="3032"/>
      <c r="G641" s="3032">
        <f t="shared" si="45"/>
        <v>218.64</v>
      </c>
      <c r="H641" s="3032"/>
      <c r="I641" s="3032"/>
      <c r="J641" s="3032">
        <f>J638</f>
        <v>108.67</v>
      </c>
      <c r="K641" s="3032">
        <f t="shared" si="46"/>
        <v>109.96999999999998</v>
      </c>
      <c r="L641" s="3032">
        <f t="shared" si="44"/>
        <v>218.64</v>
      </c>
      <c r="M641" s="3032"/>
    </row>
    <row r="642" spans="1:13">
      <c r="A642" s="3032"/>
      <c r="B642" s="3032"/>
      <c r="C642" s="3034">
        <v>105</v>
      </c>
      <c r="D642" s="3032">
        <v>134.28</v>
      </c>
      <c r="E642" s="3032">
        <v>84.49</v>
      </c>
      <c r="F642" s="3032"/>
      <c r="G642" s="3032">
        <f t="shared" si="45"/>
        <v>218.76999999999998</v>
      </c>
      <c r="H642" s="3032"/>
      <c r="I642" s="3032"/>
      <c r="J642" s="3032">
        <f>J638</f>
        <v>108.67</v>
      </c>
      <c r="K642" s="3032">
        <f t="shared" si="46"/>
        <v>110.09999999999998</v>
      </c>
      <c r="L642" s="3032">
        <f t="shared" si="44"/>
        <v>218.76999999999998</v>
      </c>
      <c r="M642" s="3032"/>
    </row>
    <row r="643" spans="1:13">
      <c r="A643" s="3032"/>
      <c r="B643" s="3032"/>
      <c r="C643" s="3034">
        <v>106</v>
      </c>
      <c r="D643" s="3032">
        <v>134.47</v>
      </c>
      <c r="E643" s="3032">
        <v>84.77</v>
      </c>
      <c r="F643" s="3032"/>
      <c r="G643" s="3032">
        <f t="shared" si="45"/>
        <v>219.24</v>
      </c>
      <c r="H643" s="3032"/>
      <c r="I643" s="3032"/>
      <c r="J643" s="3032">
        <v>108.66</v>
      </c>
      <c r="K643" s="3032">
        <f t="shared" si="46"/>
        <v>110.58000000000001</v>
      </c>
      <c r="L643" s="3032">
        <f t="shared" si="44"/>
        <v>219.24</v>
      </c>
      <c r="M643" s="3032"/>
    </row>
    <row r="644" spans="1:13">
      <c r="A644" s="3032" t="s">
        <v>3164</v>
      </c>
      <c r="B644" s="3032">
        <v>8</v>
      </c>
      <c r="C644" s="3034">
        <v>-201</v>
      </c>
      <c r="D644" s="3032"/>
      <c r="E644" s="3032">
        <v>83.38</v>
      </c>
      <c r="F644" s="3032"/>
      <c r="G644" s="3032">
        <f t="shared" si="45"/>
        <v>83.38</v>
      </c>
      <c r="H644" s="3032">
        <f>SUM(G644:G659)</f>
        <v>2419.88</v>
      </c>
      <c r="I644" s="3032"/>
      <c r="J644" s="3032"/>
      <c r="K644" s="3032">
        <f t="shared" si="46"/>
        <v>83.38</v>
      </c>
      <c r="L644" s="3032">
        <f t="shared" si="44"/>
        <v>83.38</v>
      </c>
      <c r="M644" s="3032"/>
    </row>
    <row r="645" spans="1:13">
      <c r="A645" s="3032"/>
      <c r="B645" s="3032"/>
      <c r="C645" s="3034">
        <v>-202</v>
      </c>
      <c r="D645" s="3032"/>
      <c r="E645" s="3032">
        <v>84.1</v>
      </c>
      <c r="F645" s="3032"/>
      <c r="G645" s="3032">
        <f t="shared" si="45"/>
        <v>84.1</v>
      </c>
      <c r="H645" s="3032"/>
      <c r="I645" s="3032"/>
      <c r="J645" s="3032"/>
      <c r="K645" s="3032">
        <f t="shared" si="46"/>
        <v>84.1</v>
      </c>
      <c r="L645" s="3032">
        <f t="shared" si="44"/>
        <v>84.1</v>
      </c>
      <c r="M645" s="3032"/>
    </row>
    <row r="646" spans="1:13">
      <c r="A646" s="3032"/>
      <c r="B646" s="3032"/>
      <c r="C646" s="3034">
        <v>-203</v>
      </c>
      <c r="D646" s="3032"/>
      <c r="E646" s="3032">
        <v>84.1</v>
      </c>
      <c r="F646" s="3032"/>
      <c r="G646" s="3032">
        <f t="shared" si="45"/>
        <v>84.1</v>
      </c>
      <c r="H646" s="3032"/>
      <c r="I646" s="3032"/>
      <c r="J646" s="3032"/>
      <c r="K646" s="3032">
        <f t="shared" si="46"/>
        <v>84.1</v>
      </c>
      <c r="L646" s="3032">
        <f t="shared" si="44"/>
        <v>84.1</v>
      </c>
      <c r="M646" s="3032"/>
    </row>
    <row r="647" spans="1:13">
      <c r="A647" s="3032"/>
      <c r="B647" s="3032"/>
      <c r="C647" s="3034">
        <v>-204</v>
      </c>
      <c r="D647" s="3032"/>
      <c r="E647" s="3032">
        <v>84.1</v>
      </c>
      <c r="F647" s="3032"/>
      <c r="G647" s="3032">
        <f t="shared" si="45"/>
        <v>84.1</v>
      </c>
      <c r="H647" s="3032"/>
      <c r="I647" s="3032"/>
      <c r="J647" s="3032"/>
      <c r="K647" s="3032">
        <f t="shared" si="46"/>
        <v>84.1</v>
      </c>
      <c r="L647" s="3032">
        <f t="shared" si="44"/>
        <v>84.1</v>
      </c>
      <c r="M647" s="3032"/>
    </row>
    <row r="648" spans="1:13">
      <c r="A648" s="3032"/>
      <c r="B648" s="3032"/>
      <c r="C648" s="3034">
        <v>-205</v>
      </c>
      <c r="D648" s="3032"/>
      <c r="E648" s="3032">
        <v>83.38</v>
      </c>
      <c r="F648" s="3032"/>
      <c r="G648" s="3032">
        <f t="shared" si="45"/>
        <v>83.38</v>
      </c>
      <c r="H648" s="3032"/>
      <c r="I648" s="3032"/>
      <c r="J648" s="3032"/>
      <c r="K648" s="3032">
        <f t="shared" si="46"/>
        <v>83.38</v>
      </c>
      <c r="L648" s="3032">
        <f t="shared" si="44"/>
        <v>83.38</v>
      </c>
      <c r="M648" s="3032"/>
    </row>
    <row r="649" spans="1:13">
      <c r="A649" s="3032"/>
      <c r="B649" s="3032"/>
      <c r="C649" s="3034">
        <v>-206</v>
      </c>
      <c r="D649" s="3032"/>
      <c r="E649" s="3032">
        <v>84.1</v>
      </c>
      <c r="F649" s="3032"/>
      <c r="G649" s="3032">
        <f t="shared" si="45"/>
        <v>84.1</v>
      </c>
      <c r="H649" s="3032"/>
      <c r="I649" s="3032"/>
      <c r="J649" s="3032"/>
      <c r="K649" s="3032">
        <f t="shared" si="46"/>
        <v>84.1</v>
      </c>
      <c r="L649" s="3032">
        <f t="shared" si="44"/>
        <v>84.1</v>
      </c>
      <c r="M649" s="3032"/>
    </row>
    <row r="650" spans="1:13">
      <c r="A650" s="3032"/>
      <c r="B650" s="3032"/>
      <c r="C650" s="3034">
        <v>-207</v>
      </c>
      <c r="D650" s="3032"/>
      <c r="E650" s="3032">
        <v>84.1</v>
      </c>
      <c r="F650" s="3032"/>
      <c r="G650" s="3032">
        <f t="shared" si="45"/>
        <v>84.1</v>
      </c>
      <c r="H650" s="3032"/>
      <c r="I650" s="3032"/>
      <c r="J650" s="3032"/>
      <c r="K650" s="3032">
        <f t="shared" si="46"/>
        <v>84.1</v>
      </c>
      <c r="L650" s="3032">
        <f t="shared" si="44"/>
        <v>84.1</v>
      </c>
      <c r="M650" s="3032"/>
    </row>
    <row r="651" spans="1:13">
      <c r="A651" s="3032"/>
      <c r="B651" s="3032"/>
      <c r="C651" s="3034">
        <v>-208</v>
      </c>
      <c r="D651" s="3032"/>
      <c r="E651" s="3032">
        <v>84.1</v>
      </c>
      <c r="F651" s="3032"/>
      <c r="G651" s="3032">
        <f t="shared" ref="G651:G674" si="47">SUM(D651:F651)</f>
        <v>84.1</v>
      </c>
      <c r="H651" s="3032"/>
      <c r="I651" s="3032"/>
      <c r="J651" s="3032"/>
      <c r="K651" s="3032">
        <f t="shared" si="46"/>
        <v>84.1</v>
      </c>
      <c r="L651" s="3032">
        <f t="shared" si="44"/>
        <v>84.1</v>
      </c>
      <c r="M651" s="3032"/>
    </row>
    <row r="652" spans="1:13">
      <c r="A652" s="3032"/>
      <c r="B652" s="3032"/>
      <c r="C652" s="3034">
        <v>101</v>
      </c>
      <c r="D652" s="3032">
        <v>134.11000000000001</v>
      </c>
      <c r="E652" s="3032">
        <v>84.23</v>
      </c>
      <c r="F652" s="3032"/>
      <c r="G652" s="3032">
        <f t="shared" si="47"/>
        <v>218.34000000000003</v>
      </c>
      <c r="H652" s="3032"/>
      <c r="I652" s="3032"/>
      <c r="J652" s="3032">
        <f>J610</f>
        <v>108.56</v>
      </c>
      <c r="K652" s="3032">
        <f t="shared" si="46"/>
        <v>109.78000000000003</v>
      </c>
      <c r="L652" s="3032">
        <f t="shared" si="44"/>
        <v>218.34000000000003</v>
      </c>
      <c r="M652" s="3032">
        <f>SUM(J652:J659)</f>
        <v>868.4699999999998</v>
      </c>
    </row>
    <row r="653" spans="1:13">
      <c r="A653" s="3032"/>
      <c r="B653" s="3032"/>
      <c r="C653" s="3034">
        <v>102</v>
      </c>
      <c r="D653" s="3032">
        <v>134.11000000000001</v>
      </c>
      <c r="E653" s="3032">
        <v>84.38</v>
      </c>
      <c r="F653" s="3032"/>
      <c r="G653" s="3032">
        <f t="shared" si="47"/>
        <v>218.49</v>
      </c>
      <c r="H653" s="3032"/>
      <c r="I653" s="3032"/>
      <c r="J653" s="3032">
        <f>J652</f>
        <v>108.56</v>
      </c>
      <c r="K653" s="3032">
        <f t="shared" si="46"/>
        <v>109.93</v>
      </c>
      <c r="L653" s="3032">
        <f t="shared" si="44"/>
        <v>218.49</v>
      </c>
      <c r="M653" s="3032"/>
    </row>
    <row r="654" spans="1:13">
      <c r="A654" s="3032"/>
      <c r="B654" s="3032"/>
      <c r="C654" s="3034">
        <v>103</v>
      </c>
      <c r="D654" s="3032">
        <v>134.11000000000001</v>
      </c>
      <c r="E654" s="3032">
        <v>84.38</v>
      </c>
      <c r="F654" s="3032"/>
      <c r="G654" s="3032">
        <f t="shared" si="47"/>
        <v>218.49</v>
      </c>
      <c r="H654" s="3032"/>
      <c r="I654" s="3032"/>
      <c r="J654" s="3032">
        <f>J652</f>
        <v>108.56</v>
      </c>
      <c r="K654" s="3032">
        <f t="shared" si="46"/>
        <v>109.93</v>
      </c>
      <c r="L654" s="3032">
        <f t="shared" si="44"/>
        <v>218.49</v>
      </c>
      <c r="M654" s="3032"/>
    </row>
    <row r="655" spans="1:13">
      <c r="A655" s="3032"/>
      <c r="B655" s="3032"/>
      <c r="C655" s="3034">
        <v>104</v>
      </c>
      <c r="D655" s="3032">
        <v>134.30000000000001</v>
      </c>
      <c r="E655" s="3032">
        <v>84.64</v>
      </c>
      <c r="F655" s="3032"/>
      <c r="G655" s="3032">
        <f t="shared" si="47"/>
        <v>218.94</v>
      </c>
      <c r="H655" s="3032"/>
      <c r="I655" s="3032"/>
      <c r="J655" s="3032">
        <f>J652</f>
        <v>108.56</v>
      </c>
      <c r="K655" s="3032">
        <f t="shared" si="46"/>
        <v>110.38</v>
      </c>
      <c r="L655" s="3032">
        <f t="shared" si="44"/>
        <v>218.94</v>
      </c>
      <c r="M655" s="3032"/>
    </row>
    <row r="656" spans="1:13">
      <c r="A656" s="3032"/>
      <c r="B656" s="3032"/>
      <c r="C656" s="3034">
        <v>105</v>
      </c>
      <c r="D656" s="3032">
        <v>134.11000000000001</v>
      </c>
      <c r="E656" s="3032">
        <v>84.23</v>
      </c>
      <c r="F656" s="3032"/>
      <c r="G656" s="3032">
        <f t="shared" si="47"/>
        <v>218.34000000000003</v>
      </c>
      <c r="H656" s="3032"/>
      <c r="I656" s="3032"/>
      <c r="J656" s="3032">
        <f>J652</f>
        <v>108.56</v>
      </c>
      <c r="K656" s="3032">
        <f t="shared" si="46"/>
        <v>109.78000000000003</v>
      </c>
      <c r="L656" s="3032">
        <f t="shared" si="44"/>
        <v>218.34000000000003</v>
      </c>
      <c r="M656" s="3032"/>
    </row>
    <row r="657" spans="1:13">
      <c r="A657" s="3032"/>
      <c r="B657" s="3032"/>
      <c r="C657" s="3034">
        <v>106</v>
      </c>
      <c r="D657" s="3032">
        <v>134.11000000000001</v>
      </c>
      <c r="E657" s="3032">
        <v>84.38</v>
      </c>
      <c r="F657" s="3032"/>
      <c r="G657" s="3032">
        <f t="shared" si="47"/>
        <v>218.49</v>
      </c>
      <c r="H657" s="3032"/>
      <c r="I657" s="3032"/>
      <c r="J657" s="3032">
        <f>J652</f>
        <v>108.56</v>
      </c>
      <c r="K657" s="3032">
        <f t="shared" si="46"/>
        <v>109.93</v>
      </c>
      <c r="L657" s="3032">
        <f t="shared" si="44"/>
        <v>218.49</v>
      </c>
      <c r="M657" s="3032"/>
    </row>
    <row r="658" spans="1:13">
      <c r="A658" s="3032"/>
      <c r="B658" s="3032"/>
      <c r="C658" s="3034">
        <v>107</v>
      </c>
      <c r="D658" s="3032">
        <v>134.11000000000001</v>
      </c>
      <c r="E658" s="3032">
        <v>84.38</v>
      </c>
      <c r="F658" s="3032"/>
      <c r="G658" s="3032">
        <f t="shared" si="47"/>
        <v>218.49</v>
      </c>
      <c r="H658" s="3032"/>
      <c r="I658" s="3032"/>
      <c r="J658" s="3032">
        <f>J652</f>
        <v>108.56</v>
      </c>
      <c r="K658" s="3032">
        <f t="shared" si="46"/>
        <v>109.93</v>
      </c>
      <c r="L658" s="3032">
        <f t="shared" si="44"/>
        <v>218.49</v>
      </c>
      <c r="M658" s="3032"/>
    </row>
    <row r="659" spans="1:13">
      <c r="A659" s="3032"/>
      <c r="B659" s="3032"/>
      <c r="C659" s="3034">
        <v>108</v>
      </c>
      <c r="D659" s="3032">
        <v>134.30000000000001</v>
      </c>
      <c r="E659" s="3032">
        <v>84.64</v>
      </c>
      <c r="F659" s="3032"/>
      <c r="G659" s="3032">
        <f t="shared" si="47"/>
        <v>218.94</v>
      </c>
      <c r="H659" s="3032"/>
      <c r="I659" s="3032"/>
      <c r="J659" s="3032">
        <v>108.55</v>
      </c>
      <c r="K659" s="3032">
        <f t="shared" si="46"/>
        <v>110.39</v>
      </c>
      <c r="L659" s="3032">
        <f t="shared" si="44"/>
        <v>218.94</v>
      </c>
      <c r="M659" s="3032"/>
    </row>
    <row r="660" spans="1:13">
      <c r="A660" s="3032" t="s">
        <v>3165</v>
      </c>
      <c r="B660" s="3032">
        <v>4</v>
      </c>
      <c r="C660" s="3034">
        <v>-201</v>
      </c>
      <c r="D660" s="3032"/>
      <c r="E660" s="3032">
        <v>114.12</v>
      </c>
      <c r="F660" s="3032"/>
      <c r="G660" s="3032">
        <f t="shared" si="47"/>
        <v>114.12</v>
      </c>
      <c r="H660" s="3032">
        <f>SUM(G660:G667)</f>
        <v>1629.1200000000001</v>
      </c>
      <c r="I660" s="3032"/>
      <c r="J660" s="3032"/>
      <c r="K660" s="3032">
        <f t="shared" si="46"/>
        <v>114.12</v>
      </c>
      <c r="L660" s="3032">
        <f t="shared" si="44"/>
        <v>114.12</v>
      </c>
      <c r="M660" s="3032"/>
    </row>
    <row r="661" spans="1:13">
      <c r="A661" s="3032"/>
      <c r="B661" s="3032"/>
      <c r="C661" s="3034">
        <v>-202</v>
      </c>
      <c r="D661" s="3032"/>
      <c r="E661" s="3032">
        <v>114.12</v>
      </c>
      <c r="F661" s="3032"/>
      <c r="G661" s="3032">
        <f t="shared" si="47"/>
        <v>114.12</v>
      </c>
      <c r="H661" s="3032"/>
      <c r="I661" s="3032"/>
      <c r="J661" s="3032"/>
      <c r="K661" s="3032">
        <f t="shared" si="46"/>
        <v>114.12</v>
      </c>
      <c r="L661" s="3032">
        <f t="shared" si="44"/>
        <v>114.12</v>
      </c>
      <c r="M661" s="3032"/>
    </row>
    <row r="662" spans="1:13">
      <c r="A662" s="3032"/>
      <c r="B662" s="3032"/>
      <c r="C662" s="3034">
        <v>-203</v>
      </c>
      <c r="D662" s="3032"/>
      <c r="E662" s="3032">
        <v>114.12</v>
      </c>
      <c r="F662" s="3032"/>
      <c r="G662" s="3032">
        <f t="shared" si="47"/>
        <v>114.12</v>
      </c>
      <c r="H662" s="3032"/>
      <c r="I662" s="3032"/>
      <c r="J662" s="3032"/>
      <c r="K662" s="3032">
        <f t="shared" si="46"/>
        <v>114.12</v>
      </c>
      <c r="L662" s="3032">
        <f t="shared" si="44"/>
        <v>114.12</v>
      </c>
      <c r="M662" s="3032"/>
    </row>
    <row r="663" spans="1:13">
      <c r="A663" s="3032"/>
      <c r="B663" s="3032"/>
      <c r="C663" s="3034">
        <v>-204</v>
      </c>
      <c r="D663" s="3032"/>
      <c r="E663" s="3032">
        <v>114.92</v>
      </c>
      <c r="F663" s="3032"/>
      <c r="G663" s="3032">
        <f t="shared" si="47"/>
        <v>114.92</v>
      </c>
      <c r="H663" s="3032"/>
      <c r="I663" s="3032"/>
      <c r="J663" s="3032"/>
      <c r="K663" s="3032">
        <f t="shared" si="46"/>
        <v>114.92</v>
      </c>
      <c r="L663" s="3032">
        <f t="shared" si="44"/>
        <v>114.92</v>
      </c>
      <c r="M663" s="3032"/>
    </row>
    <row r="664" spans="1:13">
      <c r="A664" s="3032"/>
      <c r="B664" s="3032"/>
      <c r="C664" s="3034">
        <v>101</v>
      </c>
      <c r="D664" s="3032">
        <v>178.28</v>
      </c>
      <c r="E664" s="3032">
        <v>114.56</v>
      </c>
      <c r="F664" s="3032"/>
      <c r="G664" s="3032">
        <f t="shared" si="47"/>
        <v>292.84000000000003</v>
      </c>
      <c r="H664" s="3032"/>
      <c r="I664" s="3032"/>
      <c r="J664" s="3032">
        <f>ROUND(563.59/4,2)</f>
        <v>140.9</v>
      </c>
      <c r="K664" s="3032">
        <f t="shared" si="46"/>
        <v>151.94000000000003</v>
      </c>
      <c r="L664" s="3032">
        <f t="shared" si="44"/>
        <v>292.84000000000003</v>
      </c>
      <c r="M664" s="3032">
        <f>SUM(J664:J667)</f>
        <v>563.59000000000015</v>
      </c>
    </row>
    <row r="665" spans="1:13">
      <c r="A665" s="3032"/>
      <c r="B665" s="3032"/>
      <c r="C665" s="3034">
        <v>102</v>
      </c>
      <c r="D665" s="3032">
        <v>178.28</v>
      </c>
      <c r="E665" s="3032">
        <v>114.56</v>
      </c>
      <c r="F665" s="3032"/>
      <c r="G665" s="3032">
        <f t="shared" si="47"/>
        <v>292.84000000000003</v>
      </c>
      <c r="H665" s="3032"/>
      <c r="I665" s="3032"/>
      <c r="J665" s="3032">
        <f>J664</f>
        <v>140.9</v>
      </c>
      <c r="K665" s="3032">
        <f t="shared" si="46"/>
        <v>151.94000000000003</v>
      </c>
      <c r="L665" s="3032">
        <f t="shared" si="44"/>
        <v>292.84000000000003</v>
      </c>
      <c r="M665" s="3032"/>
    </row>
    <row r="666" spans="1:13">
      <c r="A666" s="3032"/>
      <c r="B666" s="3032"/>
      <c r="C666" s="3034">
        <v>103</v>
      </c>
      <c r="D666" s="3032">
        <v>178.28</v>
      </c>
      <c r="E666" s="3032">
        <v>114.56</v>
      </c>
      <c r="F666" s="3032"/>
      <c r="G666" s="3032">
        <f t="shared" si="47"/>
        <v>292.84000000000003</v>
      </c>
      <c r="H666" s="3032"/>
      <c r="I666" s="3032"/>
      <c r="J666" s="3032">
        <f>J664</f>
        <v>140.9</v>
      </c>
      <c r="K666" s="3032">
        <f t="shared" si="46"/>
        <v>151.94000000000003</v>
      </c>
      <c r="L666" s="3032">
        <f t="shared" si="44"/>
        <v>292.84000000000003</v>
      </c>
      <c r="M666" s="3032"/>
    </row>
    <row r="667" spans="1:13">
      <c r="A667" s="3032"/>
      <c r="B667" s="3032"/>
      <c r="C667" s="3034">
        <v>104</v>
      </c>
      <c r="D667" s="3032">
        <v>178.5</v>
      </c>
      <c r="E667" s="3032">
        <v>114.82</v>
      </c>
      <c r="F667" s="3032"/>
      <c r="G667" s="3032">
        <f t="shared" si="47"/>
        <v>293.32</v>
      </c>
      <c r="H667" s="3032"/>
      <c r="I667" s="3032"/>
      <c r="J667" s="3032">
        <f>563.59-J664-J665-J666</f>
        <v>140.89000000000007</v>
      </c>
      <c r="K667" s="3032">
        <f t="shared" si="46"/>
        <v>152.42999999999992</v>
      </c>
      <c r="L667" s="3032">
        <f t="shared" si="44"/>
        <v>293.32</v>
      </c>
      <c r="M667" s="3032"/>
    </row>
    <row r="668" spans="1:13">
      <c r="A668" s="3032" t="s">
        <v>3166</v>
      </c>
      <c r="B668" s="3032">
        <v>4</v>
      </c>
      <c r="C668" s="3034">
        <v>-201</v>
      </c>
      <c r="D668" s="3032"/>
      <c r="E668" s="3032">
        <v>114.12</v>
      </c>
      <c r="F668" s="3032"/>
      <c r="G668" s="3032">
        <f t="shared" si="47"/>
        <v>114.12</v>
      </c>
      <c r="H668" s="3032">
        <f>SUM(G668:G675)</f>
        <v>1629.1200000000001</v>
      </c>
      <c r="I668" s="3032"/>
      <c r="J668" s="3032"/>
      <c r="K668" s="3032">
        <f t="shared" si="46"/>
        <v>114.12</v>
      </c>
      <c r="L668" s="3032">
        <f t="shared" si="44"/>
        <v>114.12</v>
      </c>
      <c r="M668" s="3032"/>
    </row>
    <row r="669" spans="1:13">
      <c r="A669" s="3032"/>
      <c r="B669" s="3032"/>
      <c r="C669" s="3034">
        <v>-202</v>
      </c>
      <c r="D669" s="3032"/>
      <c r="E669" s="3032">
        <v>114.12</v>
      </c>
      <c r="F669" s="3032"/>
      <c r="G669" s="3032">
        <f t="shared" si="47"/>
        <v>114.12</v>
      </c>
      <c r="H669" s="3032"/>
      <c r="I669" s="3032"/>
      <c r="J669" s="3032"/>
      <c r="K669" s="3032">
        <f t="shared" si="46"/>
        <v>114.12</v>
      </c>
      <c r="L669" s="3032">
        <f t="shared" si="44"/>
        <v>114.12</v>
      </c>
      <c r="M669" s="3032"/>
    </row>
    <row r="670" spans="1:13">
      <c r="A670" s="3032"/>
      <c r="B670" s="3032"/>
      <c r="C670" s="3034">
        <v>-203</v>
      </c>
      <c r="D670" s="3032"/>
      <c r="E670" s="3032">
        <v>114.12</v>
      </c>
      <c r="F670" s="3032"/>
      <c r="G670" s="3032">
        <f t="shared" si="47"/>
        <v>114.12</v>
      </c>
      <c r="H670" s="3032"/>
      <c r="I670" s="3032"/>
      <c r="J670" s="3032"/>
      <c r="K670" s="3032">
        <f t="shared" si="46"/>
        <v>114.12</v>
      </c>
      <c r="L670" s="3032">
        <f t="shared" si="44"/>
        <v>114.12</v>
      </c>
      <c r="M670" s="3032"/>
    </row>
    <row r="671" spans="1:13">
      <c r="A671" s="3032"/>
      <c r="B671" s="3032"/>
      <c r="C671" s="3034">
        <v>-204</v>
      </c>
      <c r="D671" s="3032"/>
      <c r="E671" s="3032">
        <v>114.92</v>
      </c>
      <c r="F671" s="3032"/>
      <c r="G671" s="3032">
        <f t="shared" si="47"/>
        <v>114.92</v>
      </c>
      <c r="H671" s="3032"/>
      <c r="I671" s="3032"/>
      <c r="J671" s="3032"/>
      <c r="K671" s="3032">
        <f t="shared" si="46"/>
        <v>114.92</v>
      </c>
      <c r="L671" s="3032">
        <f t="shared" si="44"/>
        <v>114.92</v>
      </c>
      <c r="M671" s="3032"/>
    </row>
    <row r="672" spans="1:13">
      <c r="A672" s="3032"/>
      <c r="B672" s="3032"/>
      <c r="C672" s="3034">
        <v>101</v>
      </c>
      <c r="D672" s="3032">
        <v>178.28</v>
      </c>
      <c r="E672" s="3032">
        <v>114.56</v>
      </c>
      <c r="F672" s="3032"/>
      <c r="G672" s="3032">
        <f t="shared" si="47"/>
        <v>292.84000000000003</v>
      </c>
      <c r="H672" s="3032"/>
      <c r="I672" s="3032"/>
      <c r="J672" s="3032">
        <f>J664</f>
        <v>140.9</v>
      </c>
      <c r="K672" s="3032">
        <f t="shared" si="46"/>
        <v>151.94000000000003</v>
      </c>
      <c r="L672" s="3032">
        <f t="shared" si="44"/>
        <v>292.84000000000003</v>
      </c>
      <c r="M672" s="3032">
        <f>SUM(J672:J675)</f>
        <v>563.59000000000015</v>
      </c>
    </row>
    <row r="673" spans="1:13">
      <c r="A673" s="3032"/>
      <c r="B673" s="3032"/>
      <c r="C673" s="3034">
        <v>102</v>
      </c>
      <c r="D673" s="3032">
        <v>178.28</v>
      </c>
      <c r="E673" s="3032">
        <v>114.56</v>
      </c>
      <c r="F673" s="3032"/>
      <c r="G673" s="3032">
        <f t="shared" si="47"/>
        <v>292.84000000000003</v>
      </c>
      <c r="H673" s="3032"/>
      <c r="I673" s="3032"/>
      <c r="J673" s="3032">
        <f>J665</f>
        <v>140.9</v>
      </c>
      <c r="K673" s="3032">
        <f t="shared" si="46"/>
        <v>151.94000000000003</v>
      </c>
      <c r="L673" s="3032">
        <f t="shared" si="44"/>
        <v>292.84000000000003</v>
      </c>
      <c r="M673" s="3032"/>
    </row>
    <row r="674" spans="1:13">
      <c r="A674" s="3032"/>
      <c r="B674" s="3032"/>
      <c r="C674" s="3034">
        <v>103</v>
      </c>
      <c r="D674" s="3032">
        <v>178.28</v>
      </c>
      <c r="E674" s="3032">
        <v>114.56</v>
      </c>
      <c r="F674" s="3032"/>
      <c r="G674" s="3032">
        <f t="shared" si="47"/>
        <v>292.84000000000003</v>
      </c>
      <c r="H674" s="3032"/>
      <c r="I674" s="3032"/>
      <c r="J674" s="3032">
        <f>J666</f>
        <v>140.9</v>
      </c>
      <c r="K674" s="3032">
        <f t="shared" si="46"/>
        <v>151.94000000000003</v>
      </c>
      <c r="L674" s="3032">
        <f t="shared" si="44"/>
        <v>292.84000000000003</v>
      </c>
      <c r="M674" s="3032"/>
    </row>
    <row r="675" spans="1:13">
      <c r="A675" s="3032"/>
      <c r="B675" s="3032"/>
      <c r="C675" s="3034">
        <v>104</v>
      </c>
      <c r="D675" s="3032">
        <v>178.5</v>
      </c>
      <c r="E675" s="3032">
        <v>114.82</v>
      </c>
      <c r="F675" s="3032"/>
      <c r="G675" s="3032">
        <f t="shared" ref="G675:G738" si="48">SUM(D675:F675)</f>
        <v>293.32</v>
      </c>
      <c r="H675" s="3032"/>
      <c r="I675" s="3032"/>
      <c r="J675" s="3032">
        <f>J667</f>
        <v>140.89000000000007</v>
      </c>
      <c r="K675" s="3032">
        <f t="shared" si="46"/>
        <v>152.42999999999992</v>
      </c>
      <c r="L675" s="3032">
        <f t="shared" si="44"/>
        <v>293.32</v>
      </c>
      <c r="M675" s="3032"/>
    </row>
    <row r="676" spans="1:13">
      <c r="A676" s="3032" t="s">
        <v>3167</v>
      </c>
      <c r="B676" s="3032">
        <v>3</v>
      </c>
      <c r="C676" s="3034">
        <v>-201</v>
      </c>
      <c r="D676" s="3032"/>
      <c r="E676" s="3032">
        <v>114.22</v>
      </c>
      <c r="F676" s="3032"/>
      <c r="G676" s="3032">
        <f t="shared" si="48"/>
        <v>114.22</v>
      </c>
      <c r="H676" s="3032">
        <f>SUM(G676:G681)</f>
        <v>1223.4499999999998</v>
      </c>
      <c r="I676" s="3032"/>
      <c r="J676" s="3032"/>
      <c r="K676" s="3032">
        <f t="shared" si="46"/>
        <v>114.22</v>
      </c>
      <c r="L676" s="3032">
        <f t="shared" si="44"/>
        <v>114.22</v>
      </c>
      <c r="M676" s="3032"/>
    </row>
    <row r="677" spans="1:13">
      <c r="A677" s="3032"/>
      <c r="B677" s="3032"/>
      <c r="C677" s="3034">
        <v>-202</v>
      </c>
      <c r="D677" s="3032"/>
      <c r="E677" s="3032">
        <v>114.22</v>
      </c>
      <c r="F677" s="3032"/>
      <c r="G677" s="3032">
        <f t="shared" si="48"/>
        <v>114.22</v>
      </c>
      <c r="H677" s="3032"/>
      <c r="I677" s="3032"/>
      <c r="J677" s="3032"/>
      <c r="K677" s="3032">
        <f t="shared" si="46"/>
        <v>114.22</v>
      </c>
      <c r="L677" s="3032">
        <f t="shared" si="44"/>
        <v>114.22</v>
      </c>
      <c r="M677" s="3032"/>
    </row>
    <row r="678" spans="1:13">
      <c r="A678" s="3032"/>
      <c r="B678" s="3032"/>
      <c r="C678" s="3034">
        <v>-203</v>
      </c>
      <c r="D678" s="3032"/>
      <c r="E678" s="3032">
        <v>115.02</v>
      </c>
      <c r="F678" s="3032"/>
      <c r="G678" s="3032">
        <f t="shared" si="48"/>
        <v>115.02</v>
      </c>
      <c r="H678" s="3032"/>
      <c r="I678" s="3032"/>
      <c r="J678" s="3032"/>
      <c r="K678" s="3032">
        <f t="shared" si="46"/>
        <v>115.02</v>
      </c>
      <c r="L678" s="3032">
        <f t="shared" si="44"/>
        <v>115.02</v>
      </c>
      <c r="M678" s="3032"/>
    </row>
    <row r="679" spans="1:13">
      <c r="A679" s="3032"/>
      <c r="B679" s="3032"/>
      <c r="C679" s="3034">
        <v>101</v>
      </c>
      <c r="D679" s="3032">
        <v>178.48</v>
      </c>
      <c r="E679" s="3032">
        <v>114.69</v>
      </c>
      <c r="F679" s="3032"/>
      <c r="G679" s="3032">
        <f t="shared" si="48"/>
        <v>293.16999999999996</v>
      </c>
      <c r="H679" s="3032"/>
      <c r="I679" s="3032"/>
      <c r="J679" s="3032">
        <f>ROUND(423.08/3,2)</f>
        <v>141.03</v>
      </c>
      <c r="K679" s="3032">
        <f t="shared" si="46"/>
        <v>152.13999999999996</v>
      </c>
      <c r="L679" s="3032">
        <f t="shared" si="44"/>
        <v>293.16999999999996</v>
      </c>
      <c r="M679" s="3032">
        <f>SUM(J679:J681)</f>
        <v>423.07999999999993</v>
      </c>
    </row>
    <row r="680" spans="1:13">
      <c r="A680" s="3032"/>
      <c r="B680" s="3032"/>
      <c r="C680" s="3034">
        <v>102</v>
      </c>
      <c r="D680" s="3032">
        <v>178.48</v>
      </c>
      <c r="E680" s="3032">
        <v>114.69</v>
      </c>
      <c r="F680" s="3032"/>
      <c r="G680" s="3032">
        <f t="shared" si="48"/>
        <v>293.16999999999996</v>
      </c>
      <c r="H680" s="3032"/>
      <c r="I680" s="3032"/>
      <c r="J680" s="3032">
        <f>J679</f>
        <v>141.03</v>
      </c>
      <c r="K680" s="3032">
        <f t="shared" si="46"/>
        <v>152.13999999999996</v>
      </c>
      <c r="L680" s="3032">
        <f t="shared" si="44"/>
        <v>293.16999999999996</v>
      </c>
      <c r="M680" s="3032"/>
    </row>
    <row r="681" spans="1:13">
      <c r="A681" s="3032"/>
      <c r="B681" s="3032"/>
      <c r="C681" s="3034">
        <v>103</v>
      </c>
      <c r="D681" s="3032">
        <v>178.71</v>
      </c>
      <c r="E681" s="3032">
        <v>114.94</v>
      </c>
      <c r="F681" s="3032"/>
      <c r="G681" s="3032">
        <f t="shared" si="48"/>
        <v>293.64999999999998</v>
      </c>
      <c r="H681" s="3032"/>
      <c r="I681" s="3032"/>
      <c r="J681" s="3032">
        <f>423.08-J679-J680</f>
        <v>141.01999999999995</v>
      </c>
      <c r="K681" s="3032">
        <f t="shared" si="46"/>
        <v>152.63000000000002</v>
      </c>
      <c r="L681" s="3032">
        <f t="shared" si="44"/>
        <v>293.64999999999998</v>
      </c>
      <c r="M681" s="3032"/>
    </row>
    <row r="682" spans="1:13">
      <c r="A682" s="3032" t="s">
        <v>3168</v>
      </c>
      <c r="B682" s="3032">
        <v>6</v>
      </c>
      <c r="C682" s="3034">
        <v>-201</v>
      </c>
      <c r="D682" s="3032"/>
      <c r="E682" s="3032">
        <v>83.45</v>
      </c>
      <c r="F682" s="3032"/>
      <c r="G682" s="3032">
        <f t="shared" si="48"/>
        <v>83.45</v>
      </c>
      <c r="H682" s="3032">
        <f>SUM(G682:G693)</f>
        <v>1816.8799999999999</v>
      </c>
      <c r="I682" s="3032"/>
      <c r="J682" s="3032"/>
      <c r="K682" s="3032">
        <f t="shared" ref="K682:K745" si="49">G682-J682</f>
        <v>83.45</v>
      </c>
      <c r="L682" s="3032">
        <f t="shared" si="44"/>
        <v>83.45</v>
      </c>
      <c r="M682" s="3032"/>
    </row>
    <row r="683" spans="1:13">
      <c r="A683" s="3032"/>
      <c r="B683" s="3032"/>
      <c r="C683" s="3034">
        <v>-202</v>
      </c>
      <c r="D683" s="3032"/>
      <c r="E683" s="3032">
        <v>84.17</v>
      </c>
      <c r="F683" s="3032"/>
      <c r="G683" s="3032">
        <f t="shared" si="48"/>
        <v>84.17</v>
      </c>
      <c r="H683" s="3032"/>
      <c r="I683" s="3032"/>
      <c r="J683" s="3032"/>
      <c r="K683" s="3032">
        <f t="shared" si="49"/>
        <v>84.17</v>
      </c>
      <c r="L683" s="3032">
        <f t="shared" si="44"/>
        <v>84.17</v>
      </c>
      <c r="M683" s="3032"/>
    </row>
    <row r="684" spans="1:13">
      <c r="A684" s="3032"/>
      <c r="B684" s="3032"/>
      <c r="C684" s="3034">
        <v>-203</v>
      </c>
      <c r="D684" s="3032"/>
      <c r="E684" s="3032">
        <v>84.17</v>
      </c>
      <c r="F684" s="3032"/>
      <c r="G684" s="3032">
        <f t="shared" si="48"/>
        <v>84.17</v>
      </c>
      <c r="H684" s="3032"/>
      <c r="I684" s="3032"/>
      <c r="J684" s="3032"/>
      <c r="K684" s="3032">
        <f t="shared" si="49"/>
        <v>84.17</v>
      </c>
      <c r="L684" s="3032">
        <f t="shared" si="44"/>
        <v>84.17</v>
      </c>
      <c r="M684" s="3032"/>
    </row>
    <row r="685" spans="1:13">
      <c r="A685" s="3032"/>
      <c r="B685" s="3032"/>
      <c r="C685" s="3034">
        <v>-204</v>
      </c>
      <c r="D685" s="3032"/>
      <c r="E685" s="3032">
        <v>83.45</v>
      </c>
      <c r="F685" s="3032"/>
      <c r="G685" s="3032">
        <f t="shared" si="48"/>
        <v>83.45</v>
      </c>
      <c r="H685" s="3032"/>
      <c r="I685" s="3032"/>
      <c r="J685" s="3032"/>
      <c r="K685" s="3032">
        <f t="shared" si="49"/>
        <v>83.45</v>
      </c>
      <c r="L685" s="3032">
        <f t="shared" si="44"/>
        <v>83.45</v>
      </c>
      <c r="M685" s="3032"/>
    </row>
    <row r="686" spans="1:13">
      <c r="A686" s="3032"/>
      <c r="B686" s="3032"/>
      <c r="C686" s="3034">
        <v>-205</v>
      </c>
      <c r="D686" s="3032"/>
      <c r="E686" s="3032">
        <v>84.17</v>
      </c>
      <c r="F686" s="3032"/>
      <c r="G686" s="3032">
        <f t="shared" si="48"/>
        <v>84.17</v>
      </c>
      <c r="H686" s="3032"/>
      <c r="I686" s="3032"/>
      <c r="J686" s="3032"/>
      <c r="K686" s="3032">
        <f t="shared" si="49"/>
        <v>84.17</v>
      </c>
      <c r="L686" s="3032">
        <f t="shared" si="44"/>
        <v>84.17</v>
      </c>
      <c r="M686" s="3032"/>
    </row>
    <row r="687" spans="1:13">
      <c r="A687" s="3032"/>
      <c r="B687" s="3032"/>
      <c r="C687" s="3034">
        <v>-206</v>
      </c>
      <c r="D687" s="3032"/>
      <c r="E687" s="3032">
        <v>84.17</v>
      </c>
      <c r="F687" s="3032"/>
      <c r="G687" s="3032">
        <f t="shared" si="48"/>
        <v>84.17</v>
      </c>
      <c r="H687" s="3032"/>
      <c r="I687" s="3032"/>
      <c r="J687" s="3032"/>
      <c r="K687" s="3032">
        <f t="shared" si="49"/>
        <v>84.17</v>
      </c>
      <c r="L687" s="3032">
        <f t="shared" si="44"/>
        <v>84.17</v>
      </c>
      <c r="M687" s="3032"/>
    </row>
    <row r="688" spans="1:13">
      <c r="A688" s="3032"/>
      <c r="B688" s="3032"/>
      <c r="C688" s="3034">
        <v>101</v>
      </c>
      <c r="D688" s="3032">
        <v>134.29</v>
      </c>
      <c r="E688" s="3032">
        <v>84.35</v>
      </c>
      <c r="F688" s="3032"/>
      <c r="G688" s="3032">
        <f t="shared" si="48"/>
        <v>218.64</v>
      </c>
      <c r="H688" s="3032"/>
      <c r="I688" s="3032"/>
      <c r="J688" s="3032">
        <f>J638</f>
        <v>108.67</v>
      </c>
      <c r="K688" s="3032">
        <f t="shared" si="49"/>
        <v>109.96999999999998</v>
      </c>
      <c r="L688" s="3032">
        <f t="shared" si="44"/>
        <v>218.64</v>
      </c>
      <c r="M688" s="3032">
        <f>SUM(J688:J693)</f>
        <v>652.01</v>
      </c>
    </row>
    <row r="689" spans="1:13">
      <c r="A689" s="3032"/>
      <c r="B689" s="3032"/>
      <c r="C689" s="3034">
        <v>102</v>
      </c>
      <c r="D689" s="3032">
        <v>134.28</v>
      </c>
      <c r="E689" s="3032">
        <v>84.49</v>
      </c>
      <c r="F689" s="3032"/>
      <c r="G689" s="3032">
        <f t="shared" si="48"/>
        <v>218.76999999999998</v>
      </c>
      <c r="H689" s="3032"/>
      <c r="I689" s="3032"/>
      <c r="J689" s="3032">
        <f>J688</f>
        <v>108.67</v>
      </c>
      <c r="K689" s="3032">
        <f t="shared" si="49"/>
        <v>110.09999999999998</v>
      </c>
      <c r="L689" s="3032">
        <f t="shared" si="44"/>
        <v>218.76999999999998</v>
      </c>
      <c r="M689" s="3032"/>
    </row>
    <row r="690" spans="1:13">
      <c r="A690" s="3032"/>
      <c r="B690" s="3032"/>
      <c r="C690" s="3034">
        <v>103</v>
      </c>
      <c r="D690" s="3032">
        <v>134.47</v>
      </c>
      <c r="E690" s="3032">
        <v>84.77</v>
      </c>
      <c r="F690" s="3032"/>
      <c r="G690" s="3032">
        <f t="shared" si="48"/>
        <v>219.24</v>
      </c>
      <c r="H690" s="3032"/>
      <c r="I690" s="3032"/>
      <c r="J690" s="3032">
        <f>J688</f>
        <v>108.67</v>
      </c>
      <c r="K690" s="3032">
        <f t="shared" si="49"/>
        <v>110.57000000000001</v>
      </c>
      <c r="L690" s="3032">
        <f t="shared" si="44"/>
        <v>219.24</v>
      </c>
      <c r="M690" s="3032"/>
    </row>
    <row r="691" spans="1:13">
      <c r="A691" s="3032"/>
      <c r="B691" s="3032"/>
      <c r="C691" s="3034">
        <v>104</v>
      </c>
      <c r="D691" s="3032">
        <v>134.29</v>
      </c>
      <c r="E691" s="3032">
        <v>84.35</v>
      </c>
      <c r="F691" s="3032"/>
      <c r="G691" s="3032">
        <f t="shared" si="48"/>
        <v>218.64</v>
      </c>
      <c r="H691" s="3032"/>
      <c r="I691" s="3032"/>
      <c r="J691" s="3032">
        <f>J688</f>
        <v>108.67</v>
      </c>
      <c r="K691" s="3032">
        <f t="shared" si="49"/>
        <v>109.96999999999998</v>
      </c>
      <c r="L691" s="3032">
        <f t="shared" si="44"/>
        <v>218.64</v>
      </c>
      <c r="M691" s="3032"/>
    </row>
    <row r="692" spans="1:13">
      <c r="A692" s="3032"/>
      <c r="B692" s="3032"/>
      <c r="C692" s="3034">
        <v>105</v>
      </c>
      <c r="D692" s="3032">
        <v>134.28</v>
      </c>
      <c r="E692" s="3032">
        <v>84.49</v>
      </c>
      <c r="F692" s="3032"/>
      <c r="G692" s="3032">
        <f t="shared" si="48"/>
        <v>218.76999999999998</v>
      </c>
      <c r="H692" s="3032"/>
      <c r="I692" s="3032"/>
      <c r="J692" s="3032">
        <f>J688</f>
        <v>108.67</v>
      </c>
      <c r="K692" s="3032">
        <f t="shared" si="49"/>
        <v>110.09999999999998</v>
      </c>
      <c r="L692" s="3032">
        <f t="shared" si="44"/>
        <v>218.76999999999998</v>
      </c>
      <c r="M692" s="3032"/>
    </row>
    <row r="693" spans="1:13">
      <c r="A693" s="3032"/>
      <c r="B693" s="3032"/>
      <c r="C693" s="3034">
        <v>106</v>
      </c>
      <c r="D693" s="3032">
        <v>134.47</v>
      </c>
      <c r="E693" s="3032">
        <v>84.77</v>
      </c>
      <c r="F693" s="3032"/>
      <c r="G693" s="3032">
        <f t="shared" si="48"/>
        <v>219.24</v>
      </c>
      <c r="H693" s="3032"/>
      <c r="I693" s="3032"/>
      <c r="J693" s="3032">
        <v>108.66</v>
      </c>
      <c r="K693" s="3032">
        <f t="shared" si="49"/>
        <v>110.58000000000001</v>
      </c>
      <c r="L693" s="3032">
        <f t="shared" si="44"/>
        <v>219.24</v>
      </c>
      <c r="M693" s="3032"/>
    </row>
    <row r="694" spans="1:13">
      <c r="A694" s="3032" t="s">
        <v>3169</v>
      </c>
      <c r="B694" s="3032">
        <v>4</v>
      </c>
      <c r="C694" s="3034">
        <v>-201</v>
      </c>
      <c r="D694" s="3032"/>
      <c r="E694" s="3032">
        <v>83.57</v>
      </c>
      <c r="F694" s="3032"/>
      <c r="G694" s="3032">
        <f t="shared" si="48"/>
        <v>83.57</v>
      </c>
      <c r="H694" s="3032">
        <f>SUM(G694:G701)</f>
        <v>1212.72</v>
      </c>
      <c r="I694" s="3032"/>
      <c r="J694" s="3032"/>
      <c r="K694" s="3032">
        <f t="shared" si="49"/>
        <v>83.57</v>
      </c>
      <c r="L694" s="3032">
        <f t="shared" si="44"/>
        <v>83.57</v>
      </c>
      <c r="M694" s="3032"/>
    </row>
    <row r="695" spans="1:13">
      <c r="A695" s="3032"/>
      <c r="B695" s="3032"/>
      <c r="C695" s="3034">
        <v>-202</v>
      </c>
      <c r="D695" s="3032"/>
      <c r="E695" s="3032">
        <v>84.29</v>
      </c>
      <c r="F695" s="3032"/>
      <c r="G695" s="3032">
        <f t="shared" si="48"/>
        <v>84.29</v>
      </c>
      <c r="H695" s="3032"/>
      <c r="I695" s="3032"/>
      <c r="J695" s="3032"/>
      <c r="K695" s="3032">
        <f t="shared" si="49"/>
        <v>84.29</v>
      </c>
      <c r="L695" s="3032">
        <f t="shared" si="44"/>
        <v>84.29</v>
      </c>
      <c r="M695" s="3032"/>
    </row>
    <row r="696" spans="1:13">
      <c r="A696" s="3032"/>
      <c r="B696" s="3032"/>
      <c r="C696" s="3034">
        <v>-203</v>
      </c>
      <c r="D696" s="3032"/>
      <c r="E696" s="3032">
        <v>83.57</v>
      </c>
      <c r="F696" s="3032"/>
      <c r="G696" s="3032">
        <f t="shared" si="48"/>
        <v>83.57</v>
      </c>
      <c r="H696" s="3032"/>
      <c r="I696" s="3032"/>
      <c r="J696" s="3032"/>
      <c r="K696" s="3032">
        <f t="shared" si="49"/>
        <v>83.57</v>
      </c>
      <c r="L696" s="3032">
        <f t="shared" si="44"/>
        <v>83.57</v>
      </c>
      <c r="M696" s="3032"/>
    </row>
    <row r="697" spans="1:13">
      <c r="A697" s="3032"/>
      <c r="B697" s="3032"/>
      <c r="C697" s="3034">
        <v>-204</v>
      </c>
      <c r="D697" s="3032"/>
      <c r="E697" s="3032">
        <v>84.29</v>
      </c>
      <c r="F697" s="3032"/>
      <c r="G697" s="3032">
        <f t="shared" si="48"/>
        <v>84.29</v>
      </c>
      <c r="H697" s="3032"/>
      <c r="I697" s="3032"/>
      <c r="J697" s="3032"/>
      <c r="K697" s="3032">
        <f t="shared" si="49"/>
        <v>84.29</v>
      </c>
      <c r="L697" s="3032">
        <f t="shared" si="44"/>
        <v>84.29</v>
      </c>
      <c r="M697" s="3032"/>
    </row>
    <row r="698" spans="1:13">
      <c r="A698" s="3032"/>
      <c r="B698" s="3032"/>
      <c r="C698" s="3034">
        <v>101</v>
      </c>
      <c r="D698" s="3032">
        <v>134.47</v>
      </c>
      <c r="E698" s="3032">
        <v>84.48</v>
      </c>
      <c r="F698" s="3032"/>
      <c r="G698" s="3032">
        <f t="shared" si="48"/>
        <v>218.95</v>
      </c>
      <c r="H698" s="3032"/>
      <c r="I698" s="3032"/>
      <c r="J698" s="3032">
        <f>435.56/4</f>
        <v>108.89</v>
      </c>
      <c r="K698" s="3032">
        <f t="shared" si="49"/>
        <v>110.05999999999999</v>
      </c>
      <c r="L698" s="3032">
        <f t="shared" si="44"/>
        <v>218.95</v>
      </c>
      <c r="M698" s="3032">
        <f>SUM(J698:J701)</f>
        <v>435.56</v>
      </c>
    </row>
    <row r="699" spans="1:13">
      <c r="A699" s="3032"/>
      <c r="B699" s="3032"/>
      <c r="C699" s="3034">
        <v>102</v>
      </c>
      <c r="D699" s="3032">
        <v>134.66</v>
      </c>
      <c r="E699" s="3032">
        <v>84.89</v>
      </c>
      <c r="F699" s="3032"/>
      <c r="G699" s="3032">
        <f t="shared" si="48"/>
        <v>219.55</v>
      </c>
      <c r="H699" s="3032"/>
      <c r="I699" s="3032"/>
      <c r="J699" s="3032">
        <f>J698</f>
        <v>108.89</v>
      </c>
      <c r="K699" s="3032">
        <f t="shared" si="49"/>
        <v>110.66000000000001</v>
      </c>
      <c r="L699" s="3032">
        <f t="shared" si="44"/>
        <v>219.55</v>
      </c>
      <c r="M699" s="3032"/>
    </row>
    <row r="700" spans="1:13">
      <c r="A700" s="3032"/>
      <c r="B700" s="3032"/>
      <c r="C700" s="3034">
        <v>103</v>
      </c>
      <c r="D700" s="3032">
        <v>134.47</v>
      </c>
      <c r="E700" s="3032">
        <v>84.48</v>
      </c>
      <c r="F700" s="3032"/>
      <c r="G700" s="3032">
        <f t="shared" si="48"/>
        <v>218.95</v>
      </c>
      <c r="H700" s="3032"/>
      <c r="I700" s="3032"/>
      <c r="J700" s="3032">
        <f>J698</f>
        <v>108.89</v>
      </c>
      <c r="K700" s="3032">
        <f t="shared" si="49"/>
        <v>110.05999999999999</v>
      </c>
      <c r="L700" s="3032">
        <f t="shared" si="44"/>
        <v>218.95</v>
      </c>
      <c r="M700" s="3032"/>
    </row>
    <row r="701" spans="1:13">
      <c r="A701" s="3032"/>
      <c r="B701" s="3032"/>
      <c r="C701" s="3034">
        <v>104</v>
      </c>
      <c r="D701" s="3032">
        <v>134.66</v>
      </c>
      <c r="E701" s="3032">
        <v>84.89</v>
      </c>
      <c r="F701" s="3032"/>
      <c r="G701" s="3032">
        <f t="shared" si="48"/>
        <v>219.55</v>
      </c>
      <c r="H701" s="3032"/>
      <c r="I701" s="3032"/>
      <c r="J701" s="3032">
        <f>J698</f>
        <v>108.89</v>
      </c>
      <c r="K701" s="3032">
        <f t="shared" si="49"/>
        <v>110.66000000000001</v>
      </c>
      <c r="L701" s="3032">
        <f t="shared" si="44"/>
        <v>219.55</v>
      </c>
      <c r="M701" s="3032"/>
    </row>
    <row r="702" spans="1:13">
      <c r="A702" s="3032" t="s">
        <v>3170</v>
      </c>
      <c r="B702" s="3032">
        <v>4</v>
      </c>
      <c r="C702" s="3034">
        <v>-201</v>
      </c>
      <c r="D702" s="3032"/>
      <c r="E702" s="3032">
        <v>83.57</v>
      </c>
      <c r="F702" s="3032"/>
      <c r="G702" s="3032">
        <f t="shared" si="48"/>
        <v>83.57</v>
      </c>
      <c r="H702" s="3032">
        <f>SUM(G702:G709)</f>
        <v>1212.72</v>
      </c>
      <c r="I702" s="3032"/>
      <c r="J702" s="3032"/>
      <c r="K702" s="3032">
        <f t="shared" si="49"/>
        <v>83.57</v>
      </c>
      <c r="L702" s="3032">
        <f t="shared" si="44"/>
        <v>83.57</v>
      </c>
      <c r="M702" s="3032"/>
    </row>
    <row r="703" spans="1:13">
      <c r="A703" s="3032"/>
      <c r="B703" s="3032"/>
      <c r="C703" s="3034">
        <v>-202</v>
      </c>
      <c r="D703" s="3032"/>
      <c r="E703" s="3032">
        <v>84.29</v>
      </c>
      <c r="F703" s="3032"/>
      <c r="G703" s="3032">
        <f t="shared" si="48"/>
        <v>84.29</v>
      </c>
      <c r="H703" s="3032"/>
      <c r="I703" s="3032"/>
      <c r="J703" s="3032"/>
      <c r="K703" s="3032">
        <f t="shared" si="49"/>
        <v>84.29</v>
      </c>
      <c r="L703" s="3032">
        <f t="shared" si="44"/>
        <v>84.29</v>
      </c>
      <c r="M703" s="3032"/>
    </row>
    <row r="704" spans="1:13">
      <c r="A704" s="3032"/>
      <c r="B704" s="3032"/>
      <c r="C704" s="3034">
        <v>-203</v>
      </c>
      <c r="D704" s="3032"/>
      <c r="E704" s="3032">
        <v>83.57</v>
      </c>
      <c r="F704" s="3032"/>
      <c r="G704" s="3032">
        <f t="shared" si="48"/>
        <v>83.57</v>
      </c>
      <c r="H704" s="3032"/>
      <c r="I704" s="3032"/>
      <c r="J704" s="3032"/>
      <c r="K704" s="3032">
        <f t="shared" si="49"/>
        <v>83.57</v>
      </c>
      <c r="L704" s="3032">
        <f t="shared" si="44"/>
        <v>83.57</v>
      </c>
      <c r="M704" s="3032"/>
    </row>
    <row r="705" spans="1:13">
      <c r="A705" s="3032"/>
      <c r="B705" s="3032"/>
      <c r="C705" s="3034">
        <v>-204</v>
      </c>
      <c r="D705" s="3032"/>
      <c r="E705" s="3032">
        <v>84.29</v>
      </c>
      <c r="F705" s="3032"/>
      <c r="G705" s="3032">
        <f t="shared" si="48"/>
        <v>84.29</v>
      </c>
      <c r="H705" s="3032"/>
      <c r="I705" s="3032"/>
      <c r="J705" s="3032"/>
      <c r="K705" s="3032">
        <f t="shared" si="49"/>
        <v>84.29</v>
      </c>
      <c r="L705" s="3032">
        <f t="shared" si="44"/>
        <v>84.29</v>
      </c>
      <c r="M705" s="3032"/>
    </row>
    <row r="706" spans="1:13">
      <c r="A706" s="3032"/>
      <c r="B706" s="3032"/>
      <c r="C706" s="3034">
        <v>101</v>
      </c>
      <c r="D706" s="3032">
        <v>134.47</v>
      </c>
      <c r="E706" s="3032">
        <v>84.48</v>
      </c>
      <c r="F706" s="3032"/>
      <c r="G706" s="3032">
        <f t="shared" si="48"/>
        <v>218.95</v>
      </c>
      <c r="H706" s="3032"/>
      <c r="I706" s="3032"/>
      <c r="J706" s="3032">
        <f>J698</f>
        <v>108.89</v>
      </c>
      <c r="K706" s="3032">
        <f t="shared" si="49"/>
        <v>110.05999999999999</v>
      </c>
      <c r="L706" s="3032">
        <f t="shared" si="44"/>
        <v>218.95</v>
      </c>
      <c r="M706" s="3032">
        <f>SUM(J706:J709)</f>
        <v>435.56</v>
      </c>
    </row>
    <row r="707" spans="1:13">
      <c r="A707" s="3032"/>
      <c r="B707" s="3032"/>
      <c r="C707" s="3034">
        <v>102</v>
      </c>
      <c r="D707" s="3032">
        <v>134.66</v>
      </c>
      <c r="E707" s="3032">
        <v>84.89</v>
      </c>
      <c r="F707" s="3032"/>
      <c r="G707" s="3032">
        <f t="shared" si="48"/>
        <v>219.55</v>
      </c>
      <c r="H707" s="3032"/>
      <c r="I707" s="3032"/>
      <c r="J707" s="3032">
        <f>J706</f>
        <v>108.89</v>
      </c>
      <c r="K707" s="3032">
        <f t="shared" si="49"/>
        <v>110.66000000000001</v>
      </c>
      <c r="L707" s="3032">
        <f t="shared" si="44"/>
        <v>219.55</v>
      </c>
      <c r="M707" s="3032"/>
    </row>
    <row r="708" spans="1:13">
      <c r="A708" s="3032"/>
      <c r="B708" s="3032"/>
      <c r="C708" s="3034">
        <v>103</v>
      </c>
      <c r="D708" s="3032">
        <v>134.47</v>
      </c>
      <c r="E708" s="3032">
        <v>84.48</v>
      </c>
      <c r="F708" s="3032"/>
      <c r="G708" s="3032">
        <f t="shared" si="48"/>
        <v>218.95</v>
      </c>
      <c r="H708" s="3032"/>
      <c r="I708" s="3032"/>
      <c r="J708" s="3032">
        <f>J706</f>
        <v>108.89</v>
      </c>
      <c r="K708" s="3032">
        <f t="shared" si="49"/>
        <v>110.05999999999999</v>
      </c>
      <c r="L708" s="3032">
        <f t="shared" si="44"/>
        <v>218.95</v>
      </c>
      <c r="M708" s="3032"/>
    </row>
    <row r="709" spans="1:13">
      <c r="A709" s="3032"/>
      <c r="B709" s="3032"/>
      <c r="C709" s="3034">
        <v>104</v>
      </c>
      <c r="D709" s="3032">
        <v>134.66</v>
      </c>
      <c r="E709" s="3032">
        <v>84.89</v>
      </c>
      <c r="F709" s="3032"/>
      <c r="G709" s="3032">
        <f t="shared" si="48"/>
        <v>219.55</v>
      </c>
      <c r="H709" s="3032"/>
      <c r="I709" s="3032"/>
      <c r="J709" s="3032">
        <f>J706</f>
        <v>108.89</v>
      </c>
      <c r="K709" s="3032">
        <f t="shared" si="49"/>
        <v>110.66000000000001</v>
      </c>
      <c r="L709" s="3032">
        <f t="shared" si="44"/>
        <v>219.55</v>
      </c>
      <c r="M709" s="3032"/>
    </row>
    <row r="710" spans="1:13">
      <c r="A710" s="3032" t="s">
        <v>3171</v>
      </c>
      <c r="B710" s="3032">
        <v>6</v>
      </c>
      <c r="C710" s="3034">
        <v>-201</v>
      </c>
      <c r="D710" s="3032"/>
      <c r="E710" s="3032">
        <v>83.43</v>
      </c>
      <c r="F710" s="3032"/>
      <c r="G710" s="3032">
        <f t="shared" si="48"/>
        <v>83.43</v>
      </c>
      <c r="H710" s="3032">
        <f>SUM(G710:G721)</f>
        <v>1815.6799999999998</v>
      </c>
      <c r="I710" s="3032"/>
      <c r="J710" s="3032"/>
      <c r="K710" s="3032">
        <f t="shared" si="49"/>
        <v>83.43</v>
      </c>
      <c r="L710" s="3032">
        <f t="shared" si="44"/>
        <v>83.43</v>
      </c>
      <c r="M710" s="3032"/>
    </row>
    <row r="711" spans="1:13">
      <c r="A711" s="3032"/>
      <c r="B711" s="3032"/>
      <c r="C711" s="3034">
        <v>-202</v>
      </c>
      <c r="D711" s="3032"/>
      <c r="E711" s="3032">
        <v>84.15</v>
      </c>
      <c r="F711" s="3032"/>
      <c r="G711" s="3032">
        <f t="shared" si="48"/>
        <v>84.15</v>
      </c>
      <c r="H711" s="3032"/>
      <c r="I711" s="3032"/>
      <c r="J711" s="3032"/>
      <c r="K711" s="3032">
        <f t="shared" si="49"/>
        <v>84.15</v>
      </c>
      <c r="L711" s="3032">
        <f t="shared" si="44"/>
        <v>84.15</v>
      </c>
      <c r="M711" s="3032"/>
    </row>
    <row r="712" spans="1:13">
      <c r="A712" s="3032"/>
      <c r="B712" s="3032"/>
      <c r="C712" s="3034">
        <v>-203</v>
      </c>
      <c r="D712" s="3032"/>
      <c r="E712" s="3032">
        <v>84.15</v>
      </c>
      <c r="F712" s="3032"/>
      <c r="G712" s="3032">
        <f t="shared" si="48"/>
        <v>84.15</v>
      </c>
      <c r="H712" s="3032"/>
      <c r="I712" s="3032"/>
      <c r="J712" s="3032"/>
      <c r="K712" s="3032">
        <f t="shared" si="49"/>
        <v>84.15</v>
      </c>
      <c r="L712" s="3032">
        <f t="shared" si="44"/>
        <v>84.15</v>
      </c>
      <c r="M712" s="3032"/>
    </row>
    <row r="713" spans="1:13">
      <c r="A713" s="3032"/>
      <c r="B713" s="3032"/>
      <c r="C713" s="3034">
        <v>-204</v>
      </c>
      <c r="D713" s="3032"/>
      <c r="E713" s="3032">
        <v>83.43</v>
      </c>
      <c r="F713" s="3032"/>
      <c r="G713" s="3032">
        <f t="shared" si="48"/>
        <v>83.43</v>
      </c>
      <c r="H713" s="3032"/>
      <c r="I713" s="3032"/>
      <c r="J713" s="3032"/>
      <c r="K713" s="3032">
        <f t="shared" si="49"/>
        <v>83.43</v>
      </c>
      <c r="L713" s="3032">
        <f t="shared" si="44"/>
        <v>83.43</v>
      </c>
      <c r="M713" s="3032"/>
    </row>
    <row r="714" spans="1:13">
      <c r="A714" s="3032"/>
      <c r="B714" s="3032"/>
      <c r="C714" s="3034">
        <v>-205</v>
      </c>
      <c r="D714" s="3032"/>
      <c r="E714" s="3032">
        <v>84.15</v>
      </c>
      <c r="F714" s="3032"/>
      <c r="G714" s="3032">
        <f t="shared" si="48"/>
        <v>84.15</v>
      </c>
      <c r="H714" s="3032"/>
      <c r="I714" s="3032"/>
      <c r="J714" s="3032"/>
      <c r="K714" s="3032">
        <f t="shared" si="49"/>
        <v>84.15</v>
      </c>
      <c r="L714" s="3032">
        <f t="shared" si="44"/>
        <v>84.15</v>
      </c>
      <c r="M714" s="3032"/>
    </row>
    <row r="715" spans="1:13">
      <c r="A715" s="3032"/>
      <c r="B715" s="3032"/>
      <c r="C715" s="3034">
        <v>-206</v>
      </c>
      <c r="D715" s="3032"/>
      <c r="E715" s="3032">
        <v>84.15</v>
      </c>
      <c r="F715" s="3032"/>
      <c r="G715" s="3032">
        <f t="shared" si="48"/>
        <v>84.15</v>
      </c>
      <c r="H715" s="3032"/>
      <c r="I715" s="3032"/>
      <c r="J715" s="3032"/>
      <c r="K715" s="3032">
        <f t="shared" si="49"/>
        <v>84.15</v>
      </c>
      <c r="L715" s="3032">
        <f t="shared" si="44"/>
        <v>84.15</v>
      </c>
      <c r="M715" s="3032"/>
    </row>
    <row r="716" spans="1:13">
      <c r="A716" s="3032"/>
      <c r="B716" s="3032"/>
      <c r="C716" s="3034">
        <v>101</v>
      </c>
      <c r="D716" s="3032">
        <v>134.18</v>
      </c>
      <c r="E716" s="3032">
        <v>84.28</v>
      </c>
      <c r="F716" s="3032"/>
      <c r="G716" s="3032">
        <f t="shared" si="48"/>
        <v>218.46</v>
      </c>
      <c r="H716" s="3032"/>
      <c r="I716" s="3032"/>
      <c r="J716" s="3032">
        <f>J688</f>
        <v>108.67</v>
      </c>
      <c r="K716" s="3032">
        <f t="shared" si="49"/>
        <v>109.79</v>
      </c>
      <c r="L716" s="3032">
        <f t="shared" si="44"/>
        <v>218.46</v>
      </c>
      <c r="M716" s="3032">
        <f>SUM(J716:J721)</f>
        <v>652.01</v>
      </c>
    </row>
    <row r="717" spans="1:13">
      <c r="A717" s="3032"/>
      <c r="B717" s="3032"/>
      <c r="C717" s="3034">
        <v>102</v>
      </c>
      <c r="D717" s="3032">
        <v>134.16999999999999</v>
      </c>
      <c r="E717" s="3032">
        <v>84.42</v>
      </c>
      <c r="F717" s="3032"/>
      <c r="G717" s="3032">
        <f t="shared" si="48"/>
        <v>218.58999999999997</v>
      </c>
      <c r="H717" s="3032"/>
      <c r="I717" s="3032"/>
      <c r="J717" s="3032">
        <f>J716</f>
        <v>108.67</v>
      </c>
      <c r="K717" s="3032">
        <f t="shared" si="49"/>
        <v>109.91999999999997</v>
      </c>
      <c r="L717" s="3032">
        <f t="shared" si="44"/>
        <v>218.58999999999997</v>
      </c>
      <c r="M717" s="3032"/>
    </row>
    <row r="718" spans="1:13">
      <c r="A718" s="3032"/>
      <c r="B718" s="3032"/>
      <c r="C718" s="3034">
        <v>103</v>
      </c>
      <c r="D718" s="3032">
        <v>134.36000000000001</v>
      </c>
      <c r="E718" s="3032">
        <v>84.7</v>
      </c>
      <c r="F718" s="3032"/>
      <c r="G718" s="3032">
        <f t="shared" si="48"/>
        <v>219.06</v>
      </c>
      <c r="H718" s="3032"/>
      <c r="I718" s="3032"/>
      <c r="J718" s="3032">
        <f>J716</f>
        <v>108.67</v>
      </c>
      <c r="K718" s="3032">
        <f t="shared" si="49"/>
        <v>110.39</v>
      </c>
      <c r="L718" s="3032">
        <f t="shared" si="44"/>
        <v>219.06</v>
      </c>
      <c r="M718" s="3032"/>
    </row>
    <row r="719" spans="1:13">
      <c r="A719" s="3032"/>
      <c r="B719" s="3032"/>
      <c r="C719" s="3034">
        <v>104</v>
      </c>
      <c r="D719" s="3032">
        <v>134.18</v>
      </c>
      <c r="E719" s="3032">
        <v>84.28</v>
      </c>
      <c r="F719" s="3032"/>
      <c r="G719" s="3032">
        <f t="shared" si="48"/>
        <v>218.46</v>
      </c>
      <c r="H719" s="3032"/>
      <c r="I719" s="3032"/>
      <c r="J719" s="3032">
        <f>J716</f>
        <v>108.67</v>
      </c>
      <c r="K719" s="3032">
        <f t="shared" si="49"/>
        <v>109.79</v>
      </c>
      <c r="L719" s="3032">
        <f t="shared" si="44"/>
        <v>218.46</v>
      </c>
      <c r="M719" s="3032"/>
    </row>
    <row r="720" spans="1:13">
      <c r="A720" s="3032"/>
      <c r="B720" s="3032"/>
      <c r="C720" s="3034">
        <v>105</v>
      </c>
      <c r="D720" s="3032">
        <v>134.16999999999999</v>
      </c>
      <c r="E720" s="3032">
        <v>84.42</v>
      </c>
      <c r="F720" s="3032"/>
      <c r="G720" s="3032">
        <f t="shared" si="48"/>
        <v>218.58999999999997</v>
      </c>
      <c r="H720" s="3032"/>
      <c r="I720" s="3032"/>
      <c r="J720" s="3032">
        <f>J716</f>
        <v>108.67</v>
      </c>
      <c r="K720" s="3032">
        <f t="shared" si="49"/>
        <v>109.91999999999997</v>
      </c>
      <c r="L720" s="3032">
        <f t="shared" si="44"/>
        <v>218.58999999999997</v>
      </c>
      <c r="M720" s="3032"/>
    </row>
    <row r="721" spans="1:13">
      <c r="A721" s="3032"/>
      <c r="B721" s="3032"/>
      <c r="C721" s="3034">
        <v>106</v>
      </c>
      <c r="D721" s="3032">
        <v>134.36000000000001</v>
      </c>
      <c r="E721" s="3032">
        <v>84.7</v>
      </c>
      <c r="F721" s="3032"/>
      <c r="G721" s="3032">
        <f t="shared" si="48"/>
        <v>219.06</v>
      </c>
      <c r="H721" s="3032"/>
      <c r="I721" s="3032"/>
      <c r="J721" s="3032">
        <v>108.66</v>
      </c>
      <c r="K721" s="3032">
        <f t="shared" si="49"/>
        <v>110.4</v>
      </c>
      <c r="L721" s="3032">
        <f t="shared" si="44"/>
        <v>219.06</v>
      </c>
      <c r="M721" s="3032"/>
    </row>
    <row r="722" spans="1:13">
      <c r="A722" s="3032" t="s">
        <v>3172</v>
      </c>
      <c r="B722" s="3032">
        <v>6</v>
      </c>
      <c r="C722" s="3034">
        <v>-201</v>
      </c>
      <c r="D722" s="3032"/>
      <c r="E722" s="3032">
        <v>83.46</v>
      </c>
      <c r="F722" s="3032"/>
      <c r="G722" s="3032">
        <f t="shared" si="48"/>
        <v>83.46</v>
      </c>
      <c r="H722" s="3032">
        <f>SUM(G722:G733)</f>
        <v>1817.5199999999998</v>
      </c>
      <c r="I722" s="3032"/>
      <c r="J722" s="3032"/>
      <c r="K722" s="3032">
        <f t="shared" si="49"/>
        <v>83.46</v>
      </c>
      <c r="L722" s="3032">
        <f t="shared" si="44"/>
        <v>83.46</v>
      </c>
      <c r="M722" s="3032"/>
    </row>
    <row r="723" spans="1:13">
      <c r="A723" s="3032"/>
      <c r="B723" s="3032"/>
      <c r="C723" s="3034">
        <v>-202</v>
      </c>
      <c r="D723" s="3032"/>
      <c r="E723" s="3032">
        <v>84.18</v>
      </c>
      <c r="F723" s="3032"/>
      <c r="G723" s="3032">
        <f t="shared" si="48"/>
        <v>84.18</v>
      </c>
      <c r="H723" s="3032"/>
      <c r="I723" s="3032"/>
      <c r="J723" s="3032"/>
      <c r="K723" s="3032">
        <f t="shared" si="49"/>
        <v>84.18</v>
      </c>
      <c r="L723" s="3032">
        <f t="shared" si="44"/>
        <v>84.18</v>
      </c>
      <c r="M723" s="3032"/>
    </row>
    <row r="724" spans="1:13">
      <c r="A724" s="3032"/>
      <c r="B724" s="3032"/>
      <c r="C724" s="3034">
        <v>-203</v>
      </c>
      <c r="D724" s="3032"/>
      <c r="E724" s="3032">
        <v>84.18</v>
      </c>
      <c r="F724" s="3032"/>
      <c r="G724" s="3032">
        <f t="shared" si="48"/>
        <v>84.18</v>
      </c>
      <c r="H724" s="3032"/>
      <c r="I724" s="3032"/>
      <c r="J724" s="3032"/>
      <c r="K724" s="3032">
        <f t="shared" si="49"/>
        <v>84.18</v>
      </c>
      <c r="L724" s="3032">
        <f t="shared" si="44"/>
        <v>84.18</v>
      </c>
      <c r="M724" s="3032"/>
    </row>
    <row r="725" spans="1:13">
      <c r="A725" s="3032"/>
      <c r="B725" s="3032"/>
      <c r="C725" s="3034">
        <v>-204</v>
      </c>
      <c r="D725" s="3032"/>
      <c r="E725" s="3032">
        <v>83.46</v>
      </c>
      <c r="F725" s="3032"/>
      <c r="G725" s="3032">
        <f t="shared" si="48"/>
        <v>83.46</v>
      </c>
      <c r="H725" s="3032"/>
      <c r="I725" s="3032"/>
      <c r="J725" s="3032"/>
      <c r="K725" s="3032">
        <f t="shared" si="49"/>
        <v>83.46</v>
      </c>
      <c r="L725" s="3032">
        <f t="shared" si="44"/>
        <v>83.46</v>
      </c>
      <c r="M725" s="3032"/>
    </row>
    <row r="726" spans="1:13">
      <c r="A726" s="3032"/>
      <c r="B726" s="3032"/>
      <c r="C726" s="3034">
        <v>-205</v>
      </c>
      <c r="D726" s="3032"/>
      <c r="E726" s="3032">
        <v>84.18</v>
      </c>
      <c r="F726" s="3032"/>
      <c r="G726" s="3032">
        <f t="shared" si="48"/>
        <v>84.18</v>
      </c>
      <c r="H726" s="3032"/>
      <c r="I726" s="3032"/>
      <c r="J726" s="3032"/>
      <c r="K726" s="3032">
        <f t="shared" si="49"/>
        <v>84.18</v>
      </c>
      <c r="L726" s="3032">
        <f t="shared" si="44"/>
        <v>84.18</v>
      </c>
      <c r="M726" s="3032"/>
    </row>
    <row r="727" spans="1:13">
      <c r="A727" s="3032"/>
      <c r="B727" s="3032"/>
      <c r="C727" s="3034">
        <v>-206</v>
      </c>
      <c r="D727" s="3032"/>
      <c r="E727" s="3032">
        <v>84.18</v>
      </c>
      <c r="F727" s="3032"/>
      <c r="G727" s="3032">
        <f t="shared" si="48"/>
        <v>84.18</v>
      </c>
      <c r="H727" s="3032"/>
      <c r="I727" s="3032"/>
      <c r="J727" s="3032"/>
      <c r="K727" s="3032">
        <f t="shared" si="49"/>
        <v>84.18</v>
      </c>
      <c r="L727" s="3032">
        <f t="shared" si="44"/>
        <v>84.18</v>
      </c>
      <c r="M727" s="3032"/>
    </row>
    <row r="728" spans="1:13">
      <c r="A728" s="3032"/>
      <c r="B728" s="3032"/>
      <c r="C728" s="3034">
        <v>101</v>
      </c>
      <c r="D728" s="3032">
        <v>134.34</v>
      </c>
      <c r="E728" s="3032">
        <v>84.39</v>
      </c>
      <c r="F728" s="3032"/>
      <c r="G728" s="3032">
        <f t="shared" si="48"/>
        <v>218.73000000000002</v>
      </c>
      <c r="H728" s="3032"/>
      <c r="I728" s="3032"/>
      <c r="J728" s="3032">
        <f t="shared" ref="J728:J733" si="50">J716</f>
        <v>108.67</v>
      </c>
      <c r="K728" s="3032">
        <f t="shared" si="49"/>
        <v>110.06000000000002</v>
      </c>
      <c r="L728" s="3032">
        <f t="shared" si="44"/>
        <v>218.73000000000002</v>
      </c>
      <c r="M728" s="3032">
        <f>SUM(J728:J733)</f>
        <v>652.01</v>
      </c>
    </row>
    <row r="729" spans="1:13">
      <c r="A729" s="3032"/>
      <c r="B729" s="3032"/>
      <c r="C729" s="3034">
        <v>102</v>
      </c>
      <c r="D729" s="3032">
        <v>134.34</v>
      </c>
      <c r="E729" s="3032">
        <v>84.53</v>
      </c>
      <c r="F729" s="3032"/>
      <c r="G729" s="3032">
        <f t="shared" si="48"/>
        <v>218.87</v>
      </c>
      <c r="H729" s="3032"/>
      <c r="I729" s="3032"/>
      <c r="J729" s="3032">
        <f t="shared" si="50"/>
        <v>108.67</v>
      </c>
      <c r="K729" s="3032">
        <f t="shared" si="49"/>
        <v>110.2</v>
      </c>
      <c r="L729" s="3032">
        <f t="shared" si="44"/>
        <v>218.87</v>
      </c>
      <c r="M729" s="3032"/>
    </row>
    <row r="730" spans="1:13">
      <c r="A730" s="3032"/>
      <c r="B730" s="3032"/>
      <c r="C730" s="3034">
        <v>103</v>
      </c>
      <c r="D730" s="3032">
        <v>134.54</v>
      </c>
      <c r="E730" s="3032">
        <v>84.8</v>
      </c>
      <c r="F730" s="3032"/>
      <c r="G730" s="3032">
        <f t="shared" si="48"/>
        <v>219.33999999999997</v>
      </c>
      <c r="H730" s="3032"/>
      <c r="I730" s="3032"/>
      <c r="J730" s="3032">
        <f t="shared" si="50"/>
        <v>108.67</v>
      </c>
      <c r="K730" s="3032">
        <f t="shared" si="49"/>
        <v>110.66999999999997</v>
      </c>
      <c r="L730" s="3032">
        <f t="shared" si="44"/>
        <v>219.33999999999997</v>
      </c>
      <c r="M730" s="3032"/>
    </row>
    <row r="731" spans="1:13">
      <c r="A731" s="3032"/>
      <c r="B731" s="3032"/>
      <c r="C731" s="3034">
        <v>104</v>
      </c>
      <c r="D731" s="3032">
        <v>134.34</v>
      </c>
      <c r="E731" s="3032">
        <v>84.39</v>
      </c>
      <c r="F731" s="3032"/>
      <c r="G731" s="3032">
        <f t="shared" si="48"/>
        <v>218.73000000000002</v>
      </c>
      <c r="H731" s="3032"/>
      <c r="I731" s="3032"/>
      <c r="J731" s="3032">
        <f t="shared" si="50"/>
        <v>108.67</v>
      </c>
      <c r="K731" s="3032">
        <f t="shared" si="49"/>
        <v>110.06000000000002</v>
      </c>
      <c r="L731" s="3032">
        <f t="shared" si="44"/>
        <v>218.73000000000002</v>
      </c>
      <c r="M731" s="3032"/>
    </row>
    <row r="732" spans="1:13">
      <c r="A732" s="3032"/>
      <c r="B732" s="3032"/>
      <c r="C732" s="3034">
        <v>105</v>
      </c>
      <c r="D732" s="3032">
        <v>134.34</v>
      </c>
      <c r="E732" s="3032">
        <v>84.53</v>
      </c>
      <c r="F732" s="3032"/>
      <c r="G732" s="3032">
        <f t="shared" si="48"/>
        <v>218.87</v>
      </c>
      <c r="H732" s="3032"/>
      <c r="I732" s="3032"/>
      <c r="J732" s="3032">
        <f t="shared" si="50"/>
        <v>108.67</v>
      </c>
      <c r="K732" s="3032">
        <f t="shared" si="49"/>
        <v>110.2</v>
      </c>
      <c r="L732" s="3032">
        <f t="shared" si="44"/>
        <v>218.87</v>
      </c>
      <c r="M732" s="3032"/>
    </row>
    <row r="733" spans="1:13">
      <c r="A733" s="3032"/>
      <c r="B733" s="3032"/>
      <c r="C733" s="3034">
        <v>106</v>
      </c>
      <c r="D733" s="3032">
        <v>134.54</v>
      </c>
      <c r="E733" s="3032">
        <v>84.8</v>
      </c>
      <c r="F733" s="3032"/>
      <c r="G733" s="3032">
        <f t="shared" si="48"/>
        <v>219.33999999999997</v>
      </c>
      <c r="H733" s="3032"/>
      <c r="I733" s="3032"/>
      <c r="J733" s="3032">
        <f t="shared" si="50"/>
        <v>108.66</v>
      </c>
      <c r="K733" s="3032">
        <f t="shared" si="49"/>
        <v>110.67999999999998</v>
      </c>
      <c r="L733" s="3032">
        <f t="shared" si="44"/>
        <v>219.33999999999997</v>
      </c>
      <c r="M733" s="3032"/>
    </row>
    <row r="734" spans="1:13">
      <c r="A734" s="3032" t="s">
        <v>3173</v>
      </c>
      <c r="B734" s="3032">
        <v>4</v>
      </c>
      <c r="C734" s="3034">
        <v>-201</v>
      </c>
      <c r="D734" s="3032"/>
      <c r="E734" s="3032">
        <v>83.6</v>
      </c>
      <c r="F734" s="3032"/>
      <c r="G734" s="3032">
        <f t="shared" si="48"/>
        <v>83.6</v>
      </c>
      <c r="H734" s="3032">
        <f>SUM(G734:G741)</f>
        <v>1213.9399999999998</v>
      </c>
      <c r="I734" s="3032"/>
      <c r="J734" s="3032"/>
      <c r="K734" s="3032">
        <f t="shared" si="49"/>
        <v>83.6</v>
      </c>
      <c r="L734" s="3032">
        <f t="shared" si="44"/>
        <v>83.6</v>
      </c>
      <c r="M734" s="3032"/>
    </row>
    <row r="735" spans="1:13">
      <c r="A735" s="3032"/>
      <c r="B735" s="3032"/>
      <c r="C735" s="3034">
        <v>-202</v>
      </c>
      <c r="D735" s="3032"/>
      <c r="E735" s="3032">
        <v>84.32</v>
      </c>
      <c r="F735" s="3032"/>
      <c r="G735" s="3032">
        <f t="shared" si="48"/>
        <v>84.32</v>
      </c>
      <c r="H735" s="3032"/>
      <c r="I735" s="3032"/>
      <c r="J735" s="3032"/>
      <c r="K735" s="3032">
        <f t="shared" si="49"/>
        <v>84.32</v>
      </c>
      <c r="L735" s="3032">
        <f t="shared" si="44"/>
        <v>84.32</v>
      </c>
      <c r="M735" s="3032"/>
    </row>
    <row r="736" spans="1:13">
      <c r="A736" s="3032"/>
      <c r="B736" s="3032"/>
      <c r="C736" s="3034">
        <v>-203</v>
      </c>
      <c r="D736" s="3032"/>
      <c r="E736" s="3032">
        <v>83.6</v>
      </c>
      <c r="F736" s="3032"/>
      <c r="G736" s="3032">
        <f t="shared" si="48"/>
        <v>83.6</v>
      </c>
      <c r="H736" s="3032"/>
      <c r="I736" s="3032"/>
      <c r="J736" s="3032"/>
      <c r="K736" s="3032">
        <f t="shared" si="49"/>
        <v>83.6</v>
      </c>
      <c r="L736" s="3032">
        <f t="shared" si="44"/>
        <v>83.6</v>
      </c>
      <c r="M736" s="3032"/>
    </row>
    <row r="737" spans="1:13">
      <c r="A737" s="3032"/>
      <c r="B737" s="3032"/>
      <c r="C737" s="3034">
        <v>-204</v>
      </c>
      <c r="D737" s="3032"/>
      <c r="E737" s="3032">
        <v>84.32</v>
      </c>
      <c r="F737" s="3032"/>
      <c r="G737" s="3032">
        <f t="shared" si="48"/>
        <v>84.32</v>
      </c>
      <c r="H737" s="3032"/>
      <c r="I737" s="3032"/>
      <c r="J737" s="3032"/>
      <c r="K737" s="3032">
        <f t="shared" si="49"/>
        <v>84.32</v>
      </c>
      <c r="L737" s="3032">
        <f t="shared" si="44"/>
        <v>84.32</v>
      </c>
      <c r="M737" s="3032"/>
    </row>
    <row r="738" spans="1:13">
      <c r="A738" s="3032"/>
      <c r="B738" s="3032"/>
      <c r="C738" s="3034">
        <v>101</v>
      </c>
      <c r="D738" s="3032">
        <v>134.63999999999999</v>
      </c>
      <c r="E738" s="3032">
        <v>84.58</v>
      </c>
      <c r="F738" s="3032"/>
      <c r="G738" s="3032">
        <f t="shared" si="48"/>
        <v>219.21999999999997</v>
      </c>
      <c r="H738" s="3032"/>
      <c r="I738" s="3032"/>
      <c r="J738" s="3032">
        <f>J698</f>
        <v>108.89</v>
      </c>
      <c r="K738" s="3032">
        <f t="shared" si="49"/>
        <v>110.32999999999997</v>
      </c>
      <c r="L738" s="3032">
        <f t="shared" si="44"/>
        <v>219.21999999999997</v>
      </c>
      <c r="M738" s="3032">
        <f>J738+J739+J740+J741</f>
        <v>435.56</v>
      </c>
    </row>
    <row r="739" spans="1:13">
      <c r="A739" s="3032"/>
      <c r="B739" s="3032"/>
      <c r="C739" s="3034">
        <v>102</v>
      </c>
      <c r="D739" s="3032">
        <v>134.83000000000001</v>
      </c>
      <c r="E739" s="3032">
        <v>85</v>
      </c>
      <c r="F739" s="3032"/>
      <c r="G739" s="3032">
        <f t="shared" ref="G739:G802" si="51">SUM(D739:F739)</f>
        <v>219.83</v>
      </c>
      <c r="H739" s="3032"/>
      <c r="I739" s="3032"/>
      <c r="J739" s="3032">
        <f>J738</f>
        <v>108.89</v>
      </c>
      <c r="K739" s="3032">
        <f t="shared" si="49"/>
        <v>110.94000000000001</v>
      </c>
      <c r="L739" s="3032">
        <f t="shared" si="44"/>
        <v>219.83</v>
      </c>
      <c r="M739" s="3032"/>
    </row>
    <row r="740" spans="1:13">
      <c r="A740" s="3032"/>
      <c r="B740" s="3032"/>
      <c r="C740" s="3034">
        <v>103</v>
      </c>
      <c r="D740" s="3032">
        <v>134.63999999999999</v>
      </c>
      <c r="E740" s="3032">
        <v>84.58</v>
      </c>
      <c r="F740" s="3032"/>
      <c r="G740" s="3032">
        <f t="shared" si="51"/>
        <v>219.21999999999997</v>
      </c>
      <c r="H740" s="3032"/>
      <c r="I740" s="3032"/>
      <c r="J740" s="3032">
        <f>J738</f>
        <v>108.89</v>
      </c>
      <c r="K740" s="3032">
        <f t="shared" si="49"/>
        <v>110.32999999999997</v>
      </c>
      <c r="L740" s="3032">
        <f t="shared" si="44"/>
        <v>219.21999999999997</v>
      </c>
      <c r="M740" s="3032"/>
    </row>
    <row r="741" spans="1:13">
      <c r="A741" s="3032"/>
      <c r="B741" s="3032"/>
      <c r="C741" s="3034">
        <v>104</v>
      </c>
      <c r="D741" s="3032">
        <v>134.83000000000001</v>
      </c>
      <c r="E741" s="3032">
        <v>85</v>
      </c>
      <c r="F741" s="3032"/>
      <c r="G741" s="3032">
        <f t="shared" si="51"/>
        <v>219.83</v>
      </c>
      <c r="H741" s="3032"/>
      <c r="I741" s="3032"/>
      <c r="J741" s="3032">
        <f>J738</f>
        <v>108.89</v>
      </c>
      <c r="K741" s="3032">
        <f t="shared" si="49"/>
        <v>110.94000000000001</v>
      </c>
      <c r="L741" s="3032">
        <f t="shared" si="44"/>
        <v>219.83</v>
      </c>
      <c r="M741" s="3032"/>
    </row>
    <row r="742" spans="1:13">
      <c r="A742" s="3032" t="s">
        <v>3174</v>
      </c>
      <c r="B742" s="3032">
        <v>6</v>
      </c>
      <c r="C742" s="3034">
        <v>-201</v>
      </c>
      <c r="D742" s="3032"/>
      <c r="E742" s="3032">
        <v>83.44</v>
      </c>
      <c r="F742" s="3032"/>
      <c r="G742" s="3032">
        <f t="shared" si="51"/>
        <v>83.44</v>
      </c>
      <c r="H742" s="3032">
        <f>SUM(G742:G753)</f>
        <v>1816.0399999999997</v>
      </c>
      <c r="I742" s="3032"/>
      <c r="J742" s="3032"/>
      <c r="K742" s="3032">
        <f t="shared" si="49"/>
        <v>83.44</v>
      </c>
      <c r="L742" s="3032">
        <f t="shared" si="44"/>
        <v>83.44</v>
      </c>
      <c r="M742" s="3032"/>
    </row>
    <row r="743" spans="1:13">
      <c r="A743" s="3032"/>
      <c r="B743" s="3032"/>
      <c r="C743" s="3034">
        <v>-202</v>
      </c>
      <c r="D743" s="3032"/>
      <c r="E743" s="3032">
        <v>84.16</v>
      </c>
      <c r="F743" s="3032"/>
      <c r="G743" s="3032">
        <f t="shared" si="51"/>
        <v>84.16</v>
      </c>
      <c r="H743" s="3032"/>
      <c r="I743" s="3032"/>
      <c r="J743" s="3032"/>
      <c r="K743" s="3032">
        <f t="shared" si="49"/>
        <v>84.16</v>
      </c>
      <c r="L743" s="3032">
        <f t="shared" si="44"/>
        <v>84.16</v>
      </c>
      <c r="M743" s="3032"/>
    </row>
    <row r="744" spans="1:13">
      <c r="A744" s="3032"/>
      <c r="B744" s="3032"/>
      <c r="C744" s="3034">
        <v>-203</v>
      </c>
      <c r="D744" s="3032"/>
      <c r="E744" s="3032">
        <v>84.16</v>
      </c>
      <c r="F744" s="3032"/>
      <c r="G744" s="3032">
        <f t="shared" si="51"/>
        <v>84.16</v>
      </c>
      <c r="H744" s="3032"/>
      <c r="I744" s="3032"/>
      <c r="J744" s="3032"/>
      <c r="K744" s="3032">
        <f t="shared" si="49"/>
        <v>84.16</v>
      </c>
      <c r="L744" s="3032">
        <f t="shared" si="44"/>
        <v>84.16</v>
      </c>
      <c r="M744" s="3032"/>
    </row>
    <row r="745" spans="1:13">
      <c r="A745" s="3032"/>
      <c r="B745" s="3032"/>
      <c r="C745" s="3034">
        <v>-204</v>
      </c>
      <c r="D745" s="3032"/>
      <c r="E745" s="3032">
        <v>83.44</v>
      </c>
      <c r="F745" s="3032"/>
      <c r="G745" s="3032">
        <f t="shared" si="51"/>
        <v>83.44</v>
      </c>
      <c r="H745" s="3032"/>
      <c r="I745" s="3032"/>
      <c r="J745" s="3032"/>
      <c r="K745" s="3032">
        <f t="shared" si="49"/>
        <v>83.44</v>
      </c>
      <c r="L745" s="3032">
        <f t="shared" si="44"/>
        <v>83.44</v>
      </c>
      <c r="M745" s="3032"/>
    </row>
    <row r="746" spans="1:13">
      <c r="A746" s="3032"/>
      <c r="B746" s="3032"/>
      <c r="C746" s="3034">
        <v>-205</v>
      </c>
      <c r="D746" s="3032"/>
      <c r="E746" s="3032">
        <v>84.16</v>
      </c>
      <c r="F746" s="3032"/>
      <c r="G746" s="3032">
        <f t="shared" si="51"/>
        <v>84.16</v>
      </c>
      <c r="H746" s="3032"/>
      <c r="I746" s="3032"/>
      <c r="J746" s="3032"/>
      <c r="K746" s="3032">
        <f t="shared" ref="K746:K809" si="52">G746-J746</f>
        <v>84.16</v>
      </c>
      <c r="L746" s="3032">
        <f t="shared" si="44"/>
        <v>84.16</v>
      </c>
      <c r="M746" s="3032"/>
    </row>
    <row r="747" spans="1:13">
      <c r="A747" s="3032"/>
      <c r="B747" s="3032"/>
      <c r="C747" s="3034">
        <v>-206</v>
      </c>
      <c r="D747" s="3032"/>
      <c r="E747" s="3032">
        <v>84.16</v>
      </c>
      <c r="F747" s="3032"/>
      <c r="G747" s="3032">
        <f t="shared" si="51"/>
        <v>84.16</v>
      </c>
      <c r="H747" s="3032"/>
      <c r="I747" s="3032"/>
      <c r="J747" s="3032"/>
      <c r="K747" s="3032">
        <f t="shared" si="52"/>
        <v>84.16</v>
      </c>
      <c r="L747" s="3032">
        <f t="shared" si="44"/>
        <v>84.16</v>
      </c>
      <c r="M747" s="3032"/>
    </row>
    <row r="748" spans="1:13">
      <c r="A748" s="3032"/>
      <c r="B748" s="3032"/>
      <c r="C748" s="3034">
        <v>101</v>
      </c>
      <c r="D748" s="3032">
        <v>134.19999999999999</v>
      </c>
      <c r="E748" s="3032">
        <v>84.31</v>
      </c>
      <c r="F748" s="3032"/>
      <c r="G748" s="3032">
        <f t="shared" si="51"/>
        <v>218.51</v>
      </c>
      <c r="H748" s="3032"/>
      <c r="I748" s="3032"/>
      <c r="J748" s="3032">
        <f>J728</f>
        <v>108.67</v>
      </c>
      <c r="K748" s="3032">
        <f t="shared" si="52"/>
        <v>109.83999999999999</v>
      </c>
      <c r="L748" s="3032">
        <f t="shared" si="44"/>
        <v>218.51</v>
      </c>
      <c r="M748" s="3032">
        <f>SUM(J748:J753)</f>
        <v>652.01</v>
      </c>
    </row>
    <row r="749" spans="1:13">
      <c r="A749" s="3032"/>
      <c r="B749" s="3032"/>
      <c r="C749" s="3034">
        <v>102</v>
      </c>
      <c r="D749" s="3032">
        <v>134.19999999999999</v>
      </c>
      <c r="E749" s="3032">
        <v>84.44</v>
      </c>
      <c r="F749" s="3032"/>
      <c r="G749" s="3032">
        <f t="shared" si="51"/>
        <v>218.64</v>
      </c>
      <c r="H749" s="3032"/>
      <c r="I749" s="3032"/>
      <c r="J749" s="3032">
        <f>J748</f>
        <v>108.67</v>
      </c>
      <c r="K749" s="3032">
        <f t="shared" si="52"/>
        <v>109.96999999999998</v>
      </c>
      <c r="L749" s="3032">
        <f t="shared" si="44"/>
        <v>218.64</v>
      </c>
      <c r="M749" s="3032"/>
    </row>
    <row r="750" spans="1:13">
      <c r="A750" s="3032"/>
      <c r="B750" s="3032"/>
      <c r="C750" s="3034">
        <v>103</v>
      </c>
      <c r="D750" s="3032">
        <v>134.38999999999999</v>
      </c>
      <c r="E750" s="3032">
        <v>84.72</v>
      </c>
      <c r="F750" s="3032"/>
      <c r="G750" s="3032">
        <f t="shared" si="51"/>
        <v>219.10999999999999</v>
      </c>
      <c r="H750" s="3032"/>
      <c r="I750" s="3032"/>
      <c r="J750" s="3032">
        <f>J748</f>
        <v>108.67</v>
      </c>
      <c r="K750" s="3032">
        <f t="shared" si="52"/>
        <v>110.43999999999998</v>
      </c>
      <c r="L750" s="3032">
        <f t="shared" si="44"/>
        <v>219.10999999999999</v>
      </c>
      <c r="M750" s="3032"/>
    </row>
    <row r="751" spans="1:13">
      <c r="A751" s="3032"/>
      <c r="B751" s="3032"/>
      <c r="C751" s="3034">
        <v>104</v>
      </c>
      <c r="D751" s="3032">
        <v>134.19999999999999</v>
      </c>
      <c r="E751" s="3032">
        <v>84.31</v>
      </c>
      <c r="F751" s="3032"/>
      <c r="G751" s="3032">
        <f t="shared" si="51"/>
        <v>218.51</v>
      </c>
      <c r="H751" s="3032"/>
      <c r="I751" s="3032"/>
      <c r="J751" s="3032">
        <f>J748</f>
        <v>108.67</v>
      </c>
      <c r="K751" s="3032">
        <f t="shared" si="52"/>
        <v>109.83999999999999</v>
      </c>
      <c r="L751" s="3032">
        <f t="shared" si="44"/>
        <v>218.51</v>
      </c>
      <c r="M751" s="3032"/>
    </row>
    <row r="752" spans="1:13">
      <c r="A752" s="3032"/>
      <c r="B752" s="3032"/>
      <c r="C752" s="3034">
        <v>105</v>
      </c>
      <c r="D752" s="3032">
        <v>134.19999999999999</v>
      </c>
      <c r="E752" s="3032">
        <v>84.44</v>
      </c>
      <c r="F752" s="3032"/>
      <c r="G752" s="3032">
        <f t="shared" si="51"/>
        <v>218.64</v>
      </c>
      <c r="H752" s="3032"/>
      <c r="I752" s="3032"/>
      <c r="J752" s="3032">
        <f>J748</f>
        <v>108.67</v>
      </c>
      <c r="K752" s="3032">
        <f t="shared" si="52"/>
        <v>109.96999999999998</v>
      </c>
      <c r="L752" s="3032">
        <f t="shared" si="44"/>
        <v>218.64</v>
      </c>
      <c r="M752" s="3032"/>
    </row>
    <row r="753" spans="1:13">
      <c r="A753" s="3032"/>
      <c r="B753" s="3032"/>
      <c r="C753" s="3034">
        <v>106</v>
      </c>
      <c r="D753" s="3032">
        <v>134.38999999999999</v>
      </c>
      <c r="E753" s="3032">
        <v>84.72</v>
      </c>
      <c r="F753" s="3032"/>
      <c r="G753" s="3032">
        <f t="shared" si="51"/>
        <v>219.10999999999999</v>
      </c>
      <c r="H753" s="3032"/>
      <c r="I753" s="3032"/>
      <c r="J753" s="3032">
        <f>J733</f>
        <v>108.66</v>
      </c>
      <c r="K753" s="3032">
        <f t="shared" si="52"/>
        <v>110.44999999999999</v>
      </c>
      <c r="L753" s="3032">
        <f t="shared" si="44"/>
        <v>219.10999999999999</v>
      </c>
      <c r="M753" s="3032"/>
    </row>
    <row r="754" spans="1:13">
      <c r="A754" s="3032" t="s">
        <v>3175</v>
      </c>
      <c r="B754" s="3032">
        <v>4</v>
      </c>
      <c r="C754" s="3034">
        <v>-201</v>
      </c>
      <c r="D754" s="3032"/>
      <c r="E754" s="3032">
        <v>83.61</v>
      </c>
      <c r="F754" s="3032"/>
      <c r="G754" s="3032">
        <f t="shared" si="51"/>
        <v>83.61</v>
      </c>
      <c r="H754" s="3032">
        <f>SUM(G754:G761)</f>
        <v>1214.1399999999999</v>
      </c>
      <c r="I754" s="3032"/>
      <c r="J754" s="3032"/>
      <c r="K754" s="3032">
        <f t="shared" si="52"/>
        <v>83.61</v>
      </c>
      <c r="L754" s="3032">
        <f t="shared" si="44"/>
        <v>83.61</v>
      </c>
      <c r="M754" s="3032"/>
    </row>
    <row r="755" spans="1:13">
      <c r="A755" s="3032"/>
      <c r="B755" s="3032"/>
      <c r="C755" s="3034">
        <v>-202</v>
      </c>
      <c r="D755" s="3032"/>
      <c r="E755" s="3032">
        <v>84.33</v>
      </c>
      <c r="F755" s="3032"/>
      <c r="G755" s="3032">
        <f t="shared" si="51"/>
        <v>84.33</v>
      </c>
      <c r="H755" s="3032"/>
      <c r="I755" s="3032"/>
      <c r="J755" s="3032"/>
      <c r="K755" s="3032">
        <f t="shared" si="52"/>
        <v>84.33</v>
      </c>
      <c r="L755" s="3032">
        <f t="shared" si="44"/>
        <v>84.33</v>
      </c>
      <c r="M755" s="3032"/>
    </row>
    <row r="756" spans="1:13">
      <c r="A756" s="3032"/>
      <c r="B756" s="3032"/>
      <c r="C756" s="3034">
        <v>-203</v>
      </c>
      <c r="D756" s="3032"/>
      <c r="E756" s="3032">
        <v>83.61</v>
      </c>
      <c r="F756" s="3032"/>
      <c r="G756" s="3032">
        <f t="shared" si="51"/>
        <v>83.61</v>
      </c>
      <c r="H756" s="3032"/>
      <c r="I756" s="3032"/>
      <c r="J756" s="3032"/>
      <c r="K756" s="3032">
        <f t="shared" si="52"/>
        <v>83.61</v>
      </c>
      <c r="L756" s="3032">
        <f t="shared" si="44"/>
        <v>83.61</v>
      </c>
      <c r="M756" s="3032"/>
    </row>
    <row r="757" spans="1:13">
      <c r="A757" s="3032"/>
      <c r="B757" s="3032"/>
      <c r="C757" s="3034">
        <v>-204</v>
      </c>
      <c r="D757" s="3032"/>
      <c r="E757" s="3032">
        <v>84.33</v>
      </c>
      <c r="F757" s="3032"/>
      <c r="G757" s="3032">
        <f t="shared" si="51"/>
        <v>84.33</v>
      </c>
      <c r="H757" s="3032"/>
      <c r="I757" s="3032"/>
      <c r="J757" s="3032"/>
      <c r="K757" s="3032">
        <f t="shared" si="52"/>
        <v>84.33</v>
      </c>
      <c r="L757" s="3032">
        <f t="shared" si="44"/>
        <v>84.33</v>
      </c>
      <c r="M757" s="3032"/>
    </row>
    <row r="758" spans="1:13">
      <c r="A758" s="3032"/>
      <c r="B758" s="3032"/>
      <c r="C758" s="3034">
        <v>101</v>
      </c>
      <c r="D758" s="3032">
        <v>134.66</v>
      </c>
      <c r="E758" s="3032">
        <v>84.6</v>
      </c>
      <c r="F758" s="3032"/>
      <c r="G758" s="3032">
        <f t="shared" si="51"/>
        <v>219.26</v>
      </c>
      <c r="H758" s="3032"/>
      <c r="I758" s="3032"/>
      <c r="J758" s="3032">
        <f>J738</f>
        <v>108.89</v>
      </c>
      <c r="K758" s="3032">
        <f t="shared" si="52"/>
        <v>110.36999999999999</v>
      </c>
      <c r="L758" s="3032">
        <f t="shared" si="44"/>
        <v>219.26</v>
      </c>
      <c r="M758" s="3032">
        <f>SUM(J758:J761)</f>
        <v>435.56</v>
      </c>
    </row>
    <row r="759" spans="1:13">
      <c r="A759" s="3032"/>
      <c r="B759" s="3032"/>
      <c r="C759" s="3034">
        <v>102</v>
      </c>
      <c r="D759" s="3032">
        <v>134.86000000000001</v>
      </c>
      <c r="E759" s="3032">
        <v>85.01</v>
      </c>
      <c r="F759" s="3032"/>
      <c r="G759" s="3032">
        <f t="shared" si="51"/>
        <v>219.87</v>
      </c>
      <c r="H759" s="3032"/>
      <c r="I759" s="3032"/>
      <c r="J759" s="3032">
        <f>J758</f>
        <v>108.89</v>
      </c>
      <c r="K759" s="3032">
        <f t="shared" si="52"/>
        <v>110.98</v>
      </c>
      <c r="L759" s="3032">
        <f t="shared" si="44"/>
        <v>219.87</v>
      </c>
      <c r="M759" s="3032"/>
    </row>
    <row r="760" spans="1:13">
      <c r="A760" s="3032"/>
      <c r="B760" s="3032"/>
      <c r="C760" s="3034">
        <v>103</v>
      </c>
      <c r="D760" s="3032">
        <v>134.66</v>
      </c>
      <c r="E760" s="3032">
        <v>84.6</v>
      </c>
      <c r="F760" s="3032"/>
      <c r="G760" s="3032">
        <f t="shared" si="51"/>
        <v>219.26</v>
      </c>
      <c r="H760" s="3032"/>
      <c r="I760" s="3032"/>
      <c r="J760" s="3032">
        <f>J758</f>
        <v>108.89</v>
      </c>
      <c r="K760" s="3032">
        <f t="shared" si="52"/>
        <v>110.36999999999999</v>
      </c>
      <c r="L760" s="3032">
        <f t="shared" si="44"/>
        <v>219.26</v>
      </c>
      <c r="M760" s="3032"/>
    </row>
    <row r="761" spans="1:13">
      <c r="A761" s="3032"/>
      <c r="B761" s="3032"/>
      <c r="C761" s="3034">
        <v>104</v>
      </c>
      <c r="D761" s="3032">
        <v>134.86000000000001</v>
      </c>
      <c r="E761" s="3032">
        <v>85.01</v>
      </c>
      <c r="F761" s="3032"/>
      <c r="G761" s="3032">
        <f t="shared" si="51"/>
        <v>219.87</v>
      </c>
      <c r="H761" s="3032"/>
      <c r="I761" s="3032"/>
      <c r="J761" s="3032">
        <f>J758</f>
        <v>108.89</v>
      </c>
      <c r="K761" s="3032">
        <f t="shared" si="52"/>
        <v>110.98</v>
      </c>
      <c r="L761" s="3032">
        <f t="shared" si="44"/>
        <v>219.87</v>
      </c>
      <c r="M761" s="3032"/>
    </row>
    <row r="762" spans="1:13">
      <c r="A762" s="3032" t="s">
        <v>3176</v>
      </c>
      <c r="B762" s="3032">
        <v>4</v>
      </c>
      <c r="C762" s="3034">
        <v>-201</v>
      </c>
      <c r="D762" s="3032"/>
      <c r="E762" s="3032">
        <v>83.62</v>
      </c>
      <c r="F762" s="3032"/>
      <c r="G762" s="3032">
        <f t="shared" si="51"/>
        <v>83.62</v>
      </c>
      <c r="H762" s="3032">
        <f>SUM(G762:G769)</f>
        <v>1214.6199999999999</v>
      </c>
      <c r="I762" s="3032"/>
      <c r="J762" s="3032"/>
      <c r="K762" s="3032">
        <f t="shared" si="52"/>
        <v>83.62</v>
      </c>
      <c r="L762" s="3032">
        <f t="shared" si="44"/>
        <v>83.62</v>
      </c>
      <c r="M762" s="3032"/>
    </row>
    <row r="763" spans="1:13">
      <c r="A763" s="3032"/>
      <c r="B763" s="3032"/>
      <c r="C763" s="3034">
        <v>-202</v>
      </c>
      <c r="D763" s="3032"/>
      <c r="E763" s="3032">
        <v>84.34</v>
      </c>
      <c r="F763" s="3032"/>
      <c r="G763" s="3032">
        <f t="shared" si="51"/>
        <v>84.34</v>
      </c>
      <c r="H763" s="3032"/>
      <c r="I763" s="3032"/>
      <c r="J763" s="3032"/>
      <c r="K763" s="3032">
        <f t="shared" si="52"/>
        <v>84.34</v>
      </c>
      <c r="L763" s="3032">
        <f t="shared" si="44"/>
        <v>84.34</v>
      </c>
      <c r="M763" s="3032"/>
    </row>
    <row r="764" spans="1:13">
      <c r="A764" s="3032"/>
      <c r="B764" s="3032"/>
      <c r="C764" s="3034">
        <v>-203</v>
      </c>
      <c r="D764" s="3032"/>
      <c r="E764" s="3032">
        <v>83.62</v>
      </c>
      <c r="F764" s="3032"/>
      <c r="G764" s="3032">
        <f t="shared" si="51"/>
        <v>83.62</v>
      </c>
      <c r="H764" s="3032"/>
      <c r="I764" s="3032"/>
      <c r="J764" s="3032"/>
      <c r="K764" s="3032">
        <f t="shared" si="52"/>
        <v>83.62</v>
      </c>
      <c r="L764" s="3032">
        <f t="shared" si="44"/>
        <v>83.62</v>
      </c>
      <c r="M764" s="3032"/>
    </row>
    <row r="765" spans="1:13">
      <c r="A765" s="3032"/>
      <c r="B765" s="3032"/>
      <c r="C765" s="3034">
        <v>-204</v>
      </c>
      <c r="D765" s="3032"/>
      <c r="E765" s="3032">
        <v>84.34</v>
      </c>
      <c r="F765" s="3032"/>
      <c r="G765" s="3032">
        <f t="shared" si="51"/>
        <v>84.34</v>
      </c>
      <c r="H765" s="3032"/>
      <c r="I765" s="3032"/>
      <c r="J765" s="3032"/>
      <c r="K765" s="3032">
        <f t="shared" si="52"/>
        <v>84.34</v>
      </c>
      <c r="L765" s="3032">
        <f t="shared" si="44"/>
        <v>84.34</v>
      </c>
      <c r="M765" s="3032"/>
    </row>
    <row r="766" spans="1:13">
      <c r="A766" s="3032"/>
      <c r="B766" s="3032"/>
      <c r="C766" s="3034">
        <v>101</v>
      </c>
      <c r="D766" s="3032">
        <v>134.72999999999999</v>
      </c>
      <c r="E766" s="3032">
        <v>84.64</v>
      </c>
      <c r="F766" s="3032"/>
      <c r="G766" s="3032">
        <f t="shared" si="51"/>
        <v>219.37</v>
      </c>
      <c r="H766" s="3032"/>
      <c r="I766" s="3032"/>
      <c r="J766" s="3032">
        <f>J758</f>
        <v>108.89</v>
      </c>
      <c r="K766" s="3032">
        <f t="shared" si="52"/>
        <v>110.48</v>
      </c>
      <c r="L766" s="3032">
        <f t="shared" si="44"/>
        <v>219.37</v>
      </c>
      <c r="M766" s="3032">
        <f>SUM(J766:J769)</f>
        <v>435.56</v>
      </c>
    </row>
    <row r="767" spans="1:13">
      <c r="A767" s="3032"/>
      <c r="B767" s="3032"/>
      <c r="C767" s="3034">
        <v>102</v>
      </c>
      <c r="D767" s="3032">
        <v>134.91999999999999</v>
      </c>
      <c r="E767" s="3032">
        <v>85.06</v>
      </c>
      <c r="F767" s="3032"/>
      <c r="G767" s="3032">
        <f t="shared" si="51"/>
        <v>219.98</v>
      </c>
      <c r="H767" s="3032"/>
      <c r="I767" s="3032"/>
      <c r="J767" s="3032">
        <f>J766</f>
        <v>108.89</v>
      </c>
      <c r="K767" s="3032">
        <f t="shared" si="52"/>
        <v>111.08999999999999</v>
      </c>
      <c r="L767" s="3032">
        <f t="shared" si="44"/>
        <v>219.98</v>
      </c>
      <c r="M767" s="3032"/>
    </row>
    <row r="768" spans="1:13">
      <c r="A768" s="3032"/>
      <c r="B768" s="3032"/>
      <c r="C768" s="3034">
        <v>103</v>
      </c>
      <c r="D768" s="3032">
        <v>134.72999999999999</v>
      </c>
      <c r="E768" s="3032">
        <v>84.64</v>
      </c>
      <c r="F768" s="3032"/>
      <c r="G768" s="3032">
        <f t="shared" si="51"/>
        <v>219.37</v>
      </c>
      <c r="H768" s="3032"/>
      <c r="I768" s="3032"/>
      <c r="J768" s="3032">
        <f>J766</f>
        <v>108.89</v>
      </c>
      <c r="K768" s="3032">
        <f t="shared" si="52"/>
        <v>110.48</v>
      </c>
      <c r="L768" s="3032">
        <f t="shared" si="44"/>
        <v>219.37</v>
      </c>
      <c r="M768" s="3032"/>
    </row>
    <row r="769" spans="1:13">
      <c r="A769" s="3032"/>
      <c r="B769" s="3032"/>
      <c r="C769" s="3034">
        <v>104</v>
      </c>
      <c r="D769" s="3032">
        <v>134.91999999999999</v>
      </c>
      <c r="E769" s="3032">
        <v>85.06</v>
      </c>
      <c r="F769" s="3032"/>
      <c r="G769" s="3032">
        <f t="shared" si="51"/>
        <v>219.98</v>
      </c>
      <c r="H769" s="3032"/>
      <c r="I769" s="3032"/>
      <c r="J769" s="3032">
        <f>J766</f>
        <v>108.89</v>
      </c>
      <c r="K769" s="3032">
        <f t="shared" si="52"/>
        <v>111.08999999999999</v>
      </c>
      <c r="L769" s="3032">
        <f t="shared" si="44"/>
        <v>219.98</v>
      </c>
      <c r="M769" s="3032"/>
    </row>
    <row r="770" spans="1:13">
      <c r="A770" s="3032" t="s">
        <v>3177</v>
      </c>
      <c r="B770" s="3032">
        <v>6</v>
      </c>
      <c r="C770" s="3034">
        <v>-201</v>
      </c>
      <c r="D770" s="3032"/>
      <c r="E770" s="3032">
        <v>83.45</v>
      </c>
      <c r="F770" s="3032"/>
      <c r="G770" s="3032">
        <f t="shared" si="51"/>
        <v>83.45</v>
      </c>
      <c r="H770" s="3032">
        <f>SUM(G770:G781)</f>
        <v>1816.8799999999999</v>
      </c>
      <c r="I770" s="3032"/>
      <c r="J770" s="3032"/>
      <c r="K770" s="3032">
        <f t="shared" si="52"/>
        <v>83.45</v>
      </c>
      <c r="L770" s="3032">
        <f t="shared" si="44"/>
        <v>83.45</v>
      </c>
      <c r="M770" s="3032"/>
    </row>
    <row r="771" spans="1:13">
      <c r="A771" s="3032"/>
      <c r="B771" s="3032"/>
      <c r="C771" s="3034">
        <v>-202</v>
      </c>
      <c r="D771" s="3032"/>
      <c r="E771" s="3032">
        <v>84.17</v>
      </c>
      <c r="F771" s="3032"/>
      <c r="G771" s="3032">
        <f t="shared" si="51"/>
        <v>84.17</v>
      </c>
      <c r="H771" s="3032"/>
      <c r="I771" s="3032"/>
      <c r="J771" s="3032"/>
      <c r="K771" s="3032">
        <f t="shared" si="52"/>
        <v>84.17</v>
      </c>
      <c r="L771" s="3032">
        <f t="shared" si="44"/>
        <v>84.17</v>
      </c>
      <c r="M771" s="3032"/>
    </row>
    <row r="772" spans="1:13">
      <c r="A772" s="3032"/>
      <c r="B772" s="3032"/>
      <c r="C772" s="3034">
        <v>-203</v>
      </c>
      <c r="D772" s="3032"/>
      <c r="E772" s="3032">
        <v>84.17</v>
      </c>
      <c r="F772" s="3032"/>
      <c r="G772" s="3032">
        <f t="shared" si="51"/>
        <v>84.17</v>
      </c>
      <c r="H772" s="3032"/>
      <c r="I772" s="3032"/>
      <c r="J772" s="3032"/>
      <c r="K772" s="3032">
        <f t="shared" si="52"/>
        <v>84.17</v>
      </c>
      <c r="L772" s="3032">
        <f t="shared" si="44"/>
        <v>84.17</v>
      </c>
      <c r="M772" s="3032"/>
    </row>
    <row r="773" spans="1:13">
      <c r="A773" s="3032"/>
      <c r="B773" s="3032"/>
      <c r="C773" s="3034">
        <v>-204</v>
      </c>
      <c r="D773" s="3032"/>
      <c r="E773" s="3032">
        <v>83.45</v>
      </c>
      <c r="F773" s="3032"/>
      <c r="G773" s="3032">
        <f t="shared" si="51"/>
        <v>83.45</v>
      </c>
      <c r="H773" s="3032"/>
      <c r="I773" s="3032"/>
      <c r="J773" s="3032"/>
      <c r="K773" s="3032">
        <f t="shared" si="52"/>
        <v>83.45</v>
      </c>
      <c r="L773" s="3032">
        <f t="shared" si="44"/>
        <v>83.45</v>
      </c>
      <c r="M773" s="3032"/>
    </row>
    <row r="774" spans="1:13">
      <c r="A774" s="3032"/>
      <c r="B774" s="3032"/>
      <c r="C774" s="3034">
        <v>-205</v>
      </c>
      <c r="D774" s="3032"/>
      <c r="E774" s="3032">
        <v>84.17</v>
      </c>
      <c r="F774" s="3032"/>
      <c r="G774" s="3032">
        <f t="shared" si="51"/>
        <v>84.17</v>
      </c>
      <c r="H774" s="3032"/>
      <c r="I774" s="3032"/>
      <c r="J774" s="3032"/>
      <c r="K774" s="3032">
        <f t="shared" si="52"/>
        <v>84.17</v>
      </c>
      <c r="L774" s="3032">
        <f t="shared" si="44"/>
        <v>84.17</v>
      </c>
      <c r="M774" s="3032"/>
    </row>
    <row r="775" spans="1:13">
      <c r="A775" s="3032"/>
      <c r="B775" s="3032"/>
      <c r="C775" s="3034">
        <v>-206</v>
      </c>
      <c r="D775" s="3032"/>
      <c r="E775" s="3032">
        <v>84.17</v>
      </c>
      <c r="F775" s="3032"/>
      <c r="G775" s="3032">
        <f t="shared" si="51"/>
        <v>84.17</v>
      </c>
      <c r="H775" s="3032"/>
      <c r="I775" s="3032"/>
      <c r="J775" s="3032"/>
      <c r="K775" s="3032">
        <f t="shared" si="52"/>
        <v>84.17</v>
      </c>
      <c r="L775" s="3032">
        <f t="shared" si="44"/>
        <v>84.17</v>
      </c>
      <c r="M775" s="3032"/>
    </row>
    <row r="776" spans="1:13">
      <c r="A776" s="3032"/>
      <c r="B776" s="3032"/>
      <c r="C776" s="3034">
        <v>101</v>
      </c>
      <c r="D776" s="3032">
        <v>134.29</v>
      </c>
      <c r="E776" s="3032">
        <v>84.35</v>
      </c>
      <c r="F776" s="3032"/>
      <c r="G776" s="3032">
        <f t="shared" si="51"/>
        <v>218.64</v>
      </c>
      <c r="H776" s="3032"/>
      <c r="I776" s="3032"/>
      <c r="J776" s="3032">
        <f>J748</f>
        <v>108.67</v>
      </c>
      <c r="K776" s="3032">
        <f t="shared" si="52"/>
        <v>109.96999999999998</v>
      </c>
      <c r="L776" s="3032">
        <f t="shared" si="44"/>
        <v>218.64</v>
      </c>
      <c r="M776" s="3032">
        <f>SUM(J776:J781)</f>
        <v>652.01</v>
      </c>
    </row>
    <row r="777" spans="1:13">
      <c r="A777" s="3032"/>
      <c r="B777" s="3032"/>
      <c r="C777" s="3034">
        <v>102</v>
      </c>
      <c r="D777" s="3032">
        <v>134.28</v>
      </c>
      <c r="E777" s="3032">
        <v>84.49</v>
      </c>
      <c r="F777" s="3032"/>
      <c r="G777" s="3032">
        <f t="shared" si="51"/>
        <v>218.76999999999998</v>
      </c>
      <c r="H777" s="3032"/>
      <c r="I777" s="3032"/>
      <c r="J777" s="3032">
        <f>J776</f>
        <v>108.67</v>
      </c>
      <c r="K777" s="3032">
        <f t="shared" si="52"/>
        <v>110.09999999999998</v>
      </c>
      <c r="L777" s="3032">
        <f t="shared" si="44"/>
        <v>218.76999999999998</v>
      </c>
      <c r="M777" s="3032"/>
    </row>
    <row r="778" spans="1:13">
      <c r="A778" s="3032"/>
      <c r="B778" s="3032"/>
      <c r="C778" s="3034">
        <v>103</v>
      </c>
      <c r="D778" s="3032">
        <v>134.47</v>
      </c>
      <c r="E778" s="3032">
        <v>84.77</v>
      </c>
      <c r="F778" s="3032"/>
      <c r="G778" s="3032">
        <f t="shared" si="51"/>
        <v>219.24</v>
      </c>
      <c r="H778" s="3032"/>
      <c r="I778" s="3032"/>
      <c r="J778" s="3032">
        <f>J776</f>
        <v>108.67</v>
      </c>
      <c r="K778" s="3032">
        <f t="shared" si="52"/>
        <v>110.57000000000001</v>
      </c>
      <c r="L778" s="3032">
        <f t="shared" si="44"/>
        <v>219.24</v>
      </c>
      <c r="M778" s="3032"/>
    </row>
    <row r="779" spans="1:13">
      <c r="A779" s="3032"/>
      <c r="B779" s="3032"/>
      <c r="C779" s="3034">
        <v>104</v>
      </c>
      <c r="D779" s="3032">
        <v>134.29</v>
      </c>
      <c r="E779" s="3032">
        <v>84.35</v>
      </c>
      <c r="F779" s="3032"/>
      <c r="G779" s="3032">
        <f t="shared" si="51"/>
        <v>218.64</v>
      </c>
      <c r="H779" s="3032"/>
      <c r="I779" s="3032"/>
      <c r="J779" s="3032">
        <f>J776</f>
        <v>108.67</v>
      </c>
      <c r="K779" s="3032">
        <f t="shared" si="52"/>
        <v>109.96999999999998</v>
      </c>
      <c r="L779" s="3032">
        <f t="shared" si="44"/>
        <v>218.64</v>
      </c>
      <c r="M779" s="3032"/>
    </row>
    <row r="780" spans="1:13">
      <c r="A780" s="3032"/>
      <c r="B780" s="3032"/>
      <c r="C780" s="3034">
        <v>105</v>
      </c>
      <c r="D780" s="3032">
        <v>134.28</v>
      </c>
      <c r="E780" s="3032">
        <v>84.49</v>
      </c>
      <c r="F780" s="3032"/>
      <c r="G780" s="3032">
        <f t="shared" si="51"/>
        <v>218.76999999999998</v>
      </c>
      <c r="H780" s="3032"/>
      <c r="I780" s="3032"/>
      <c r="J780" s="3032">
        <f>J776</f>
        <v>108.67</v>
      </c>
      <c r="K780" s="3032">
        <f t="shared" si="52"/>
        <v>110.09999999999998</v>
      </c>
      <c r="L780" s="3032">
        <f t="shared" si="44"/>
        <v>218.76999999999998</v>
      </c>
      <c r="M780" s="3032"/>
    </row>
    <row r="781" spans="1:13">
      <c r="A781" s="3032"/>
      <c r="B781" s="3032"/>
      <c r="C781" s="3034">
        <v>106</v>
      </c>
      <c r="D781" s="3032">
        <v>134.47</v>
      </c>
      <c r="E781" s="3032">
        <v>84.77</v>
      </c>
      <c r="F781" s="3032"/>
      <c r="G781" s="3032">
        <f t="shared" si="51"/>
        <v>219.24</v>
      </c>
      <c r="H781" s="3032"/>
      <c r="I781" s="3032"/>
      <c r="J781" s="3032">
        <v>108.66</v>
      </c>
      <c r="K781" s="3032">
        <f t="shared" si="52"/>
        <v>110.58000000000001</v>
      </c>
      <c r="L781" s="3032">
        <f t="shared" si="44"/>
        <v>219.24</v>
      </c>
      <c r="M781" s="3032"/>
    </row>
    <row r="782" spans="1:13">
      <c r="A782" s="3032" t="s">
        <v>3178</v>
      </c>
      <c r="B782" s="3032">
        <v>4</v>
      </c>
      <c r="C782" s="3034">
        <v>-201</v>
      </c>
      <c r="D782" s="3032"/>
      <c r="E782" s="3032">
        <v>83.62</v>
      </c>
      <c r="F782" s="3032"/>
      <c r="G782" s="3032">
        <f t="shared" si="51"/>
        <v>83.62</v>
      </c>
      <c r="H782" s="3032">
        <f>SUM(G782:G789)</f>
        <v>1214.6199999999999</v>
      </c>
      <c r="I782" s="3032"/>
      <c r="J782" s="3032"/>
      <c r="K782" s="3032">
        <f t="shared" si="52"/>
        <v>83.62</v>
      </c>
      <c r="L782" s="3032">
        <f t="shared" ref="L782:L841" si="53">J782+K782</f>
        <v>83.62</v>
      </c>
      <c r="M782" s="3032"/>
    </row>
    <row r="783" spans="1:13">
      <c r="A783" s="3032"/>
      <c r="B783" s="3032"/>
      <c r="C783" s="3034">
        <v>-202</v>
      </c>
      <c r="D783" s="3032"/>
      <c r="E783" s="3032">
        <v>84.34</v>
      </c>
      <c r="F783" s="3032"/>
      <c r="G783" s="3032">
        <f t="shared" si="51"/>
        <v>84.34</v>
      </c>
      <c r="H783" s="3032"/>
      <c r="I783" s="3032"/>
      <c r="J783" s="3032"/>
      <c r="K783" s="3032">
        <f t="shared" si="52"/>
        <v>84.34</v>
      </c>
      <c r="L783" s="3032">
        <f t="shared" si="53"/>
        <v>84.34</v>
      </c>
      <c r="M783" s="3032"/>
    </row>
    <row r="784" spans="1:13">
      <c r="A784" s="3032"/>
      <c r="B784" s="3032"/>
      <c r="C784" s="3034">
        <v>-203</v>
      </c>
      <c r="D784" s="3032"/>
      <c r="E784" s="3032">
        <v>83.62</v>
      </c>
      <c r="F784" s="3032"/>
      <c r="G784" s="3032">
        <f t="shared" si="51"/>
        <v>83.62</v>
      </c>
      <c r="H784" s="3032"/>
      <c r="I784" s="3032"/>
      <c r="J784" s="3032"/>
      <c r="K784" s="3032">
        <f t="shared" si="52"/>
        <v>83.62</v>
      </c>
      <c r="L784" s="3032">
        <f t="shared" si="53"/>
        <v>83.62</v>
      </c>
      <c r="M784" s="3032"/>
    </row>
    <row r="785" spans="1:13">
      <c r="A785" s="3032"/>
      <c r="B785" s="3032"/>
      <c r="C785" s="3034">
        <v>-204</v>
      </c>
      <c r="D785" s="3032"/>
      <c r="E785" s="3032">
        <v>84.34</v>
      </c>
      <c r="F785" s="3032"/>
      <c r="G785" s="3032">
        <f t="shared" si="51"/>
        <v>84.34</v>
      </c>
      <c r="H785" s="3032"/>
      <c r="I785" s="3032"/>
      <c r="J785" s="3032"/>
      <c r="K785" s="3032">
        <f t="shared" si="52"/>
        <v>84.34</v>
      </c>
      <c r="L785" s="3032">
        <f t="shared" si="53"/>
        <v>84.34</v>
      </c>
      <c r="M785" s="3032"/>
    </row>
    <row r="786" spans="1:13">
      <c r="A786" s="3032"/>
      <c r="B786" s="3032"/>
      <c r="C786" s="3034">
        <v>101</v>
      </c>
      <c r="D786" s="3032">
        <v>134.72999999999999</v>
      </c>
      <c r="E786" s="3032">
        <v>84.64</v>
      </c>
      <c r="F786" s="3032"/>
      <c r="G786" s="3032">
        <f t="shared" si="51"/>
        <v>219.37</v>
      </c>
      <c r="H786" s="3032"/>
      <c r="I786" s="3032"/>
      <c r="J786" s="3032">
        <f>J766</f>
        <v>108.89</v>
      </c>
      <c r="K786" s="3032">
        <f t="shared" si="52"/>
        <v>110.48</v>
      </c>
      <c r="L786" s="3032">
        <f t="shared" si="53"/>
        <v>219.37</v>
      </c>
      <c r="M786" s="3032">
        <f>SUM(J786:J789)</f>
        <v>435.56</v>
      </c>
    </row>
    <row r="787" spans="1:13">
      <c r="A787" s="3032"/>
      <c r="B787" s="3032"/>
      <c r="C787" s="3034">
        <v>102</v>
      </c>
      <c r="D787" s="3032">
        <v>134.91999999999999</v>
      </c>
      <c r="E787" s="3032">
        <v>85.06</v>
      </c>
      <c r="F787" s="3032"/>
      <c r="G787" s="3032">
        <f t="shared" si="51"/>
        <v>219.98</v>
      </c>
      <c r="H787" s="3032"/>
      <c r="I787" s="3032"/>
      <c r="J787" s="3032">
        <f>J786</f>
        <v>108.89</v>
      </c>
      <c r="K787" s="3032">
        <f t="shared" si="52"/>
        <v>111.08999999999999</v>
      </c>
      <c r="L787" s="3032">
        <f t="shared" si="53"/>
        <v>219.98</v>
      </c>
      <c r="M787" s="3032"/>
    </row>
    <row r="788" spans="1:13">
      <c r="A788" s="3032"/>
      <c r="B788" s="3032"/>
      <c r="C788" s="3034">
        <v>103</v>
      </c>
      <c r="D788" s="3032">
        <v>134.72999999999999</v>
      </c>
      <c r="E788" s="3032">
        <v>84.64</v>
      </c>
      <c r="F788" s="3032"/>
      <c r="G788" s="3032">
        <f t="shared" si="51"/>
        <v>219.37</v>
      </c>
      <c r="H788" s="3032"/>
      <c r="I788" s="3032"/>
      <c r="J788" s="3032">
        <f>J786</f>
        <v>108.89</v>
      </c>
      <c r="K788" s="3032">
        <f t="shared" si="52"/>
        <v>110.48</v>
      </c>
      <c r="L788" s="3032">
        <f t="shared" si="53"/>
        <v>219.37</v>
      </c>
      <c r="M788" s="3032"/>
    </row>
    <row r="789" spans="1:13">
      <c r="A789" s="3032"/>
      <c r="B789" s="3032"/>
      <c r="C789" s="3034">
        <v>104</v>
      </c>
      <c r="D789" s="3032">
        <v>134.91999999999999</v>
      </c>
      <c r="E789" s="3032">
        <v>85.06</v>
      </c>
      <c r="F789" s="3032"/>
      <c r="G789" s="3032">
        <f t="shared" si="51"/>
        <v>219.98</v>
      </c>
      <c r="H789" s="3032"/>
      <c r="I789" s="3032"/>
      <c r="J789" s="3032">
        <f>J786</f>
        <v>108.89</v>
      </c>
      <c r="K789" s="3032">
        <f t="shared" si="52"/>
        <v>111.08999999999999</v>
      </c>
      <c r="L789" s="3032">
        <f t="shared" si="53"/>
        <v>219.98</v>
      </c>
      <c r="M789" s="3032"/>
    </row>
    <row r="790" spans="1:13">
      <c r="A790" s="3032" t="s">
        <v>3179</v>
      </c>
      <c r="B790" s="3032">
        <v>6</v>
      </c>
      <c r="C790" s="3034">
        <v>-201</v>
      </c>
      <c r="D790" s="3032"/>
      <c r="E790" s="3032">
        <v>83.45</v>
      </c>
      <c r="F790" s="3032"/>
      <c r="G790" s="3032">
        <f t="shared" si="51"/>
        <v>83.45</v>
      </c>
      <c r="H790" s="3032">
        <f>SUM(G790:G801)</f>
        <v>1816.8799999999999</v>
      </c>
      <c r="I790" s="3032"/>
      <c r="J790" s="3032"/>
      <c r="K790" s="3032">
        <f t="shared" si="52"/>
        <v>83.45</v>
      </c>
      <c r="L790" s="3032">
        <f t="shared" si="53"/>
        <v>83.45</v>
      </c>
      <c r="M790" s="3032"/>
    </row>
    <row r="791" spans="1:13">
      <c r="A791" s="3032"/>
      <c r="B791" s="3032"/>
      <c r="C791" s="3034">
        <v>-202</v>
      </c>
      <c r="D791" s="3032"/>
      <c r="E791" s="3032">
        <v>84.17</v>
      </c>
      <c r="F791" s="3032"/>
      <c r="G791" s="3032">
        <f t="shared" si="51"/>
        <v>84.17</v>
      </c>
      <c r="H791" s="3032"/>
      <c r="I791" s="3032"/>
      <c r="J791" s="3032"/>
      <c r="K791" s="3032">
        <f t="shared" si="52"/>
        <v>84.17</v>
      </c>
      <c r="L791" s="3032">
        <f t="shared" si="53"/>
        <v>84.17</v>
      </c>
      <c r="M791" s="3032"/>
    </row>
    <row r="792" spans="1:13">
      <c r="A792" s="3032"/>
      <c r="B792" s="3032"/>
      <c r="C792" s="3034">
        <v>-203</v>
      </c>
      <c r="D792" s="3032"/>
      <c r="E792" s="3032">
        <v>84.17</v>
      </c>
      <c r="F792" s="3032"/>
      <c r="G792" s="3032">
        <f t="shared" si="51"/>
        <v>84.17</v>
      </c>
      <c r="H792" s="3032"/>
      <c r="I792" s="3032"/>
      <c r="J792" s="3032"/>
      <c r="K792" s="3032">
        <f t="shared" si="52"/>
        <v>84.17</v>
      </c>
      <c r="L792" s="3032">
        <f t="shared" si="53"/>
        <v>84.17</v>
      </c>
      <c r="M792" s="3032"/>
    </row>
    <row r="793" spans="1:13">
      <c r="A793" s="3032"/>
      <c r="B793" s="3032"/>
      <c r="C793" s="3034">
        <v>-204</v>
      </c>
      <c r="D793" s="3032"/>
      <c r="E793" s="3032">
        <v>83.45</v>
      </c>
      <c r="F793" s="3032"/>
      <c r="G793" s="3032">
        <f t="shared" si="51"/>
        <v>83.45</v>
      </c>
      <c r="H793" s="3032"/>
      <c r="I793" s="3032"/>
      <c r="J793" s="3032"/>
      <c r="K793" s="3032">
        <f t="shared" si="52"/>
        <v>83.45</v>
      </c>
      <c r="L793" s="3032">
        <f t="shared" si="53"/>
        <v>83.45</v>
      </c>
      <c r="M793" s="3032"/>
    </row>
    <row r="794" spans="1:13">
      <c r="A794" s="3032"/>
      <c r="B794" s="3032"/>
      <c r="C794" s="3034">
        <v>-205</v>
      </c>
      <c r="D794" s="3032"/>
      <c r="E794" s="3032">
        <v>84.17</v>
      </c>
      <c r="F794" s="3032"/>
      <c r="G794" s="3032">
        <f t="shared" si="51"/>
        <v>84.17</v>
      </c>
      <c r="H794" s="3032"/>
      <c r="I794" s="3032"/>
      <c r="J794" s="3032"/>
      <c r="K794" s="3032">
        <f t="shared" si="52"/>
        <v>84.17</v>
      </c>
      <c r="L794" s="3032">
        <f t="shared" si="53"/>
        <v>84.17</v>
      </c>
      <c r="M794" s="3032"/>
    </row>
    <row r="795" spans="1:13">
      <c r="A795" s="3032"/>
      <c r="B795" s="3032"/>
      <c r="C795" s="3034">
        <v>-206</v>
      </c>
      <c r="D795" s="3032"/>
      <c r="E795" s="3032">
        <v>84.17</v>
      </c>
      <c r="F795" s="3032"/>
      <c r="G795" s="3032">
        <f t="shared" si="51"/>
        <v>84.17</v>
      </c>
      <c r="H795" s="3032"/>
      <c r="I795" s="3032"/>
      <c r="J795" s="3032"/>
      <c r="K795" s="3032">
        <f t="shared" si="52"/>
        <v>84.17</v>
      </c>
      <c r="L795" s="3032">
        <f t="shared" si="53"/>
        <v>84.17</v>
      </c>
      <c r="M795" s="3032"/>
    </row>
    <row r="796" spans="1:13">
      <c r="A796" s="3032"/>
      <c r="B796" s="3032"/>
      <c r="C796" s="3034">
        <v>101</v>
      </c>
      <c r="D796" s="3032">
        <v>134.29</v>
      </c>
      <c r="E796" s="3032">
        <v>84.35</v>
      </c>
      <c r="F796" s="3032"/>
      <c r="G796" s="3032">
        <f t="shared" si="51"/>
        <v>218.64</v>
      </c>
      <c r="H796" s="3032"/>
      <c r="I796" s="3032"/>
      <c r="J796" s="3032">
        <f>J776</f>
        <v>108.67</v>
      </c>
      <c r="K796" s="3032">
        <f t="shared" si="52"/>
        <v>109.96999999999998</v>
      </c>
      <c r="L796" s="3032">
        <f t="shared" si="53"/>
        <v>218.64</v>
      </c>
      <c r="M796" s="3032">
        <f>SUM(J796:J801)</f>
        <v>652.01</v>
      </c>
    </row>
    <row r="797" spans="1:13">
      <c r="A797" s="3032"/>
      <c r="B797" s="3032"/>
      <c r="C797" s="3034">
        <v>102</v>
      </c>
      <c r="D797" s="3032">
        <v>134.28</v>
      </c>
      <c r="E797" s="3032">
        <v>84.49</v>
      </c>
      <c r="F797" s="3032"/>
      <c r="G797" s="3032">
        <f t="shared" si="51"/>
        <v>218.76999999999998</v>
      </c>
      <c r="H797" s="3032"/>
      <c r="I797" s="3032"/>
      <c r="J797" s="3032">
        <f>J796</f>
        <v>108.67</v>
      </c>
      <c r="K797" s="3032">
        <f t="shared" si="52"/>
        <v>110.09999999999998</v>
      </c>
      <c r="L797" s="3032">
        <f t="shared" si="53"/>
        <v>218.76999999999998</v>
      </c>
      <c r="M797" s="3032"/>
    </row>
    <row r="798" spans="1:13">
      <c r="A798" s="3032"/>
      <c r="B798" s="3032"/>
      <c r="C798" s="3034">
        <v>103</v>
      </c>
      <c r="D798" s="3032">
        <v>134.47</v>
      </c>
      <c r="E798" s="3032">
        <v>84.77</v>
      </c>
      <c r="F798" s="3032"/>
      <c r="G798" s="3032">
        <f t="shared" si="51"/>
        <v>219.24</v>
      </c>
      <c r="H798" s="3032"/>
      <c r="I798" s="3032"/>
      <c r="J798" s="3032">
        <f>J796</f>
        <v>108.67</v>
      </c>
      <c r="K798" s="3032">
        <f t="shared" si="52"/>
        <v>110.57000000000001</v>
      </c>
      <c r="L798" s="3032">
        <f t="shared" si="53"/>
        <v>219.24</v>
      </c>
      <c r="M798" s="3032"/>
    </row>
    <row r="799" spans="1:13">
      <c r="A799" s="3032"/>
      <c r="B799" s="3032"/>
      <c r="C799" s="3034">
        <v>104</v>
      </c>
      <c r="D799" s="3032">
        <v>134.29</v>
      </c>
      <c r="E799" s="3032">
        <v>84.35</v>
      </c>
      <c r="F799" s="3032"/>
      <c r="G799" s="3032">
        <f t="shared" si="51"/>
        <v>218.64</v>
      </c>
      <c r="H799" s="3032"/>
      <c r="I799" s="3032"/>
      <c r="J799" s="3032">
        <f>J796</f>
        <v>108.67</v>
      </c>
      <c r="K799" s="3032">
        <f t="shared" si="52"/>
        <v>109.96999999999998</v>
      </c>
      <c r="L799" s="3032">
        <f t="shared" si="53"/>
        <v>218.64</v>
      </c>
      <c r="M799" s="3032"/>
    </row>
    <row r="800" spans="1:13">
      <c r="A800" s="3032"/>
      <c r="B800" s="3032"/>
      <c r="C800" s="3034">
        <v>105</v>
      </c>
      <c r="D800" s="3032">
        <v>134.28</v>
      </c>
      <c r="E800" s="3032">
        <v>84.49</v>
      </c>
      <c r="F800" s="3032"/>
      <c r="G800" s="3032">
        <f t="shared" si="51"/>
        <v>218.76999999999998</v>
      </c>
      <c r="H800" s="3032"/>
      <c r="I800" s="3032"/>
      <c r="J800" s="3032">
        <f>J796</f>
        <v>108.67</v>
      </c>
      <c r="K800" s="3032">
        <f t="shared" si="52"/>
        <v>110.09999999999998</v>
      </c>
      <c r="L800" s="3032">
        <f t="shared" si="53"/>
        <v>218.76999999999998</v>
      </c>
      <c r="M800" s="3032"/>
    </row>
    <row r="801" spans="1:13">
      <c r="A801" s="3032"/>
      <c r="B801" s="3032"/>
      <c r="C801" s="3034">
        <v>106</v>
      </c>
      <c r="D801" s="3032">
        <v>134.47</v>
      </c>
      <c r="E801" s="3032">
        <v>84.77</v>
      </c>
      <c r="F801" s="3032"/>
      <c r="G801" s="3032">
        <f t="shared" si="51"/>
        <v>219.24</v>
      </c>
      <c r="H801" s="3032"/>
      <c r="I801" s="3032"/>
      <c r="J801" s="3032">
        <f>J781</f>
        <v>108.66</v>
      </c>
      <c r="K801" s="3032">
        <f t="shared" si="52"/>
        <v>110.58000000000001</v>
      </c>
      <c r="L801" s="3032">
        <f t="shared" si="53"/>
        <v>219.24</v>
      </c>
      <c r="M801" s="3032"/>
    </row>
    <row r="802" spans="1:13">
      <c r="A802" s="3032" t="s">
        <v>3180</v>
      </c>
      <c r="B802" s="3032">
        <v>6</v>
      </c>
      <c r="C802" s="3034">
        <v>-201</v>
      </c>
      <c r="D802" s="3032"/>
      <c r="E802" s="3032">
        <v>83.45</v>
      </c>
      <c r="F802" s="3032"/>
      <c r="G802" s="3032">
        <f t="shared" si="51"/>
        <v>83.45</v>
      </c>
      <c r="H802" s="3032">
        <f>SUM(G802:G813)</f>
        <v>1816.8799999999999</v>
      </c>
      <c r="I802" s="3032"/>
      <c r="J802" s="3032"/>
      <c r="K802" s="3032">
        <f t="shared" si="52"/>
        <v>83.45</v>
      </c>
      <c r="L802" s="3032">
        <f t="shared" si="53"/>
        <v>83.45</v>
      </c>
      <c r="M802" s="3032"/>
    </row>
    <row r="803" spans="1:13">
      <c r="A803" s="3032"/>
      <c r="B803" s="3032"/>
      <c r="C803" s="3034">
        <v>-202</v>
      </c>
      <c r="D803" s="3032"/>
      <c r="E803" s="3032">
        <v>84.17</v>
      </c>
      <c r="F803" s="3032"/>
      <c r="G803" s="3032">
        <f t="shared" ref="G803:G841" si="54">SUM(D803:F803)</f>
        <v>84.17</v>
      </c>
      <c r="H803" s="3032"/>
      <c r="I803" s="3032"/>
      <c r="J803" s="3032"/>
      <c r="K803" s="3032">
        <f t="shared" si="52"/>
        <v>84.17</v>
      </c>
      <c r="L803" s="3032">
        <f t="shared" si="53"/>
        <v>84.17</v>
      </c>
      <c r="M803" s="3032"/>
    </row>
    <row r="804" spans="1:13">
      <c r="A804" s="3032"/>
      <c r="B804" s="3032"/>
      <c r="C804" s="3034">
        <v>-203</v>
      </c>
      <c r="D804" s="3032"/>
      <c r="E804" s="3032">
        <v>84.17</v>
      </c>
      <c r="F804" s="3032"/>
      <c r="G804" s="3032">
        <f t="shared" si="54"/>
        <v>84.17</v>
      </c>
      <c r="H804" s="3032"/>
      <c r="I804" s="3032"/>
      <c r="J804" s="3032"/>
      <c r="K804" s="3032">
        <f t="shared" si="52"/>
        <v>84.17</v>
      </c>
      <c r="L804" s="3032">
        <f t="shared" si="53"/>
        <v>84.17</v>
      </c>
      <c r="M804" s="3032"/>
    </row>
    <row r="805" spans="1:13">
      <c r="A805" s="3032"/>
      <c r="B805" s="3032"/>
      <c r="C805" s="3034">
        <v>-204</v>
      </c>
      <c r="D805" s="3032"/>
      <c r="E805" s="3032">
        <v>83.45</v>
      </c>
      <c r="F805" s="3032"/>
      <c r="G805" s="3032">
        <f t="shared" si="54"/>
        <v>83.45</v>
      </c>
      <c r="H805" s="3032"/>
      <c r="I805" s="3032"/>
      <c r="J805" s="3032"/>
      <c r="K805" s="3032">
        <f t="shared" si="52"/>
        <v>83.45</v>
      </c>
      <c r="L805" s="3032">
        <f t="shared" si="53"/>
        <v>83.45</v>
      </c>
      <c r="M805" s="3032"/>
    </row>
    <row r="806" spans="1:13">
      <c r="A806" s="3032"/>
      <c r="B806" s="3032"/>
      <c r="C806" s="3034">
        <v>-205</v>
      </c>
      <c r="D806" s="3032"/>
      <c r="E806" s="3032">
        <v>84.17</v>
      </c>
      <c r="F806" s="3032"/>
      <c r="G806" s="3032">
        <f t="shared" si="54"/>
        <v>84.17</v>
      </c>
      <c r="H806" s="3032"/>
      <c r="I806" s="3032"/>
      <c r="J806" s="3032"/>
      <c r="K806" s="3032">
        <f t="shared" si="52"/>
        <v>84.17</v>
      </c>
      <c r="L806" s="3032">
        <f t="shared" si="53"/>
        <v>84.17</v>
      </c>
      <c r="M806" s="3032"/>
    </row>
    <row r="807" spans="1:13">
      <c r="A807" s="3032"/>
      <c r="B807" s="3032"/>
      <c r="C807" s="3034">
        <v>-206</v>
      </c>
      <c r="D807" s="3032"/>
      <c r="E807" s="3032">
        <v>84.17</v>
      </c>
      <c r="F807" s="3032"/>
      <c r="G807" s="3032">
        <f t="shared" si="54"/>
        <v>84.17</v>
      </c>
      <c r="H807" s="3032"/>
      <c r="I807" s="3032"/>
      <c r="J807" s="3032"/>
      <c r="K807" s="3032">
        <f t="shared" si="52"/>
        <v>84.17</v>
      </c>
      <c r="L807" s="3032">
        <f t="shared" si="53"/>
        <v>84.17</v>
      </c>
      <c r="M807" s="3032"/>
    </row>
    <row r="808" spans="1:13">
      <c r="A808" s="3032"/>
      <c r="B808" s="3032"/>
      <c r="C808" s="3034">
        <v>101</v>
      </c>
      <c r="D808" s="3032">
        <v>134.29</v>
      </c>
      <c r="E808" s="3032">
        <v>84.35</v>
      </c>
      <c r="F808" s="3032"/>
      <c r="G808" s="3032">
        <f t="shared" si="54"/>
        <v>218.64</v>
      </c>
      <c r="H808" s="3032"/>
      <c r="I808" s="3032"/>
      <c r="J808" s="3032">
        <f>J796</f>
        <v>108.67</v>
      </c>
      <c r="K808" s="3032">
        <f t="shared" si="52"/>
        <v>109.96999999999998</v>
      </c>
      <c r="L808" s="3032">
        <f t="shared" si="53"/>
        <v>218.64</v>
      </c>
      <c r="M808" s="3032">
        <f>SUM(J808:J813)</f>
        <v>652.01</v>
      </c>
    </row>
    <row r="809" spans="1:13">
      <c r="A809" s="3032"/>
      <c r="B809" s="3032"/>
      <c r="C809" s="3034">
        <v>102</v>
      </c>
      <c r="D809" s="3032">
        <v>134.28</v>
      </c>
      <c r="E809" s="3032">
        <v>84.49</v>
      </c>
      <c r="F809" s="3032"/>
      <c r="G809" s="3032">
        <f t="shared" si="54"/>
        <v>218.76999999999998</v>
      </c>
      <c r="H809" s="3032"/>
      <c r="I809" s="3032"/>
      <c r="J809" s="3032">
        <f>J808</f>
        <v>108.67</v>
      </c>
      <c r="K809" s="3032">
        <f t="shared" si="52"/>
        <v>110.09999999999998</v>
      </c>
      <c r="L809" s="3032">
        <f t="shared" si="53"/>
        <v>218.76999999999998</v>
      </c>
      <c r="M809" s="3032"/>
    </row>
    <row r="810" spans="1:13">
      <c r="A810" s="3032"/>
      <c r="B810" s="3032"/>
      <c r="C810" s="3034">
        <v>103</v>
      </c>
      <c r="D810" s="3032">
        <v>134.47</v>
      </c>
      <c r="E810" s="3032">
        <v>84.77</v>
      </c>
      <c r="F810" s="3032"/>
      <c r="G810" s="3032">
        <f t="shared" si="54"/>
        <v>219.24</v>
      </c>
      <c r="H810" s="3032"/>
      <c r="I810" s="3032"/>
      <c r="J810" s="3032">
        <f>J808</f>
        <v>108.67</v>
      </c>
      <c r="K810" s="3032">
        <f t="shared" ref="K810:K841" si="55">G810-J810</f>
        <v>110.57000000000001</v>
      </c>
      <c r="L810" s="3032">
        <f t="shared" si="53"/>
        <v>219.24</v>
      </c>
      <c r="M810" s="3032"/>
    </row>
    <row r="811" spans="1:13">
      <c r="A811" s="3032"/>
      <c r="B811" s="3032"/>
      <c r="C811" s="3034">
        <v>104</v>
      </c>
      <c r="D811" s="3032">
        <v>134.29</v>
      </c>
      <c r="E811" s="3032">
        <v>84.35</v>
      </c>
      <c r="F811" s="3032"/>
      <c r="G811" s="3032">
        <f t="shared" si="54"/>
        <v>218.64</v>
      </c>
      <c r="H811" s="3032"/>
      <c r="I811" s="3032"/>
      <c r="J811" s="3032">
        <f>J808</f>
        <v>108.67</v>
      </c>
      <c r="K811" s="3032">
        <f t="shared" si="55"/>
        <v>109.96999999999998</v>
      </c>
      <c r="L811" s="3032">
        <f t="shared" si="53"/>
        <v>218.64</v>
      </c>
      <c r="M811" s="3032"/>
    </row>
    <row r="812" spans="1:13">
      <c r="A812" s="3032"/>
      <c r="B812" s="3032"/>
      <c r="C812" s="3034">
        <v>105</v>
      </c>
      <c r="D812" s="3032">
        <v>134.28</v>
      </c>
      <c r="E812" s="3032">
        <v>84.49</v>
      </c>
      <c r="F812" s="3032"/>
      <c r="G812" s="3032">
        <f t="shared" si="54"/>
        <v>218.76999999999998</v>
      </c>
      <c r="H812" s="3032"/>
      <c r="I812" s="3032"/>
      <c r="J812" s="3032">
        <f>J808</f>
        <v>108.67</v>
      </c>
      <c r="K812" s="3032">
        <f t="shared" si="55"/>
        <v>110.09999999999998</v>
      </c>
      <c r="L812" s="3032">
        <f t="shared" si="53"/>
        <v>218.76999999999998</v>
      </c>
      <c r="M812" s="3032"/>
    </row>
    <row r="813" spans="1:13">
      <c r="A813" s="3032"/>
      <c r="B813" s="3032"/>
      <c r="C813" s="3034">
        <v>106</v>
      </c>
      <c r="D813" s="3032">
        <v>134.47</v>
      </c>
      <c r="E813" s="3032">
        <v>84.77</v>
      </c>
      <c r="F813" s="3032"/>
      <c r="G813" s="3032">
        <f t="shared" si="54"/>
        <v>219.24</v>
      </c>
      <c r="H813" s="3032"/>
      <c r="I813" s="3032"/>
      <c r="J813" s="3032">
        <f>J801</f>
        <v>108.66</v>
      </c>
      <c r="K813" s="3032">
        <f t="shared" si="55"/>
        <v>110.58000000000001</v>
      </c>
      <c r="L813" s="3032">
        <f t="shared" si="53"/>
        <v>219.24</v>
      </c>
      <c r="M813" s="3032"/>
    </row>
    <row r="814" spans="1:13">
      <c r="A814" s="3032" t="s">
        <v>3181</v>
      </c>
      <c r="B814" s="3032">
        <v>4</v>
      </c>
      <c r="C814" s="3034">
        <v>-201</v>
      </c>
      <c r="D814" s="3032"/>
      <c r="E814" s="3032">
        <v>83.6</v>
      </c>
      <c r="F814" s="3032"/>
      <c r="G814" s="3032">
        <f t="shared" si="54"/>
        <v>83.6</v>
      </c>
      <c r="H814" s="3032">
        <f>SUM(G814:G821)</f>
        <v>1213.9399999999998</v>
      </c>
      <c r="I814" s="3032"/>
      <c r="J814" s="3032"/>
      <c r="K814" s="3032">
        <f t="shared" si="55"/>
        <v>83.6</v>
      </c>
      <c r="L814" s="3032">
        <f t="shared" si="53"/>
        <v>83.6</v>
      </c>
      <c r="M814" s="3032"/>
    </row>
    <row r="815" spans="1:13">
      <c r="A815" s="3032"/>
      <c r="B815" s="3032"/>
      <c r="C815" s="3034">
        <v>-202</v>
      </c>
      <c r="D815" s="3032"/>
      <c r="E815" s="3032">
        <v>84.32</v>
      </c>
      <c r="F815" s="3032"/>
      <c r="G815" s="3032">
        <f t="shared" si="54"/>
        <v>84.32</v>
      </c>
      <c r="H815" s="3032"/>
      <c r="I815" s="3032"/>
      <c r="J815" s="3032"/>
      <c r="K815" s="3032">
        <f t="shared" si="55"/>
        <v>84.32</v>
      </c>
      <c r="L815" s="3032">
        <f t="shared" si="53"/>
        <v>84.32</v>
      </c>
      <c r="M815" s="3032"/>
    </row>
    <row r="816" spans="1:13">
      <c r="A816" s="3032"/>
      <c r="B816" s="3032"/>
      <c r="C816" s="3034">
        <v>-203</v>
      </c>
      <c r="D816" s="3032"/>
      <c r="E816" s="3032">
        <v>83.6</v>
      </c>
      <c r="F816" s="3032"/>
      <c r="G816" s="3032">
        <f t="shared" si="54"/>
        <v>83.6</v>
      </c>
      <c r="H816" s="3032"/>
      <c r="I816" s="3032"/>
      <c r="J816" s="3032"/>
      <c r="K816" s="3032">
        <f t="shared" si="55"/>
        <v>83.6</v>
      </c>
      <c r="L816" s="3032">
        <f t="shared" si="53"/>
        <v>83.6</v>
      </c>
      <c r="M816" s="3032"/>
    </row>
    <row r="817" spans="1:13">
      <c r="A817" s="3032"/>
      <c r="B817" s="3032"/>
      <c r="C817" s="3034">
        <v>-204</v>
      </c>
      <c r="D817" s="3032"/>
      <c r="E817" s="3032">
        <v>84.32</v>
      </c>
      <c r="F817" s="3032"/>
      <c r="G817" s="3032">
        <f t="shared" si="54"/>
        <v>84.32</v>
      </c>
      <c r="H817" s="3032"/>
      <c r="I817" s="3032"/>
      <c r="J817" s="3032"/>
      <c r="K817" s="3032">
        <f t="shared" si="55"/>
        <v>84.32</v>
      </c>
      <c r="L817" s="3032">
        <f t="shared" si="53"/>
        <v>84.32</v>
      </c>
      <c r="M817" s="3032"/>
    </row>
    <row r="818" spans="1:13">
      <c r="A818" s="3032"/>
      <c r="B818" s="3032"/>
      <c r="C818" s="3034">
        <v>101</v>
      </c>
      <c r="D818" s="3032">
        <v>134.63999999999999</v>
      </c>
      <c r="E818" s="3032">
        <v>84.58</v>
      </c>
      <c r="F818" s="3032"/>
      <c r="G818" s="3032">
        <f t="shared" si="54"/>
        <v>219.21999999999997</v>
      </c>
      <c r="H818" s="3032"/>
      <c r="I818" s="3032"/>
      <c r="J818" s="3032">
        <f>J786</f>
        <v>108.89</v>
      </c>
      <c r="K818" s="3032">
        <f t="shared" si="55"/>
        <v>110.32999999999997</v>
      </c>
      <c r="L818" s="3032">
        <f t="shared" si="53"/>
        <v>219.21999999999997</v>
      </c>
      <c r="M818" s="3032">
        <f>SUM(J818:J821)</f>
        <v>435.56</v>
      </c>
    </row>
    <row r="819" spans="1:13">
      <c r="A819" s="3032"/>
      <c r="B819" s="3032"/>
      <c r="C819" s="3034">
        <v>102</v>
      </c>
      <c r="D819" s="3032">
        <v>134.83000000000001</v>
      </c>
      <c r="E819" s="3032">
        <v>85</v>
      </c>
      <c r="F819" s="3032"/>
      <c r="G819" s="3032">
        <f t="shared" si="54"/>
        <v>219.83</v>
      </c>
      <c r="H819" s="3032"/>
      <c r="I819" s="3032"/>
      <c r="J819" s="3032">
        <f>J818</f>
        <v>108.89</v>
      </c>
      <c r="K819" s="3032">
        <f t="shared" si="55"/>
        <v>110.94000000000001</v>
      </c>
      <c r="L819" s="3032">
        <f t="shared" si="53"/>
        <v>219.83</v>
      </c>
      <c r="M819" s="3032"/>
    </row>
    <row r="820" spans="1:13">
      <c r="A820" s="3032"/>
      <c r="B820" s="3032"/>
      <c r="C820" s="3034">
        <v>103</v>
      </c>
      <c r="D820" s="3032">
        <v>134.63999999999999</v>
      </c>
      <c r="E820" s="3032">
        <v>84.58</v>
      </c>
      <c r="F820" s="3032"/>
      <c r="G820" s="3032">
        <f t="shared" si="54"/>
        <v>219.21999999999997</v>
      </c>
      <c r="H820" s="3032"/>
      <c r="I820" s="3032"/>
      <c r="J820" s="3032">
        <f>J818</f>
        <v>108.89</v>
      </c>
      <c r="K820" s="3032">
        <f t="shared" si="55"/>
        <v>110.32999999999997</v>
      </c>
      <c r="L820" s="3032">
        <f t="shared" si="53"/>
        <v>219.21999999999997</v>
      </c>
      <c r="M820" s="3032"/>
    </row>
    <row r="821" spans="1:13">
      <c r="A821" s="3032"/>
      <c r="B821" s="3032"/>
      <c r="C821" s="3034">
        <v>104</v>
      </c>
      <c r="D821" s="3032">
        <v>134.83000000000001</v>
      </c>
      <c r="E821" s="3032">
        <v>85</v>
      </c>
      <c r="F821" s="3032"/>
      <c r="G821" s="3032">
        <f t="shared" si="54"/>
        <v>219.83</v>
      </c>
      <c r="H821" s="3032"/>
      <c r="I821" s="3032"/>
      <c r="J821" s="3032">
        <f>J818</f>
        <v>108.89</v>
      </c>
      <c r="K821" s="3032">
        <f t="shared" si="55"/>
        <v>110.94000000000001</v>
      </c>
      <c r="L821" s="3032">
        <f t="shared" si="53"/>
        <v>219.83</v>
      </c>
      <c r="M821" s="3032"/>
    </row>
    <row r="822" spans="1:13">
      <c r="A822" s="3032" t="s">
        <v>3182</v>
      </c>
      <c r="B822" s="3032">
        <v>4</v>
      </c>
      <c r="C822" s="3034">
        <v>-201</v>
      </c>
      <c r="D822" s="3032"/>
      <c r="E822" s="3032">
        <v>83.6</v>
      </c>
      <c r="F822" s="3032"/>
      <c r="G822" s="3032">
        <f t="shared" si="54"/>
        <v>83.6</v>
      </c>
      <c r="H822" s="3032">
        <f>SUM(G822:G829)</f>
        <v>1213.78</v>
      </c>
      <c r="I822" s="3032"/>
      <c r="J822" s="3032"/>
      <c r="K822" s="3032">
        <f t="shared" si="55"/>
        <v>83.6</v>
      </c>
      <c r="L822" s="3032">
        <f t="shared" si="53"/>
        <v>83.6</v>
      </c>
      <c r="M822" s="3032"/>
    </row>
    <row r="823" spans="1:13">
      <c r="A823" s="3032"/>
      <c r="B823" s="3032"/>
      <c r="C823" s="3034">
        <v>-202</v>
      </c>
      <c r="D823" s="3032"/>
      <c r="E823" s="3032">
        <v>84.32</v>
      </c>
      <c r="F823" s="3032"/>
      <c r="G823" s="3032">
        <f t="shared" si="54"/>
        <v>84.32</v>
      </c>
      <c r="H823" s="3032"/>
      <c r="I823" s="3032"/>
      <c r="J823" s="3032"/>
      <c r="K823" s="3032">
        <f t="shared" si="55"/>
        <v>84.32</v>
      </c>
      <c r="L823" s="3032">
        <f t="shared" si="53"/>
        <v>84.32</v>
      </c>
      <c r="M823" s="3032"/>
    </row>
    <row r="824" spans="1:13">
      <c r="A824" s="3032"/>
      <c r="B824" s="3032"/>
      <c r="C824" s="3034">
        <v>-203</v>
      </c>
      <c r="D824" s="3032"/>
      <c r="E824" s="3032">
        <v>83.6</v>
      </c>
      <c r="F824" s="3032"/>
      <c r="G824" s="3032">
        <f t="shared" si="54"/>
        <v>83.6</v>
      </c>
      <c r="H824" s="3032"/>
      <c r="I824" s="3032"/>
      <c r="J824" s="3032"/>
      <c r="K824" s="3032">
        <f t="shared" si="55"/>
        <v>83.6</v>
      </c>
      <c r="L824" s="3032">
        <f t="shared" si="53"/>
        <v>83.6</v>
      </c>
      <c r="M824" s="3032"/>
    </row>
    <row r="825" spans="1:13">
      <c r="A825" s="3032"/>
      <c r="B825" s="3032"/>
      <c r="C825" s="3034">
        <v>-204</v>
      </c>
      <c r="D825" s="3032"/>
      <c r="E825" s="3032">
        <v>84.32</v>
      </c>
      <c r="F825" s="3032"/>
      <c r="G825" s="3032">
        <f t="shared" si="54"/>
        <v>84.32</v>
      </c>
      <c r="H825" s="3032"/>
      <c r="I825" s="3032"/>
      <c r="J825" s="3032"/>
      <c r="K825" s="3032">
        <f t="shared" si="55"/>
        <v>84.32</v>
      </c>
      <c r="L825" s="3032">
        <f t="shared" si="53"/>
        <v>84.32</v>
      </c>
      <c r="M825" s="3032"/>
    </row>
    <row r="826" spans="1:13">
      <c r="A826" s="3032"/>
      <c r="B826" s="3032"/>
      <c r="C826" s="3034">
        <v>101</v>
      </c>
      <c r="D826" s="3032">
        <v>134.62</v>
      </c>
      <c r="E826" s="3032">
        <v>84.56</v>
      </c>
      <c r="F826" s="3032"/>
      <c r="G826" s="3032">
        <f t="shared" si="54"/>
        <v>219.18</v>
      </c>
      <c r="H826" s="3032"/>
      <c r="I826" s="3032"/>
      <c r="J826" s="3032">
        <f>J818</f>
        <v>108.89</v>
      </c>
      <c r="K826" s="3032">
        <f t="shared" si="55"/>
        <v>110.29</v>
      </c>
      <c r="L826" s="3032">
        <f t="shared" si="53"/>
        <v>219.18</v>
      </c>
      <c r="M826" s="3032">
        <f>SUM(J826:J829)</f>
        <v>435.56</v>
      </c>
    </row>
    <row r="827" spans="1:13">
      <c r="A827" s="3032"/>
      <c r="B827" s="3032"/>
      <c r="C827" s="3034">
        <v>102</v>
      </c>
      <c r="D827" s="3032">
        <v>134.81</v>
      </c>
      <c r="E827" s="3032">
        <v>84.98</v>
      </c>
      <c r="F827" s="3032"/>
      <c r="G827" s="3032">
        <f t="shared" si="54"/>
        <v>219.79000000000002</v>
      </c>
      <c r="H827" s="3032"/>
      <c r="I827" s="3032"/>
      <c r="J827" s="3032">
        <f>J819</f>
        <v>108.89</v>
      </c>
      <c r="K827" s="3032">
        <f t="shared" si="55"/>
        <v>110.90000000000002</v>
      </c>
      <c r="L827" s="3032">
        <f t="shared" si="53"/>
        <v>219.79000000000002</v>
      </c>
      <c r="M827" s="3032"/>
    </row>
    <row r="828" spans="1:13">
      <c r="A828" s="3032"/>
      <c r="B828" s="3032"/>
      <c r="C828" s="3034">
        <v>103</v>
      </c>
      <c r="D828" s="3032">
        <v>134.62</v>
      </c>
      <c r="E828" s="3032">
        <v>84.56</v>
      </c>
      <c r="F828" s="3032"/>
      <c r="G828" s="3032">
        <f t="shared" si="54"/>
        <v>219.18</v>
      </c>
      <c r="H828" s="3032"/>
      <c r="I828" s="3032"/>
      <c r="J828" s="3032">
        <f>J820</f>
        <v>108.89</v>
      </c>
      <c r="K828" s="3032">
        <f t="shared" si="55"/>
        <v>110.29</v>
      </c>
      <c r="L828" s="3032">
        <f t="shared" si="53"/>
        <v>219.18</v>
      </c>
      <c r="M828" s="3032"/>
    </row>
    <row r="829" spans="1:13">
      <c r="A829" s="3032"/>
      <c r="B829" s="3032"/>
      <c r="C829" s="3034">
        <v>104</v>
      </c>
      <c r="D829" s="3032">
        <v>134.81</v>
      </c>
      <c r="E829" s="3032">
        <v>84.98</v>
      </c>
      <c r="F829" s="3032"/>
      <c r="G829" s="3032">
        <f t="shared" si="54"/>
        <v>219.79000000000002</v>
      </c>
      <c r="H829" s="3032"/>
      <c r="I829" s="3032"/>
      <c r="J829" s="3032">
        <f>J821</f>
        <v>108.89</v>
      </c>
      <c r="K829" s="3032">
        <f t="shared" si="55"/>
        <v>110.90000000000002</v>
      </c>
      <c r="L829" s="3032">
        <f t="shared" si="53"/>
        <v>219.79000000000002</v>
      </c>
      <c r="M829" s="3032"/>
    </row>
    <row r="830" spans="1:13">
      <c r="A830" s="3032" t="s">
        <v>3183</v>
      </c>
      <c r="B830" s="3032">
        <v>6</v>
      </c>
      <c r="C830" s="3034">
        <v>-201</v>
      </c>
      <c r="D830" s="3032"/>
      <c r="E830" s="3032">
        <v>83.44</v>
      </c>
      <c r="F830" s="3032"/>
      <c r="G830" s="3032">
        <f t="shared" si="54"/>
        <v>83.44</v>
      </c>
      <c r="H830" s="3032">
        <f>SUM(G830:G841)</f>
        <v>1816.3200000000002</v>
      </c>
      <c r="I830" s="3032"/>
      <c r="J830" s="3032"/>
      <c r="K830" s="3032">
        <f t="shared" si="55"/>
        <v>83.44</v>
      </c>
      <c r="L830" s="3032">
        <f t="shared" si="53"/>
        <v>83.44</v>
      </c>
      <c r="M830" s="3032"/>
    </row>
    <row r="831" spans="1:13">
      <c r="A831" s="3032"/>
      <c r="B831" s="3032"/>
      <c r="C831" s="3034">
        <v>-202</v>
      </c>
      <c r="D831" s="3032"/>
      <c r="E831" s="3032">
        <v>84.16</v>
      </c>
      <c r="F831" s="3032"/>
      <c r="G831" s="3032">
        <f t="shared" si="54"/>
        <v>84.16</v>
      </c>
      <c r="H831" s="3032"/>
      <c r="I831" s="3032"/>
      <c r="J831" s="3032"/>
      <c r="K831" s="3032">
        <f t="shared" si="55"/>
        <v>84.16</v>
      </c>
      <c r="L831" s="3032">
        <f t="shared" si="53"/>
        <v>84.16</v>
      </c>
      <c r="M831" s="3032"/>
    </row>
    <row r="832" spans="1:13">
      <c r="A832" s="3032"/>
      <c r="B832" s="3032"/>
      <c r="C832" s="3034">
        <v>-203</v>
      </c>
      <c r="D832" s="3032"/>
      <c r="E832" s="3032">
        <v>84.16</v>
      </c>
      <c r="F832" s="3032"/>
      <c r="G832" s="3032">
        <f t="shared" si="54"/>
        <v>84.16</v>
      </c>
      <c r="H832" s="3032"/>
      <c r="I832" s="3032"/>
      <c r="J832" s="3032"/>
      <c r="K832" s="3032">
        <f t="shared" si="55"/>
        <v>84.16</v>
      </c>
      <c r="L832" s="3032">
        <f t="shared" si="53"/>
        <v>84.16</v>
      </c>
      <c r="M832" s="3032"/>
    </row>
    <row r="833" spans="1:13">
      <c r="A833" s="3032"/>
      <c r="B833" s="3032"/>
      <c r="C833" s="3034">
        <v>-204</v>
      </c>
      <c r="D833" s="3032"/>
      <c r="E833" s="3032">
        <v>83.44</v>
      </c>
      <c r="F833" s="3032"/>
      <c r="G833" s="3032">
        <f t="shared" si="54"/>
        <v>83.44</v>
      </c>
      <c r="H833" s="3032"/>
      <c r="I833" s="3032"/>
      <c r="J833" s="3032"/>
      <c r="K833" s="3032">
        <f t="shared" si="55"/>
        <v>83.44</v>
      </c>
      <c r="L833" s="3032">
        <f t="shared" si="53"/>
        <v>83.44</v>
      </c>
      <c r="M833" s="3032"/>
    </row>
    <row r="834" spans="1:13">
      <c r="A834" s="3032"/>
      <c r="B834" s="3032"/>
      <c r="C834" s="3034">
        <v>-205</v>
      </c>
      <c r="D834" s="3032"/>
      <c r="E834" s="3032">
        <v>84.16</v>
      </c>
      <c r="F834" s="3032"/>
      <c r="G834" s="3032">
        <f t="shared" si="54"/>
        <v>84.16</v>
      </c>
      <c r="H834" s="3032"/>
      <c r="I834" s="3032"/>
      <c r="J834" s="3032"/>
      <c r="K834" s="3032">
        <f t="shared" si="55"/>
        <v>84.16</v>
      </c>
      <c r="L834" s="3032">
        <f t="shared" si="53"/>
        <v>84.16</v>
      </c>
      <c r="M834" s="3032"/>
    </row>
    <row r="835" spans="1:13">
      <c r="A835" s="3032"/>
      <c r="B835" s="3032"/>
      <c r="C835" s="3034">
        <v>-206</v>
      </c>
      <c r="D835" s="3032"/>
      <c r="E835" s="3032">
        <v>84.16</v>
      </c>
      <c r="F835" s="3032"/>
      <c r="G835" s="3032">
        <f t="shared" si="54"/>
        <v>84.16</v>
      </c>
      <c r="H835" s="3032"/>
      <c r="I835" s="3032"/>
      <c r="J835" s="3032"/>
      <c r="K835" s="3032">
        <f t="shared" si="55"/>
        <v>84.16</v>
      </c>
      <c r="L835" s="3032">
        <f t="shared" si="53"/>
        <v>84.16</v>
      </c>
      <c r="M835" s="3032"/>
    </row>
    <row r="836" spans="1:13">
      <c r="A836" s="3032"/>
      <c r="B836" s="3032"/>
      <c r="C836" s="3034">
        <v>101</v>
      </c>
      <c r="D836" s="3032">
        <v>134.22999999999999</v>
      </c>
      <c r="E836" s="3032">
        <v>84.32</v>
      </c>
      <c r="F836" s="3032"/>
      <c r="G836" s="3032">
        <f t="shared" si="54"/>
        <v>218.54999999999998</v>
      </c>
      <c r="H836" s="3032"/>
      <c r="I836" s="3032"/>
      <c r="J836" s="3032">
        <f>J808</f>
        <v>108.67</v>
      </c>
      <c r="K836" s="3032">
        <f t="shared" si="55"/>
        <v>109.87999999999998</v>
      </c>
      <c r="L836" s="3032">
        <f t="shared" si="53"/>
        <v>218.54999999999998</v>
      </c>
      <c r="M836" s="3032">
        <f>SUM(J836:J841)</f>
        <v>652.01</v>
      </c>
    </row>
    <row r="837" spans="1:13">
      <c r="A837" s="3032"/>
      <c r="B837" s="3032"/>
      <c r="C837" s="3034">
        <v>102</v>
      </c>
      <c r="D837" s="3032">
        <v>134.22999999999999</v>
      </c>
      <c r="E837" s="3032">
        <v>84.46</v>
      </c>
      <c r="F837" s="3032"/>
      <c r="G837" s="3032">
        <f t="shared" si="54"/>
        <v>218.69</v>
      </c>
      <c r="H837" s="3032"/>
      <c r="I837" s="3032"/>
      <c r="J837" s="3032">
        <f>J836</f>
        <v>108.67</v>
      </c>
      <c r="K837" s="3032">
        <f t="shared" si="55"/>
        <v>110.02</v>
      </c>
      <c r="L837" s="3032">
        <f t="shared" si="53"/>
        <v>218.69</v>
      </c>
      <c r="M837" s="3032"/>
    </row>
    <row r="838" spans="1:13">
      <c r="A838" s="3032"/>
      <c r="B838" s="3032"/>
      <c r="C838" s="3034">
        <v>103</v>
      </c>
      <c r="D838" s="3032">
        <v>134.43</v>
      </c>
      <c r="E838" s="3032">
        <v>84.73</v>
      </c>
      <c r="F838" s="3032"/>
      <c r="G838" s="3032">
        <f t="shared" si="54"/>
        <v>219.16000000000003</v>
      </c>
      <c r="H838" s="3032"/>
      <c r="I838" s="3032"/>
      <c r="J838" s="3032">
        <f>J836</f>
        <v>108.67</v>
      </c>
      <c r="K838" s="3032">
        <f t="shared" si="55"/>
        <v>110.49000000000002</v>
      </c>
      <c r="L838" s="3032">
        <f t="shared" si="53"/>
        <v>219.16000000000003</v>
      </c>
      <c r="M838" s="3032"/>
    </row>
    <row r="839" spans="1:13">
      <c r="A839" s="3032"/>
      <c r="B839" s="3032"/>
      <c r="C839" s="3034">
        <v>104</v>
      </c>
      <c r="D839" s="3032">
        <v>134.22999999999999</v>
      </c>
      <c r="E839" s="3032">
        <v>84.32</v>
      </c>
      <c r="F839" s="3032"/>
      <c r="G839" s="3032">
        <f t="shared" si="54"/>
        <v>218.54999999999998</v>
      </c>
      <c r="H839" s="3032"/>
      <c r="I839" s="3032"/>
      <c r="J839" s="3032">
        <f>J836</f>
        <v>108.67</v>
      </c>
      <c r="K839" s="3032">
        <f t="shared" si="55"/>
        <v>109.87999999999998</v>
      </c>
      <c r="L839" s="3032">
        <f t="shared" si="53"/>
        <v>218.54999999999998</v>
      </c>
      <c r="M839" s="3032"/>
    </row>
    <row r="840" spans="1:13">
      <c r="A840" s="3032"/>
      <c r="B840" s="3032"/>
      <c r="C840" s="3034">
        <v>105</v>
      </c>
      <c r="D840" s="3032">
        <v>134.22999999999999</v>
      </c>
      <c r="E840" s="3032">
        <v>84.46</v>
      </c>
      <c r="F840" s="3032"/>
      <c r="G840" s="3032">
        <f t="shared" si="54"/>
        <v>218.69</v>
      </c>
      <c r="H840" s="3032"/>
      <c r="I840" s="3032"/>
      <c r="J840" s="3032">
        <f>J836</f>
        <v>108.67</v>
      </c>
      <c r="K840" s="3032">
        <f t="shared" si="55"/>
        <v>110.02</v>
      </c>
      <c r="L840" s="3032">
        <f t="shared" si="53"/>
        <v>218.69</v>
      </c>
      <c r="M840" s="3032"/>
    </row>
    <row r="841" spans="1:13">
      <c r="A841" s="3032"/>
      <c r="B841" s="3032"/>
      <c r="C841" s="3034">
        <v>106</v>
      </c>
      <c r="D841" s="3032">
        <v>134.43</v>
      </c>
      <c r="E841" s="3032">
        <v>84.73</v>
      </c>
      <c r="F841" s="3032"/>
      <c r="G841" s="3032">
        <f t="shared" si="54"/>
        <v>219.16000000000003</v>
      </c>
      <c r="H841" s="3032"/>
      <c r="I841" s="3032"/>
      <c r="J841" s="3032">
        <v>108.66</v>
      </c>
      <c r="K841" s="3032">
        <f t="shared" si="55"/>
        <v>110.50000000000003</v>
      </c>
      <c r="L841" s="3032">
        <f t="shared" si="53"/>
        <v>219.16000000000003</v>
      </c>
      <c r="M841" s="3032"/>
    </row>
    <row r="842" spans="1:13">
      <c r="A842" s="3035" t="s">
        <v>4502</v>
      </c>
      <c r="B842" s="3035">
        <f>SUM(B2:B841)</f>
        <v>420</v>
      </c>
      <c r="C842" s="3040"/>
      <c r="D842" s="3032">
        <f>SUM(D2:D841)</f>
        <v>57695.749999999942</v>
      </c>
      <c r="E842" s="3032">
        <f>SUM(E2:E841)</f>
        <v>73075.350000000006</v>
      </c>
      <c r="F842" s="3032"/>
      <c r="G842" s="3032">
        <f>SUM(G2:G841)</f>
        <v>130771.10000000008</v>
      </c>
      <c r="H842" s="3032"/>
      <c r="I842" s="3032"/>
      <c r="J842" s="3032">
        <f>SUM(J2:J841)</f>
        <v>46710.839999999844</v>
      </c>
      <c r="K842" s="3032">
        <f>SUM(K2:K841)</f>
        <v>84060.259999999951</v>
      </c>
      <c r="L842" s="3032">
        <f>SUM(L2:L841)</f>
        <v>130771.10000000008</v>
      </c>
      <c r="M842" s="3032">
        <f>SUM(M2:M841)</f>
        <v>46710.84</v>
      </c>
    </row>
    <row r="843" spans="1:13">
      <c r="F843" s="3036">
        <f>45.51*840</f>
        <v>38228.400000000001</v>
      </c>
      <c r="K843" s="3037"/>
    </row>
  </sheetData>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204"/>
  <sheetViews>
    <sheetView topLeftCell="A1172" workbookViewId="0">
      <selection activeCell="F1202" sqref="F1202"/>
    </sheetView>
  </sheetViews>
  <sheetFormatPr defaultColWidth="8.75" defaultRowHeight="12"/>
  <cols>
    <col min="1" max="1" width="8.375" style="3004" customWidth="1"/>
    <col min="2" max="2" width="16.5" style="3005" bestFit="1" customWidth="1"/>
    <col min="3" max="3" width="12.25" style="3005" customWidth="1"/>
    <col min="4" max="4" width="8.75" style="3001"/>
    <col min="5" max="5" width="11.25" style="3001" bestFit="1" customWidth="1"/>
    <col min="6" max="6" width="10.25" style="3001" bestFit="1" customWidth="1"/>
    <col min="7" max="16384" width="8.75" style="3001"/>
  </cols>
  <sheetData>
    <row r="1" spans="1:6" s="2990" customFormat="1">
      <c r="A1" s="2988" t="s">
        <v>3214</v>
      </c>
      <c r="B1" s="2988" t="s">
        <v>3215</v>
      </c>
      <c r="C1" s="2989" t="s">
        <v>3216</v>
      </c>
      <c r="D1" s="2990" t="s">
        <v>3217</v>
      </c>
    </row>
    <row r="2" spans="1:6" s="2993" customFormat="1">
      <c r="A2" s="3202">
        <v>1</v>
      </c>
      <c r="B2" s="2991" t="s">
        <v>3218</v>
      </c>
      <c r="C2" s="2992">
        <v>134.63999999999999</v>
      </c>
      <c r="D2" s="2993" t="s">
        <v>3219</v>
      </c>
      <c r="E2" s="2995">
        <v>8413828</v>
      </c>
    </row>
    <row r="3" spans="1:6" s="2993" customFormat="1">
      <c r="A3" s="3202"/>
      <c r="B3" s="2991" t="s">
        <v>3220</v>
      </c>
      <c r="C3" s="2992">
        <v>84.58</v>
      </c>
      <c r="D3" s="2993" t="s">
        <v>4487</v>
      </c>
      <c r="E3" s="2995">
        <v>2537400</v>
      </c>
      <c r="F3" s="2993">
        <f>E3/C3</f>
        <v>30000</v>
      </c>
    </row>
    <row r="4" spans="1:6" s="2993" customFormat="1">
      <c r="A4" s="3202"/>
      <c r="B4" s="2991" t="s">
        <v>3221</v>
      </c>
      <c r="C4" s="2992">
        <v>83.88</v>
      </c>
      <c r="D4" s="2993" t="s">
        <v>3222</v>
      </c>
      <c r="E4" s="2992">
        <v>2516400</v>
      </c>
      <c r="F4" s="2993">
        <f>E4/C4</f>
        <v>30000</v>
      </c>
    </row>
    <row r="5" spans="1:6" s="2993" customFormat="1">
      <c r="A5" s="3202"/>
      <c r="B5" s="2991" t="s">
        <v>3223</v>
      </c>
      <c r="C5" s="2994">
        <v>45.51</v>
      </c>
      <c r="D5" s="2993" t="s">
        <v>3224</v>
      </c>
      <c r="E5" s="3002">
        <v>420000</v>
      </c>
    </row>
    <row r="6" spans="1:6" s="2993" customFormat="1">
      <c r="A6" s="3202"/>
      <c r="B6" s="2991" t="s">
        <v>3225</v>
      </c>
      <c r="C6" s="2994">
        <v>45.51</v>
      </c>
      <c r="D6" s="2993" t="s">
        <v>3224</v>
      </c>
      <c r="E6" s="3002">
        <v>420000</v>
      </c>
    </row>
    <row r="7" spans="1:6" s="2993" customFormat="1">
      <c r="A7" s="3202">
        <v>2</v>
      </c>
      <c r="B7" s="2991" t="s">
        <v>3226</v>
      </c>
      <c r="C7" s="2992">
        <v>134.83000000000001</v>
      </c>
      <c r="D7" s="2993" t="s">
        <v>3219</v>
      </c>
      <c r="E7" s="2995">
        <v>7845558</v>
      </c>
    </row>
    <row r="8" spans="1:6" s="2993" customFormat="1">
      <c r="A8" s="3202"/>
      <c r="B8" s="2991" t="s">
        <v>3227</v>
      </c>
      <c r="C8" s="2992">
        <v>84.99</v>
      </c>
      <c r="D8" s="2993" t="s">
        <v>4487</v>
      </c>
      <c r="E8" s="2995">
        <v>2549700</v>
      </c>
      <c r="F8" s="2993">
        <f t="shared" ref="F8:F9" si="0">E8/C8</f>
        <v>30000</v>
      </c>
    </row>
    <row r="9" spans="1:6" s="2993" customFormat="1">
      <c r="A9" s="3202"/>
      <c r="B9" s="2991" t="s">
        <v>3228</v>
      </c>
      <c r="C9" s="2992">
        <v>84.6</v>
      </c>
      <c r="D9" s="2993" t="s">
        <v>3222</v>
      </c>
      <c r="E9" s="2992">
        <v>2538000</v>
      </c>
      <c r="F9" s="2993">
        <f t="shared" si="0"/>
        <v>30000.000000000004</v>
      </c>
    </row>
    <row r="10" spans="1:6" s="2993" customFormat="1">
      <c r="A10" s="3202"/>
      <c r="B10" s="2991" t="s">
        <v>3229</v>
      </c>
      <c r="C10" s="2994">
        <v>45.51</v>
      </c>
      <c r="D10" s="2993" t="s">
        <v>3224</v>
      </c>
      <c r="E10" s="3002">
        <v>420000</v>
      </c>
    </row>
    <row r="11" spans="1:6" s="2993" customFormat="1">
      <c r="A11" s="3202"/>
      <c r="B11" s="2991" t="s">
        <v>3230</v>
      </c>
      <c r="C11" s="2994">
        <v>45.51</v>
      </c>
      <c r="D11" s="2993" t="s">
        <v>3224</v>
      </c>
      <c r="E11" s="3002">
        <v>420000</v>
      </c>
    </row>
    <row r="12" spans="1:6" s="2993" customFormat="1">
      <c r="A12" s="3202">
        <v>3</v>
      </c>
      <c r="B12" s="2995" t="s">
        <v>3231</v>
      </c>
      <c r="C12" s="2992">
        <v>134.63999999999999</v>
      </c>
      <c r="D12" s="2993" t="s">
        <v>3219</v>
      </c>
      <c r="E12" s="2991">
        <v>8550717</v>
      </c>
    </row>
    <row r="13" spans="1:6" s="2993" customFormat="1">
      <c r="A13" s="3202"/>
      <c r="B13" s="2991" t="s">
        <v>3232</v>
      </c>
      <c r="C13" s="2992">
        <v>84.58</v>
      </c>
      <c r="D13" s="2993" t="s">
        <v>4487</v>
      </c>
      <c r="E13" s="2991">
        <v>2537400</v>
      </c>
      <c r="F13" s="2993">
        <f t="shared" ref="F13:F14" si="1">E13/C13</f>
        <v>30000</v>
      </c>
    </row>
    <row r="14" spans="1:6" s="2993" customFormat="1">
      <c r="A14" s="3202"/>
      <c r="B14" s="2991" t="s">
        <v>3233</v>
      </c>
      <c r="C14" s="2992">
        <v>83.88</v>
      </c>
      <c r="D14" s="2993" t="s">
        <v>3222</v>
      </c>
      <c r="E14" s="2998">
        <v>2516400</v>
      </c>
      <c r="F14" s="2993">
        <f t="shared" si="1"/>
        <v>30000</v>
      </c>
    </row>
    <row r="15" spans="1:6" s="2993" customFormat="1">
      <c r="A15" s="3202"/>
      <c r="B15" s="2991" t="s">
        <v>3234</v>
      </c>
      <c r="C15" s="2994">
        <v>45.51</v>
      </c>
      <c r="D15" s="2993" t="s">
        <v>3235</v>
      </c>
      <c r="E15" s="3054">
        <v>420000</v>
      </c>
    </row>
    <row r="16" spans="1:6" s="2993" customFormat="1">
      <c r="A16" s="3202"/>
      <c r="B16" s="2991" t="s">
        <v>3236</v>
      </c>
      <c r="C16" s="2994">
        <v>45.51</v>
      </c>
      <c r="D16" s="2993" t="s">
        <v>3235</v>
      </c>
      <c r="E16" s="3054">
        <v>420000</v>
      </c>
    </row>
    <row r="17" spans="1:6" s="2993" customFormat="1">
      <c r="A17" s="3202">
        <v>4</v>
      </c>
      <c r="B17" s="2991" t="s">
        <v>3237</v>
      </c>
      <c r="C17" s="2992">
        <v>134.83000000000001</v>
      </c>
      <c r="D17" s="2993" t="s">
        <v>3238</v>
      </c>
      <c r="E17" s="2995">
        <v>8014430</v>
      </c>
    </row>
    <row r="18" spans="1:6" s="2993" customFormat="1">
      <c r="A18" s="3202"/>
      <c r="B18" s="2991" t="s">
        <v>3239</v>
      </c>
      <c r="C18" s="2992">
        <v>84.99</v>
      </c>
      <c r="D18" s="2993" t="s">
        <v>4487</v>
      </c>
      <c r="E18" s="2995">
        <v>2549700</v>
      </c>
      <c r="F18" s="2993">
        <f t="shared" ref="F18:F19" si="2">E18/C18</f>
        <v>30000</v>
      </c>
    </row>
    <row r="19" spans="1:6" s="2993" customFormat="1">
      <c r="A19" s="3202"/>
      <c r="B19" s="2991" t="s">
        <v>3240</v>
      </c>
      <c r="C19" s="2992">
        <v>84.6</v>
      </c>
      <c r="D19" s="2993" t="s">
        <v>3241</v>
      </c>
      <c r="E19" s="2992">
        <v>2538000</v>
      </c>
      <c r="F19" s="2993">
        <f t="shared" si="2"/>
        <v>30000.000000000004</v>
      </c>
    </row>
    <row r="20" spans="1:6" s="2993" customFormat="1">
      <c r="A20" s="3202"/>
      <c r="B20" s="2991" t="s">
        <v>3242</v>
      </c>
      <c r="C20" s="2994">
        <v>45.51</v>
      </c>
      <c r="D20" s="2993" t="s">
        <v>3235</v>
      </c>
      <c r="E20" s="3002">
        <v>420000</v>
      </c>
    </row>
    <row r="21" spans="1:6" s="2993" customFormat="1">
      <c r="A21" s="3202"/>
      <c r="B21" s="2991" t="s">
        <v>3243</v>
      </c>
      <c r="C21" s="2994">
        <v>45.51</v>
      </c>
      <c r="D21" s="2993" t="s">
        <v>3235</v>
      </c>
      <c r="E21" s="3002">
        <v>420000</v>
      </c>
    </row>
    <row r="22" spans="1:6" s="2993" customFormat="1">
      <c r="A22" s="3202">
        <v>5</v>
      </c>
      <c r="B22" s="2991" t="s">
        <v>3244</v>
      </c>
      <c r="C22" s="2992">
        <v>134.16999999999999</v>
      </c>
      <c r="D22" s="2993" t="s">
        <v>3238</v>
      </c>
      <c r="E22" s="2995">
        <v>7524852</v>
      </c>
    </row>
    <row r="23" spans="1:6" s="2993" customFormat="1">
      <c r="A23" s="3202"/>
      <c r="B23" s="2991" t="s">
        <v>3245</v>
      </c>
      <c r="C23" s="2992">
        <v>84.42</v>
      </c>
      <c r="D23" s="2993" t="s">
        <v>4487</v>
      </c>
      <c r="E23" s="2995">
        <v>2532600</v>
      </c>
      <c r="F23" s="2993">
        <f t="shared" ref="F23:F24" si="3">E23/C23</f>
        <v>30000</v>
      </c>
    </row>
    <row r="24" spans="1:6" s="2993" customFormat="1">
      <c r="A24" s="3202"/>
      <c r="B24" s="2991" t="s">
        <v>3246</v>
      </c>
      <c r="C24" s="2992">
        <v>84.15</v>
      </c>
      <c r="D24" s="2993" t="s">
        <v>3241</v>
      </c>
      <c r="E24" s="2992">
        <v>2524500</v>
      </c>
      <c r="F24" s="2993">
        <f t="shared" si="3"/>
        <v>29999.999999999996</v>
      </c>
    </row>
    <row r="25" spans="1:6" s="2993" customFormat="1">
      <c r="A25" s="3202"/>
      <c r="B25" s="2991" t="s">
        <v>3247</v>
      </c>
      <c r="C25" s="2994">
        <v>45.51</v>
      </c>
      <c r="D25" s="2993" t="s">
        <v>3235</v>
      </c>
      <c r="E25" s="3002">
        <v>420000</v>
      </c>
    </row>
    <row r="26" spans="1:6" s="2993" customFormat="1">
      <c r="A26" s="3202"/>
      <c r="B26" s="2991" t="s">
        <v>3248</v>
      </c>
      <c r="C26" s="2994">
        <v>45.51</v>
      </c>
      <c r="D26" s="2993" t="s">
        <v>3235</v>
      </c>
      <c r="E26" s="3002">
        <v>420000</v>
      </c>
    </row>
    <row r="27" spans="1:6" s="2993" customFormat="1">
      <c r="A27" s="3202">
        <v>6</v>
      </c>
      <c r="B27" s="2991" t="s">
        <v>3249</v>
      </c>
      <c r="C27" s="2994">
        <v>134.36000000000001</v>
      </c>
      <c r="D27" s="2993" t="s">
        <v>3238</v>
      </c>
      <c r="E27" s="3002">
        <v>7919210</v>
      </c>
    </row>
    <row r="28" spans="1:6" s="2993" customFormat="1">
      <c r="A28" s="3202"/>
      <c r="B28" s="2991" t="s">
        <v>3250</v>
      </c>
      <c r="C28" s="2992">
        <v>84.7</v>
      </c>
      <c r="D28" s="2993" t="s">
        <v>4487</v>
      </c>
      <c r="E28" s="2995">
        <v>2541000</v>
      </c>
      <c r="F28" s="2993">
        <f t="shared" ref="F28:F29" si="4">E28/C28</f>
        <v>30000</v>
      </c>
    </row>
    <row r="29" spans="1:6" s="2993" customFormat="1">
      <c r="A29" s="3202"/>
      <c r="B29" s="2991" t="s">
        <v>3251</v>
      </c>
      <c r="C29" s="2992">
        <v>84.15</v>
      </c>
      <c r="D29" s="2993" t="s">
        <v>3252</v>
      </c>
      <c r="E29" s="2992">
        <v>2524500</v>
      </c>
      <c r="F29" s="2993">
        <f t="shared" si="4"/>
        <v>29999.999999999996</v>
      </c>
    </row>
    <row r="30" spans="1:6" s="2993" customFormat="1">
      <c r="A30" s="3202"/>
      <c r="B30" s="2991" t="s">
        <v>3253</v>
      </c>
      <c r="C30" s="2994">
        <v>45.51</v>
      </c>
      <c r="D30" s="2993" t="s">
        <v>3254</v>
      </c>
      <c r="E30" s="3002">
        <v>420000</v>
      </c>
    </row>
    <row r="31" spans="1:6" s="2993" customFormat="1">
      <c r="A31" s="3202"/>
      <c r="B31" s="2991" t="s">
        <v>3255</v>
      </c>
      <c r="C31" s="2994">
        <v>45.51</v>
      </c>
      <c r="D31" s="2993" t="s">
        <v>3254</v>
      </c>
      <c r="E31" s="3002">
        <v>420000</v>
      </c>
    </row>
    <row r="32" spans="1:6" s="2993" customFormat="1">
      <c r="A32" s="3202">
        <v>7</v>
      </c>
      <c r="B32" s="2991" t="s">
        <v>3256</v>
      </c>
      <c r="C32" s="2992">
        <v>134.36000000000001</v>
      </c>
      <c r="D32" s="2993" t="s">
        <v>3257</v>
      </c>
      <c r="E32" s="2995">
        <v>8087437</v>
      </c>
    </row>
    <row r="33" spans="1:6" s="2993" customFormat="1">
      <c r="A33" s="3202"/>
      <c r="B33" s="2991" t="s">
        <v>3258</v>
      </c>
      <c r="C33" s="2992">
        <v>84.7</v>
      </c>
      <c r="D33" s="2993" t="s">
        <v>4487</v>
      </c>
      <c r="E33" s="2995">
        <v>2541000</v>
      </c>
      <c r="F33" s="2993">
        <f t="shared" ref="F33:F34" si="5">E33/C33</f>
        <v>30000</v>
      </c>
    </row>
    <row r="34" spans="1:6" s="2993" customFormat="1">
      <c r="A34" s="3202"/>
      <c r="B34" s="2991" t="s">
        <v>3259</v>
      </c>
      <c r="C34" s="2992">
        <v>84.15</v>
      </c>
      <c r="D34" s="2993" t="s">
        <v>3252</v>
      </c>
      <c r="E34" s="2995">
        <v>2524500</v>
      </c>
      <c r="F34" s="2993">
        <f t="shared" si="5"/>
        <v>29999.999999999996</v>
      </c>
    </row>
    <row r="35" spans="1:6" s="2993" customFormat="1">
      <c r="A35" s="3202"/>
      <c r="B35" s="2991" t="s">
        <v>3260</v>
      </c>
      <c r="C35" s="2992">
        <v>45.51</v>
      </c>
      <c r="D35" s="2993" t="s">
        <v>3254</v>
      </c>
      <c r="E35" s="2995">
        <v>420000</v>
      </c>
    </row>
    <row r="36" spans="1:6" s="2993" customFormat="1">
      <c r="A36" s="3202"/>
      <c r="B36" s="2991" t="s">
        <v>3261</v>
      </c>
      <c r="C36" s="2992">
        <v>45.51</v>
      </c>
      <c r="D36" s="2993" t="s">
        <v>3254</v>
      </c>
      <c r="E36" s="2995">
        <v>420000</v>
      </c>
    </row>
    <row r="37" spans="1:6" s="2993" customFormat="1">
      <c r="A37" s="3202">
        <v>8</v>
      </c>
      <c r="B37" s="2991" t="s">
        <v>3262</v>
      </c>
      <c r="C37" s="2992">
        <v>134.41</v>
      </c>
      <c r="D37" s="2993" t="s">
        <v>3257</v>
      </c>
      <c r="E37" s="2995">
        <v>7922161</v>
      </c>
    </row>
    <row r="38" spans="1:6" s="2993" customFormat="1">
      <c r="A38" s="3202"/>
      <c r="B38" s="2991" t="s">
        <v>3263</v>
      </c>
      <c r="C38" s="2992">
        <v>84.73</v>
      </c>
      <c r="D38" s="2993" t="s">
        <v>4487</v>
      </c>
      <c r="E38" s="2995">
        <v>2541900</v>
      </c>
      <c r="F38" s="2993">
        <f t="shared" ref="F38:F39" si="6">E38/C38</f>
        <v>30000</v>
      </c>
    </row>
    <row r="39" spans="1:6" s="2993" customFormat="1">
      <c r="A39" s="3202"/>
      <c r="B39" s="2991" t="s">
        <v>3264</v>
      </c>
      <c r="C39" s="2992">
        <v>84.16</v>
      </c>
      <c r="D39" s="2993" t="s">
        <v>3252</v>
      </c>
      <c r="E39" s="2995">
        <v>2524800</v>
      </c>
      <c r="F39" s="2993">
        <f t="shared" si="6"/>
        <v>30000</v>
      </c>
    </row>
    <row r="40" spans="1:6" s="2993" customFormat="1">
      <c r="A40" s="3202"/>
      <c r="B40" s="2991" t="s">
        <v>3265</v>
      </c>
      <c r="C40" s="2992">
        <v>45.51</v>
      </c>
      <c r="D40" s="2993" t="s">
        <v>3254</v>
      </c>
      <c r="E40" s="2995">
        <v>420000</v>
      </c>
    </row>
    <row r="41" spans="1:6" s="2993" customFormat="1">
      <c r="A41" s="3202"/>
      <c r="B41" s="2991" t="s">
        <v>3266</v>
      </c>
      <c r="C41" s="2992">
        <v>45.51</v>
      </c>
      <c r="D41" s="2993" t="s">
        <v>3254</v>
      </c>
      <c r="E41" s="2995">
        <v>420000</v>
      </c>
    </row>
    <row r="42" spans="1:6" s="2993" customFormat="1">
      <c r="A42" s="3202">
        <v>9</v>
      </c>
      <c r="B42" s="2991" t="s">
        <v>3267</v>
      </c>
      <c r="C42" s="2992">
        <v>134.41</v>
      </c>
      <c r="D42" s="2993" t="s">
        <v>3257</v>
      </c>
      <c r="E42" s="2995">
        <v>8090442</v>
      </c>
    </row>
    <row r="43" spans="1:6" s="2993" customFormat="1">
      <c r="A43" s="3202"/>
      <c r="B43" s="2991" t="s">
        <v>3268</v>
      </c>
      <c r="C43" s="2992">
        <v>84.73</v>
      </c>
      <c r="D43" s="2993" t="s">
        <v>4487</v>
      </c>
      <c r="E43" s="2995">
        <v>2541900</v>
      </c>
      <c r="F43" s="2993">
        <f t="shared" ref="F43:F44" si="7">E43/C43</f>
        <v>30000</v>
      </c>
    </row>
    <row r="44" spans="1:6" s="2993" customFormat="1">
      <c r="A44" s="3202"/>
      <c r="B44" s="2991" t="s">
        <v>3269</v>
      </c>
      <c r="C44" s="2992">
        <v>84.16</v>
      </c>
      <c r="D44" s="2993" t="s">
        <v>3252</v>
      </c>
      <c r="E44" s="2995">
        <v>2524800</v>
      </c>
      <c r="F44" s="2993">
        <f t="shared" si="7"/>
        <v>30000</v>
      </c>
    </row>
    <row r="45" spans="1:6" s="2993" customFormat="1">
      <c r="A45" s="3202"/>
      <c r="B45" s="2991" t="s">
        <v>3270</v>
      </c>
      <c r="C45" s="2992">
        <v>45.51</v>
      </c>
      <c r="D45" s="2993" t="s">
        <v>3254</v>
      </c>
      <c r="E45" s="2995">
        <v>420000</v>
      </c>
    </row>
    <row r="46" spans="1:6" s="2993" customFormat="1">
      <c r="A46" s="3202"/>
      <c r="B46" s="2991" t="s">
        <v>3271</v>
      </c>
      <c r="C46" s="2992">
        <v>45.51</v>
      </c>
      <c r="D46" s="2993" t="s">
        <v>3254</v>
      </c>
      <c r="E46" s="2995">
        <v>420000</v>
      </c>
    </row>
    <row r="47" spans="1:6" s="2993" customFormat="1">
      <c r="A47" s="3202">
        <v>10</v>
      </c>
      <c r="B47" s="2991" t="s">
        <v>3272</v>
      </c>
      <c r="C47" s="2992">
        <v>45.51</v>
      </c>
      <c r="D47" s="2993" t="s">
        <v>3254</v>
      </c>
      <c r="E47" s="2995">
        <v>420000</v>
      </c>
    </row>
    <row r="48" spans="1:6" s="2993" customFormat="1">
      <c r="A48" s="3202"/>
      <c r="B48" s="2991" t="s">
        <v>3273</v>
      </c>
      <c r="C48" s="2992">
        <v>45.51</v>
      </c>
      <c r="D48" s="2993" t="s">
        <v>3254</v>
      </c>
      <c r="E48" s="2995">
        <v>420000</v>
      </c>
    </row>
    <row r="49" spans="1:6" s="2993" customFormat="1">
      <c r="A49" s="3203">
        <v>11</v>
      </c>
      <c r="B49" s="2991" t="s">
        <v>3274</v>
      </c>
      <c r="C49" s="2992">
        <v>134.83000000000001</v>
      </c>
      <c r="D49" s="2993" t="s">
        <v>3257</v>
      </c>
      <c r="E49" s="2995">
        <v>7845558</v>
      </c>
    </row>
    <row r="50" spans="1:6" s="2993" customFormat="1">
      <c r="A50" s="3203"/>
      <c r="B50" s="2991" t="s">
        <v>3275</v>
      </c>
      <c r="C50" s="2992">
        <v>84.99</v>
      </c>
      <c r="D50" s="2993" t="s">
        <v>4487</v>
      </c>
      <c r="E50" s="2995">
        <v>2549700</v>
      </c>
      <c r="F50" s="2993">
        <f t="shared" ref="F50:F51" si="8">E50/C50</f>
        <v>30000</v>
      </c>
    </row>
    <row r="51" spans="1:6" s="2993" customFormat="1">
      <c r="A51" s="3203"/>
      <c r="B51" s="2991" t="s">
        <v>3276</v>
      </c>
      <c r="C51" s="2992">
        <v>84.6</v>
      </c>
      <c r="D51" s="2993" t="s">
        <v>3252</v>
      </c>
      <c r="E51" s="2995">
        <v>2538000</v>
      </c>
      <c r="F51" s="2993">
        <f t="shared" si="8"/>
        <v>30000.000000000004</v>
      </c>
    </row>
    <row r="52" spans="1:6" s="2993" customFormat="1">
      <c r="A52" s="3203"/>
      <c r="B52" s="2991" t="s">
        <v>3277</v>
      </c>
      <c r="C52" s="2992">
        <v>45.51</v>
      </c>
      <c r="D52" s="2993" t="s">
        <v>3254</v>
      </c>
      <c r="E52" s="2995">
        <v>420000</v>
      </c>
    </row>
    <row r="53" spans="1:6" s="2993" customFormat="1">
      <c r="A53" s="3203"/>
      <c r="B53" s="2991" t="s">
        <v>3278</v>
      </c>
      <c r="C53" s="2992">
        <v>45.51</v>
      </c>
      <c r="D53" s="2993" t="s">
        <v>3254</v>
      </c>
      <c r="E53" s="2995">
        <v>420000</v>
      </c>
    </row>
    <row r="54" spans="1:6" s="2993" customFormat="1">
      <c r="A54" s="3202">
        <v>12</v>
      </c>
      <c r="B54" s="2991" t="s">
        <v>3279</v>
      </c>
      <c r="C54" s="2992">
        <v>134.47</v>
      </c>
      <c r="D54" s="2993" t="s">
        <v>3257</v>
      </c>
      <c r="E54" s="2995">
        <v>7993032</v>
      </c>
    </row>
    <row r="55" spans="1:6" s="2993" customFormat="1">
      <c r="A55" s="3202"/>
      <c r="B55" s="2991" t="s">
        <v>3280</v>
      </c>
      <c r="C55" s="2992">
        <v>84.77</v>
      </c>
      <c r="D55" s="2993" t="s">
        <v>4487</v>
      </c>
      <c r="E55" s="2995">
        <v>2543100</v>
      </c>
      <c r="F55" s="2993">
        <f t="shared" ref="F55:F56" si="9">E55/C55</f>
        <v>30000</v>
      </c>
    </row>
    <row r="56" spans="1:6" s="2993" customFormat="1">
      <c r="A56" s="3202"/>
      <c r="B56" s="2991" t="s">
        <v>3281</v>
      </c>
      <c r="C56" s="2992">
        <v>84.36</v>
      </c>
      <c r="D56" s="2993" t="s">
        <v>3252</v>
      </c>
      <c r="E56" s="2995">
        <v>2530800</v>
      </c>
      <c r="F56" s="2993">
        <f t="shared" si="9"/>
        <v>30000</v>
      </c>
    </row>
    <row r="57" spans="1:6" s="2993" customFormat="1">
      <c r="A57" s="3202"/>
      <c r="B57" s="2991" t="s">
        <v>3282</v>
      </c>
      <c r="C57" s="2992">
        <v>45.51</v>
      </c>
      <c r="D57" s="2993" t="s">
        <v>3254</v>
      </c>
      <c r="E57" s="2995">
        <v>420000</v>
      </c>
    </row>
    <row r="58" spans="1:6" s="2993" customFormat="1">
      <c r="A58" s="3202"/>
      <c r="B58" s="2991" t="s">
        <v>3283</v>
      </c>
      <c r="C58" s="2992">
        <v>45.51</v>
      </c>
      <c r="D58" s="2993" t="s">
        <v>3254</v>
      </c>
      <c r="E58" s="2995">
        <v>420000</v>
      </c>
    </row>
    <row r="59" spans="1:6" s="2993" customFormat="1">
      <c r="A59" s="3203">
        <v>13</v>
      </c>
      <c r="B59" s="2991" t="s">
        <v>3284</v>
      </c>
      <c r="C59" s="2992">
        <v>134.83000000000001</v>
      </c>
      <c r="D59" s="2993" t="s">
        <v>3257</v>
      </c>
      <c r="E59" s="2995">
        <v>7946936</v>
      </c>
    </row>
    <row r="60" spans="1:6" s="2993" customFormat="1">
      <c r="A60" s="3203"/>
      <c r="B60" s="2991" t="s">
        <v>3285</v>
      </c>
      <c r="C60" s="2992">
        <v>85</v>
      </c>
      <c r="D60" s="2993" t="s">
        <v>4487</v>
      </c>
      <c r="E60" s="2995">
        <v>2550000</v>
      </c>
      <c r="F60" s="2993">
        <f t="shared" ref="F60:F61" si="10">E60/C60</f>
        <v>30000</v>
      </c>
    </row>
    <row r="61" spans="1:6" s="2993" customFormat="1">
      <c r="A61" s="3203"/>
      <c r="B61" s="2991" t="s">
        <v>3286</v>
      </c>
      <c r="C61" s="2992">
        <v>84.32</v>
      </c>
      <c r="D61" s="2993" t="s">
        <v>3241</v>
      </c>
      <c r="E61" s="2995">
        <v>2529600</v>
      </c>
      <c r="F61" s="2993">
        <f t="shared" si="10"/>
        <v>30000.000000000004</v>
      </c>
    </row>
    <row r="62" spans="1:6" s="2993" customFormat="1">
      <c r="A62" s="3203"/>
      <c r="B62" s="2991" t="s">
        <v>3287</v>
      </c>
      <c r="C62" s="2992">
        <v>45.51</v>
      </c>
      <c r="D62" s="2993" t="s">
        <v>3235</v>
      </c>
      <c r="E62" s="2995">
        <v>420000</v>
      </c>
    </row>
    <row r="63" spans="1:6" s="2993" customFormat="1">
      <c r="A63" s="3203"/>
      <c r="B63" s="2991" t="s">
        <v>3288</v>
      </c>
      <c r="C63" s="2992">
        <v>45.51</v>
      </c>
      <c r="D63" s="2993" t="s">
        <v>3235</v>
      </c>
      <c r="E63" s="2995">
        <v>420000</v>
      </c>
    </row>
    <row r="64" spans="1:6" s="2993" customFormat="1">
      <c r="A64" s="3202">
        <v>14</v>
      </c>
      <c r="B64" s="2991" t="s">
        <v>3289</v>
      </c>
      <c r="C64" s="2992">
        <v>134.63999999999999</v>
      </c>
      <c r="D64" s="2993" t="s">
        <v>3238</v>
      </c>
      <c r="E64" s="2995">
        <v>8514647</v>
      </c>
    </row>
    <row r="65" spans="1:6" s="2993" customFormat="1">
      <c r="A65" s="3202"/>
      <c r="B65" s="2991" t="s">
        <v>3290</v>
      </c>
      <c r="C65" s="2992">
        <v>84.58</v>
      </c>
      <c r="D65" s="2993" t="s">
        <v>4487</v>
      </c>
      <c r="E65" s="2995">
        <v>2537400</v>
      </c>
      <c r="F65" s="2993">
        <f t="shared" ref="F65:F66" si="11">E65/C65</f>
        <v>30000</v>
      </c>
    </row>
    <row r="66" spans="1:6" s="2993" customFormat="1">
      <c r="A66" s="3202"/>
      <c r="B66" s="2991" t="s">
        <v>3291</v>
      </c>
      <c r="C66" s="2992">
        <v>83.6</v>
      </c>
      <c r="D66" s="2993" t="s">
        <v>3241</v>
      </c>
      <c r="E66" s="2995">
        <v>2508000</v>
      </c>
      <c r="F66" s="2993">
        <f t="shared" si="11"/>
        <v>30000.000000000004</v>
      </c>
    </row>
    <row r="67" spans="1:6" s="2993" customFormat="1">
      <c r="A67" s="3202"/>
      <c r="B67" s="2991" t="s">
        <v>3292</v>
      </c>
      <c r="C67" s="2992">
        <v>45.51</v>
      </c>
      <c r="D67" s="2993" t="s">
        <v>3235</v>
      </c>
      <c r="E67" s="2995">
        <v>420000</v>
      </c>
    </row>
    <row r="68" spans="1:6" s="2993" customFormat="1">
      <c r="A68" s="3202"/>
      <c r="B68" s="2991" t="s">
        <v>3293</v>
      </c>
      <c r="C68" s="2992">
        <v>45.51</v>
      </c>
      <c r="D68" s="2993" t="s">
        <v>3235</v>
      </c>
      <c r="E68" s="2995">
        <v>420000</v>
      </c>
    </row>
    <row r="69" spans="1:6" s="2993" customFormat="1">
      <c r="A69" s="3203">
        <v>15</v>
      </c>
      <c r="B69" s="2991" t="s">
        <v>3294</v>
      </c>
      <c r="C69" s="2992">
        <v>134.83000000000001</v>
      </c>
      <c r="D69" s="2993" t="s">
        <v>3238</v>
      </c>
      <c r="E69" s="2995">
        <v>8115706</v>
      </c>
    </row>
    <row r="70" spans="1:6" s="2993" customFormat="1">
      <c r="A70" s="3203"/>
      <c r="B70" s="2991" t="s">
        <v>3295</v>
      </c>
      <c r="C70" s="2992">
        <v>85</v>
      </c>
      <c r="D70" s="2993" t="s">
        <v>4487</v>
      </c>
      <c r="E70" s="2995">
        <v>2550000</v>
      </c>
      <c r="F70" s="2993">
        <f t="shared" ref="F70:F71" si="12">E70/C70</f>
        <v>30000</v>
      </c>
    </row>
    <row r="71" spans="1:6" s="2993" customFormat="1">
      <c r="A71" s="3203"/>
      <c r="B71" s="2991" t="s">
        <v>3296</v>
      </c>
      <c r="C71" s="2992">
        <v>84.32</v>
      </c>
      <c r="D71" s="2993" t="s">
        <v>3241</v>
      </c>
      <c r="E71" s="2995">
        <v>2529600</v>
      </c>
      <c r="F71" s="2993">
        <f t="shared" si="12"/>
        <v>30000.000000000004</v>
      </c>
    </row>
    <row r="72" spans="1:6" s="2993" customFormat="1">
      <c r="A72" s="3203"/>
      <c r="B72" s="2991" t="s">
        <v>3297</v>
      </c>
      <c r="C72" s="2992">
        <v>45.51</v>
      </c>
      <c r="D72" s="2993" t="s">
        <v>3235</v>
      </c>
      <c r="E72" s="2995">
        <v>420000</v>
      </c>
    </row>
    <row r="73" spans="1:6" s="2993" customFormat="1">
      <c r="A73" s="3203"/>
      <c r="B73" s="2991" t="s">
        <v>3298</v>
      </c>
      <c r="C73" s="2992">
        <v>45.51</v>
      </c>
      <c r="D73" s="2993" t="s">
        <v>3235</v>
      </c>
      <c r="E73" s="2995">
        <v>420000</v>
      </c>
    </row>
    <row r="74" spans="1:6" s="2993" customFormat="1">
      <c r="A74" s="3202">
        <v>16</v>
      </c>
      <c r="B74" s="2991" t="s">
        <v>3299</v>
      </c>
      <c r="C74" s="2992">
        <v>134.29</v>
      </c>
      <c r="D74" s="2993" t="s">
        <v>3238</v>
      </c>
      <c r="E74" s="2995">
        <v>8528489</v>
      </c>
    </row>
    <row r="75" spans="1:6" s="2993" customFormat="1">
      <c r="A75" s="3202"/>
      <c r="B75" s="2991" t="s">
        <v>3300</v>
      </c>
      <c r="C75" s="2992">
        <v>84.35</v>
      </c>
      <c r="D75" s="2993" t="s">
        <v>4487</v>
      </c>
      <c r="E75" s="2995">
        <v>2530500</v>
      </c>
      <c r="F75" s="2993">
        <f t="shared" ref="F75:F76" si="13">E75/C75</f>
        <v>30000.000000000004</v>
      </c>
    </row>
    <row r="76" spans="1:6" s="2993" customFormat="1">
      <c r="A76" s="3202"/>
      <c r="B76" s="2991" t="s">
        <v>3301</v>
      </c>
      <c r="C76" s="2992">
        <v>83.62</v>
      </c>
      <c r="D76" s="2993" t="s">
        <v>3241</v>
      </c>
      <c r="E76" s="2995">
        <v>2508600</v>
      </c>
      <c r="F76" s="2993">
        <f t="shared" si="13"/>
        <v>30000</v>
      </c>
    </row>
    <row r="77" spans="1:6" s="2993" customFormat="1">
      <c r="A77" s="3202"/>
      <c r="B77" s="2991" t="s">
        <v>3302</v>
      </c>
      <c r="C77" s="2992">
        <v>45.51</v>
      </c>
      <c r="D77" s="2993" t="s">
        <v>3235</v>
      </c>
      <c r="E77" s="2995">
        <v>420000</v>
      </c>
    </row>
    <row r="78" spans="1:6" s="2993" customFormat="1">
      <c r="A78" s="3202"/>
      <c r="B78" s="2991" t="s">
        <v>3303</v>
      </c>
      <c r="C78" s="2992">
        <v>45.51</v>
      </c>
      <c r="D78" s="2993" t="s">
        <v>3235</v>
      </c>
      <c r="E78" s="2995">
        <v>420000</v>
      </c>
    </row>
    <row r="79" spans="1:6" s="2993" customFormat="1">
      <c r="A79" s="3203">
        <v>17</v>
      </c>
      <c r="B79" s="2991" t="s">
        <v>3304</v>
      </c>
      <c r="C79" s="2992">
        <v>134.47</v>
      </c>
      <c r="D79" s="2993" t="s">
        <v>3238</v>
      </c>
      <c r="E79" s="2995">
        <v>7993033</v>
      </c>
    </row>
    <row r="80" spans="1:6" s="2993" customFormat="1">
      <c r="A80" s="3203"/>
      <c r="B80" s="2991" t="s">
        <v>3305</v>
      </c>
      <c r="C80" s="2992">
        <v>84.77</v>
      </c>
      <c r="D80" s="2993" t="s">
        <v>4487</v>
      </c>
      <c r="E80" s="2995">
        <v>2543100</v>
      </c>
      <c r="F80" s="2993">
        <f t="shared" ref="F80:F81" si="14">E80/C80</f>
        <v>30000</v>
      </c>
    </row>
    <row r="81" spans="1:6" s="2993" customFormat="1">
      <c r="A81" s="3203"/>
      <c r="B81" s="2991" t="s">
        <v>3306</v>
      </c>
      <c r="C81" s="2992">
        <v>84.34</v>
      </c>
      <c r="D81" s="2993" t="s">
        <v>3241</v>
      </c>
      <c r="E81" s="2995">
        <v>2530200</v>
      </c>
      <c r="F81" s="2993">
        <f t="shared" si="14"/>
        <v>30000</v>
      </c>
    </row>
    <row r="82" spans="1:6" s="2993" customFormat="1">
      <c r="A82" s="3203"/>
      <c r="B82" s="2991" t="s">
        <v>3307</v>
      </c>
      <c r="C82" s="2992">
        <v>45.51</v>
      </c>
      <c r="D82" s="2993" t="s">
        <v>3235</v>
      </c>
      <c r="E82" s="2995">
        <v>420000</v>
      </c>
    </row>
    <row r="83" spans="1:6" s="2993" customFormat="1">
      <c r="A83" s="3203"/>
      <c r="B83" s="2991" t="s">
        <v>3308</v>
      </c>
      <c r="C83" s="2992">
        <v>45.51</v>
      </c>
      <c r="D83" s="2993" t="s">
        <v>3235</v>
      </c>
      <c r="E83" s="2995">
        <v>420000</v>
      </c>
    </row>
    <row r="84" spans="1:6" s="2993" customFormat="1">
      <c r="A84" s="3203">
        <v>18</v>
      </c>
      <c r="B84" s="2991" t="s">
        <v>3309</v>
      </c>
      <c r="C84" s="2992">
        <v>109.54</v>
      </c>
      <c r="D84" s="2993" t="s">
        <v>3238</v>
      </c>
      <c r="E84" s="2995">
        <v>5972523</v>
      </c>
    </row>
    <row r="85" spans="1:6" s="2993" customFormat="1">
      <c r="A85" s="3203"/>
      <c r="B85" s="2991" t="s">
        <v>3310</v>
      </c>
      <c r="C85" s="2992">
        <v>68.930000000000007</v>
      </c>
      <c r="D85" s="2993" t="s">
        <v>4487</v>
      </c>
      <c r="E85" s="2995">
        <v>2067900</v>
      </c>
      <c r="F85" s="2993">
        <f t="shared" ref="F85:F86" si="15">E85/C85</f>
        <v>29999.999999999996</v>
      </c>
    </row>
    <row r="86" spans="1:6" s="2993" customFormat="1">
      <c r="A86" s="3203"/>
      <c r="B86" s="2991" t="s">
        <v>3311</v>
      </c>
      <c r="C86" s="2992">
        <v>124.79</v>
      </c>
      <c r="D86" s="2993" t="s">
        <v>3241</v>
      </c>
      <c r="E86" s="2995">
        <v>3743700</v>
      </c>
      <c r="F86" s="2993">
        <f t="shared" si="15"/>
        <v>30000</v>
      </c>
    </row>
    <row r="87" spans="1:6" s="2993" customFormat="1">
      <c r="A87" s="3203"/>
      <c r="B87" s="2991" t="s">
        <v>3312</v>
      </c>
      <c r="C87" s="2992">
        <v>45.51</v>
      </c>
      <c r="D87" s="2993" t="s">
        <v>3235</v>
      </c>
      <c r="E87" s="2995">
        <v>420000</v>
      </c>
    </row>
    <row r="88" spans="1:6" s="2993" customFormat="1">
      <c r="A88" s="3203"/>
      <c r="B88" s="2991" t="s">
        <v>3313</v>
      </c>
      <c r="C88" s="2992">
        <v>45.51</v>
      </c>
      <c r="D88" s="2993" t="s">
        <v>3235</v>
      </c>
      <c r="E88" s="2995">
        <v>420000</v>
      </c>
    </row>
    <row r="89" spans="1:6" s="2993" customFormat="1">
      <c r="A89" s="3202">
        <v>19</v>
      </c>
      <c r="B89" s="2991" t="s">
        <v>3314</v>
      </c>
      <c r="C89" s="2992">
        <v>109.7</v>
      </c>
      <c r="D89" s="2993" t="s">
        <v>3238</v>
      </c>
      <c r="E89" s="2995">
        <v>6359022</v>
      </c>
    </row>
    <row r="90" spans="1:6" s="2993" customFormat="1">
      <c r="A90" s="3202"/>
      <c r="B90" s="2991" t="s">
        <v>3315</v>
      </c>
      <c r="C90" s="2992">
        <v>69.150000000000006</v>
      </c>
      <c r="D90" s="2993" t="s">
        <v>4487</v>
      </c>
      <c r="E90" s="2995">
        <v>2074500</v>
      </c>
      <c r="F90" s="2993">
        <f t="shared" ref="F90:F91" si="16">E90/C90</f>
        <v>29999.999999999996</v>
      </c>
    </row>
    <row r="91" spans="1:6" s="2993" customFormat="1">
      <c r="A91" s="3202"/>
      <c r="B91" s="2991" t="s">
        <v>3316</v>
      </c>
      <c r="C91" s="2992">
        <v>124.79</v>
      </c>
      <c r="D91" s="2993" t="s">
        <v>3241</v>
      </c>
      <c r="E91" s="2995">
        <v>3743700</v>
      </c>
      <c r="F91" s="2993">
        <f t="shared" si="16"/>
        <v>30000</v>
      </c>
    </row>
    <row r="92" spans="1:6" s="2993" customFormat="1">
      <c r="A92" s="3202"/>
      <c r="B92" s="2991" t="s">
        <v>3317</v>
      </c>
      <c r="C92" s="2992">
        <v>45.51</v>
      </c>
      <c r="D92" s="2993" t="s">
        <v>3235</v>
      </c>
      <c r="E92" s="2995">
        <v>420000</v>
      </c>
    </row>
    <row r="93" spans="1:6" s="2993" customFormat="1">
      <c r="A93" s="3202"/>
      <c r="B93" s="2991" t="s">
        <v>3318</v>
      </c>
      <c r="C93" s="2992">
        <v>45.51</v>
      </c>
      <c r="D93" s="2993" t="s">
        <v>3235</v>
      </c>
      <c r="E93" s="2995">
        <v>420000</v>
      </c>
    </row>
    <row r="94" spans="1:6" s="2993" customFormat="1">
      <c r="A94" s="3203">
        <v>20</v>
      </c>
      <c r="B94" s="2991" t="s">
        <v>3319</v>
      </c>
      <c r="C94" s="2992">
        <v>109.7</v>
      </c>
      <c r="D94" s="2993" t="s">
        <v>3238</v>
      </c>
      <c r="E94" s="2995">
        <v>6517824</v>
      </c>
    </row>
    <row r="95" spans="1:6" s="2993" customFormat="1">
      <c r="A95" s="3203"/>
      <c r="B95" s="2991" t="s">
        <v>3320</v>
      </c>
      <c r="C95" s="2992">
        <v>69.150000000000006</v>
      </c>
      <c r="D95" s="2993" t="s">
        <v>4487</v>
      </c>
      <c r="E95" s="2995">
        <v>2074500</v>
      </c>
      <c r="F95" s="2993">
        <f t="shared" ref="F95:F96" si="17">E95/C95</f>
        <v>29999.999999999996</v>
      </c>
    </row>
    <row r="96" spans="1:6" s="2993" customFormat="1">
      <c r="A96" s="3203"/>
      <c r="B96" s="2991" t="s">
        <v>3321</v>
      </c>
      <c r="C96" s="2992">
        <v>124.79</v>
      </c>
      <c r="D96" s="2993" t="s">
        <v>3241</v>
      </c>
      <c r="E96" s="2995">
        <v>3743700</v>
      </c>
      <c r="F96" s="2993">
        <f t="shared" si="17"/>
        <v>30000</v>
      </c>
    </row>
    <row r="97" spans="1:6" s="2993" customFormat="1">
      <c r="A97" s="3203"/>
      <c r="B97" s="2991" t="s">
        <v>3322</v>
      </c>
      <c r="C97" s="2992">
        <v>45.51</v>
      </c>
      <c r="D97" s="2993" t="s">
        <v>3235</v>
      </c>
      <c r="E97" s="2995">
        <v>420000</v>
      </c>
    </row>
    <row r="98" spans="1:6" s="2993" customFormat="1">
      <c r="A98" s="3203"/>
      <c r="B98" s="2991" t="s">
        <v>3323</v>
      </c>
      <c r="C98" s="2992">
        <v>45.51</v>
      </c>
      <c r="D98" s="2993" t="s">
        <v>3235</v>
      </c>
      <c r="E98" s="2995">
        <v>420000</v>
      </c>
    </row>
    <row r="99" spans="1:6" s="2993" customFormat="1">
      <c r="A99" s="3203">
        <v>21</v>
      </c>
      <c r="B99" s="2991" t="s">
        <v>3324</v>
      </c>
      <c r="C99" s="2992">
        <v>134.63999999999999</v>
      </c>
      <c r="D99" s="2993" t="s">
        <v>3238</v>
      </c>
      <c r="E99" s="2995">
        <v>8346460</v>
      </c>
    </row>
    <row r="100" spans="1:6" s="2993" customFormat="1">
      <c r="A100" s="3203"/>
      <c r="B100" s="2991" t="s">
        <v>3325</v>
      </c>
      <c r="C100" s="2992">
        <v>84.58</v>
      </c>
      <c r="D100" s="2993" t="s">
        <v>4487</v>
      </c>
      <c r="E100" s="2995">
        <v>2537400</v>
      </c>
      <c r="F100" s="2993">
        <f t="shared" ref="F100:F101" si="18">E100/C100</f>
        <v>30000</v>
      </c>
    </row>
    <row r="101" spans="1:6" s="2993" customFormat="1">
      <c r="A101" s="3203"/>
      <c r="B101" s="2991" t="s">
        <v>3326</v>
      </c>
      <c r="C101" s="2992">
        <v>83.6</v>
      </c>
      <c r="D101" s="2993" t="s">
        <v>3241</v>
      </c>
      <c r="E101" s="2995">
        <v>2508000</v>
      </c>
      <c r="F101" s="2993">
        <f t="shared" si="18"/>
        <v>30000.000000000004</v>
      </c>
    </row>
    <row r="102" spans="1:6" s="2993" customFormat="1">
      <c r="A102" s="3203"/>
      <c r="B102" s="2991" t="s">
        <v>3327</v>
      </c>
      <c r="C102" s="2992">
        <v>45.51</v>
      </c>
      <c r="D102" s="2993" t="s">
        <v>3235</v>
      </c>
      <c r="E102" s="2995">
        <v>420000</v>
      </c>
    </row>
    <row r="103" spans="1:6" s="2993" customFormat="1">
      <c r="A103" s="3203"/>
      <c r="B103" s="2991" t="s">
        <v>3328</v>
      </c>
      <c r="C103" s="2992">
        <v>45.51</v>
      </c>
      <c r="D103" s="2993" t="s">
        <v>3235</v>
      </c>
      <c r="E103" s="2995">
        <v>420000</v>
      </c>
    </row>
    <row r="104" spans="1:6" s="2993" customFormat="1">
      <c r="A104" s="3202">
        <v>22</v>
      </c>
      <c r="B104" s="2991" t="s">
        <v>3329</v>
      </c>
      <c r="C104" s="2992">
        <v>134.83000000000001</v>
      </c>
      <c r="D104" s="2993" t="s">
        <v>3238</v>
      </c>
      <c r="E104" s="2995">
        <v>8115706</v>
      </c>
    </row>
    <row r="105" spans="1:6" s="2993" customFormat="1">
      <c r="A105" s="3202"/>
      <c r="B105" s="2991" t="s">
        <v>3330</v>
      </c>
      <c r="C105" s="2992">
        <v>85</v>
      </c>
      <c r="D105" s="2993" t="s">
        <v>4487</v>
      </c>
      <c r="E105" s="2995">
        <v>2550000</v>
      </c>
      <c r="F105" s="2993">
        <f t="shared" ref="F105:F106" si="19">E105/C105</f>
        <v>30000</v>
      </c>
    </row>
    <row r="106" spans="1:6" s="2993" customFormat="1">
      <c r="A106" s="3202"/>
      <c r="B106" s="2991" t="s">
        <v>3331</v>
      </c>
      <c r="C106" s="2992">
        <v>84.32</v>
      </c>
      <c r="D106" s="2993" t="s">
        <v>3241</v>
      </c>
      <c r="E106" s="2995">
        <v>2529600</v>
      </c>
      <c r="F106" s="2993">
        <f t="shared" si="19"/>
        <v>30000.000000000004</v>
      </c>
    </row>
    <row r="107" spans="1:6" s="2993" customFormat="1">
      <c r="A107" s="3202"/>
      <c r="B107" s="2991" t="s">
        <v>3332</v>
      </c>
      <c r="C107" s="2992">
        <v>45.51</v>
      </c>
      <c r="D107" s="2993" t="s">
        <v>3235</v>
      </c>
      <c r="E107" s="2995">
        <v>420000</v>
      </c>
    </row>
    <row r="108" spans="1:6" s="2993" customFormat="1">
      <c r="A108" s="3202"/>
      <c r="B108" s="2991" t="s">
        <v>3333</v>
      </c>
      <c r="C108" s="2992">
        <v>45.51</v>
      </c>
      <c r="D108" s="2993" t="s">
        <v>3235</v>
      </c>
      <c r="E108" s="2995">
        <v>420000</v>
      </c>
    </row>
    <row r="109" spans="1:6" s="2993" customFormat="1">
      <c r="A109" s="3202">
        <v>23</v>
      </c>
      <c r="B109" s="2991" t="s">
        <v>3334</v>
      </c>
      <c r="C109" s="2992">
        <v>45.51</v>
      </c>
      <c r="D109" s="2993" t="s">
        <v>3235</v>
      </c>
      <c r="E109" s="2995">
        <v>420000</v>
      </c>
    </row>
    <row r="110" spans="1:6" s="2993" customFormat="1">
      <c r="A110" s="3202"/>
      <c r="B110" s="2991" t="s">
        <v>3335</v>
      </c>
      <c r="C110" s="2992">
        <v>45.51</v>
      </c>
      <c r="D110" s="2993" t="s">
        <v>3235</v>
      </c>
      <c r="E110" s="2995">
        <v>420000</v>
      </c>
    </row>
    <row r="111" spans="1:6" s="2993" customFormat="1">
      <c r="A111" s="3202">
        <v>24</v>
      </c>
      <c r="B111" s="2991" t="s">
        <v>3336</v>
      </c>
      <c r="C111" s="2992">
        <v>134.83000000000001</v>
      </c>
      <c r="D111" s="2993" t="s">
        <v>3238</v>
      </c>
      <c r="E111" s="2995">
        <v>8014430</v>
      </c>
    </row>
    <row r="112" spans="1:6" s="2993" customFormat="1">
      <c r="A112" s="3202"/>
      <c r="B112" s="2991" t="s">
        <v>3337</v>
      </c>
      <c r="C112" s="2992">
        <v>84.99</v>
      </c>
      <c r="D112" s="2993" t="s">
        <v>4487</v>
      </c>
      <c r="E112" s="2995">
        <v>2549700</v>
      </c>
      <c r="F112" s="2993">
        <f t="shared" ref="F112:F113" si="20">E112/C112</f>
        <v>30000</v>
      </c>
    </row>
    <row r="113" spans="1:6" s="2993" customFormat="1">
      <c r="A113" s="3202"/>
      <c r="B113" s="2991" t="s">
        <v>3338</v>
      </c>
      <c r="C113" s="2992">
        <v>84.6</v>
      </c>
      <c r="D113" s="2993" t="s">
        <v>3241</v>
      </c>
      <c r="E113" s="2995">
        <v>2538000</v>
      </c>
      <c r="F113" s="2993">
        <f t="shared" si="20"/>
        <v>30000.000000000004</v>
      </c>
    </row>
    <row r="114" spans="1:6" s="2993" customFormat="1">
      <c r="A114" s="3202"/>
      <c r="B114" s="2991" t="s">
        <v>3339</v>
      </c>
      <c r="C114" s="2992">
        <v>45.51</v>
      </c>
      <c r="D114" s="2993" t="s">
        <v>3235</v>
      </c>
      <c r="E114" s="2995">
        <v>420000</v>
      </c>
    </row>
    <row r="115" spans="1:6" s="2993" customFormat="1">
      <c r="A115" s="3202"/>
      <c r="B115" s="2991" t="s">
        <v>3340</v>
      </c>
      <c r="C115" s="2992">
        <v>45.51</v>
      </c>
      <c r="D115" s="2993" t="s">
        <v>3235</v>
      </c>
      <c r="E115" s="2995">
        <v>420000</v>
      </c>
    </row>
    <row r="116" spans="1:6" s="2993" customFormat="1">
      <c r="A116" s="3202">
        <v>25</v>
      </c>
      <c r="B116" s="2991" t="s">
        <v>3341</v>
      </c>
      <c r="C116" s="2992">
        <v>139.24</v>
      </c>
      <c r="D116" s="2993" t="s">
        <v>3238</v>
      </c>
      <c r="E116" s="2995">
        <v>8842854</v>
      </c>
    </row>
    <row r="117" spans="1:6" s="2993" customFormat="1">
      <c r="A117" s="3202"/>
      <c r="B117" s="2991" t="s">
        <v>3342</v>
      </c>
      <c r="C117" s="2992">
        <v>87.25</v>
      </c>
      <c r="D117" s="2993" t="s">
        <v>4487</v>
      </c>
      <c r="E117" s="2995">
        <v>2617500</v>
      </c>
      <c r="F117" s="2993">
        <f t="shared" ref="F117:F118" si="21">E117/C117</f>
        <v>30000</v>
      </c>
    </row>
    <row r="118" spans="1:6" s="2993" customFormat="1">
      <c r="A118" s="3202"/>
      <c r="B118" s="2991" t="s">
        <v>3343</v>
      </c>
      <c r="C118" s="2992">
        <v>85.48</v>
      </c>
      <c r="D118" s="2993" t="s">
        <v>3241</v>
      </c>
      <c r="E118" s="2995">
        <v>2564400</v>
      </c>
      <c r="F118" s="2993">
        <f t="shared" si="21"/>
        <v>30000</v>
      </c>
    </row>
    <row r="119" spans="1:6" s="2993" customFormat="1">
      <c r="A119" s="3202"/>
      <c r="B119" s="2991" t="s">
        <v>3344</v>
      </c>
      <c r="C119" s="2992">
        <v>45.51</v>
      </c>
      <c r="D119" s="2993" t="s">
        <v>3235</v>
      </c>
      <c r="E119" s="2995">
        <v>420000</v>
      </c>
    </row>
    <row r="120" spans="1:6" s="2993" customFormat="1">
      <c r="A120" s="3202"/>
      <c r="B120" s="2991" t="s">
        <v>3345</v>
      </c>
      <c r="C120" s="2992">
        <v>45.51</v>
      </c>
      <c r="D120" s="2993" t="s">
        <v>3235</v>
      </c>
      <c r="E120" s="2995">
        <v>420000</v>
      </c>
    </row>
    <row r="121" spans="1:6" s="2993" customFormat="1">
      <c r="A121" s="3202">
        <v>26</v>
      </c>
      <c r="B121" s="2991" t="s">
        <v>3346</v>
      </c>
      <c r="C121" s="2992">
        <v>134.28</v>
      </c>
      <c r="D121" s="2993" t="s">
        <v>3238</v>
      </c>
      <c r="E121" s="2995">
        <v>7699179</v>
      </c>
    </row>
    <row r="122" spans="1:6" s="2993" customFormat="1">
      <c r="A122" s="3202"/>
      <c r="B122" s="2991" t="s">
        <v>3347</v>
      </c>
      <c r="C122" s="2992">
        <v>84.49</v>
      </c>
      <c r="D122" s="2993" t="s">
        <v>4487</v>
      </c>
      <c r="E122" s="2995">
        <v>2534700</v>
      </c>
      <c r="F122" s="2993">
        <f t="shared" ref="F122:F123" si="22">E122/C122</f>
        <v>30000</v>
      </c>
    </row>
    <row r="123" spans="1:6" s="2993" customFormat="1">
      <c r="A123" s="3202"/>
      <c r="B123" s="2991" t="s">
        <v>3348</v>
      </c>
      <c r="C123" s="2992">
        <v>84.17</v>
      </c>
      <c r="D123" s="2993" t="s">
        <v>3241</v>
      </c>
      <c r="E123" s="2995">
        <v>2525100</v>
      </c>
      <c r="F123" s="2993">
        <f t="shared" si="22"/>
        <v>30000</v>
      </c>
    </row>
    <row r="124" spans="1:6" s="2993" customFormat="1">
      <c r="A124" s="3202"/>
      <c r="B124" s="2991" t="s">
        <v>3349</v>
      </c>
      <c r="C124" s="2992">
        <v>45.51</v>
      </c>
      <c r="D124" s="2993" t="s">
        <v>3235</v>
      </c>
      <c r="E124" s="2995">
        <v>420000</v>
      </c>
    </row>
    <row r="125" spans="1:6" s="2993" customFormat="1">
      <c r="A125" s="3202"/>
      <c r="B125" s="2991" t="s">
        <v>3350</v>
      </c>
      <c r="C125" s="2992">
        <v>45.51</v>
      </c>
      <c r="D125" s="2993" t="s">
        <v>3235</v>
      </c>
      <c r="E125" s="2995">
        <v>420000</v>
      </c>
    </row>
    <row r="126" spans="1:6" s="2993" customFormat="1">
      <c r="A126" s="3202">
        <v>27</v>
      </c>
      <c r="B126" s="2991" t="s">
        <v>3351</v>
      </c>
      <c r="C126" s="2992">
        <v>134.83000000000001</v>
      </c>
      <c r="D126" s="2993" t="s">
        <v>3238</v>
      </c>
      <c r="E126" s="2995">
        <v>7845558</v>
      </c>
    </row>
    <row r="127" spans="1:6" s="2993" customFormat="1">
      <c r="A127" s="3202"/>
      <c r="B127" s="2991" t="s">
        <v>3352</v>
      </c>
      <c r="C127" s="2992">
        <v>84.99</v>
      </c>
      <c r="D127" s="2993" t="s">
        <v>4487</v>
      </c>
      <c r="E127" s="2995">
        <v>2549700</v>
      </c>
      <c r="F127" s="2993">
        <f t="shared" ref="F127:F128" si="23">E127/C127</f>
        <v>30000</v>
      </c>
    </row>
    <row r="128" spans="1:6" s="2993" customFormat="1">
      <c r="A128" s="3202"/>
      <c r="B128" s="2991" t="s">
        <v>3353</v>
      </c>
      <c r="C128" s="2992">
        <v>84.6</v>
      </c>
      <c r="D128" s="2993" t="s">
        <v>3241</v>
      </c>
      <c r="E128" s="2995">
        <v>2538000</v>
      </c>
      <c r="F128" s="2993">
        <f t="shared" si="23"/>
        <v>30000.000000000004</v>
      </c>
    </row>
    <row r="129" spans="1:6" s="2993" customFormat="1">
      <c r="A129" s="3202"/>
      <c r="B129" s="2991" t="s">
        <v>3354</v>
      </c>
      <c r="C129" s="2992">
        <v>45.51</v>
      </c>
      <c r="D129" s="2993" t="s">
        <v>3235</v>
      </c>
      <c r="E129" s="2995">
        <v>420000</v>
      </c>
    </row>
    <row r="130" spans="1:6" s="2993" customFormat="1">
      <c r="A130" s="3202"/>
      <c r="B130" s="2991" t="s">
        <v>3355</v>
      </c>
      <c r="C130" s="2992">
        <v>45.51</v>
      </c>
      <c r="D130" s="2993" t="s">
        <v>3235</v>
      </c>
      <c r="E130" s="2995">
        <v>420000</v>
      </c>
    </row>
    <row r="131" spans="1:6" s="2993" customFormat="1">
      <c r="A131" s="3202">
        <v>28</v>
      </c>
      <c r="B131" s="2991" t="s">
        <v>3356</v>
      </c>
      <c r="C131" s="2992">
        <v>134.83000000000001</v>
      </c>
      <c r="D131" s="2993" t="s">
        <v>3238</v>
      </c>
      <c r="E131" s="2995">
        <v>8014430</v>
      </c>
    </row>
    <row r="132" spans="1:6" s="2993" customFormat="1">
      <c r="A132" s="3202"/>
      <c r="B132" s="2991" t="s">
        <v>3357</v>
      </c>
      <c r="C132" s="2992">
        <v>84.99</v>
      </c>
      <c r="D132" s="2993" t="s">
        <v>4487</v>
      </c>
      <c r="E132" s="2995">
        <v>2549700</v>
      </c>
      <c r="F132" s="2993">
        <f t="shared" ref="F132:F133" si="24">E132/C132</f>
        <v>30000</v>
      </c>
    </row>
    <row r="133" spans="1:6" s="2993" customFormat="1">
      <c r="A133" s="3202"/>
      <c r="B133" s="2991" t="s">
        <v>3358</v>
      </c>
      <c r="C133" s="2992">
        <v>84.6</v>
      </c>
      <c r="D133" s="2993" t="s">
        <v>3241</v>
      </c>
      <c r="E133" s="2995">
        <v>2538000</v>
      </c>
      <c r="F133" s="2993">
        <f t="shared" si="24"/>
        <v>30000.000000000004</v>
      </c>
    </row>
    <row r="134" spans="1:6" s="2993" customFormat="1">
      <c r="A134" s="3202"/>
      <c r="B134" s="2991" t="s">
        <v>3359</v>
      </c>
      <c r="C134" s="2992">
        <v>45.51</v>
      </c>
      <c r="D134" s="2993" t="s">
        <v>3235</v>
      </c>
      <c r="E134" s="2995">
        <v>420000</v>
      </c>
    </row>
    <row r="135" spans="1:6" s="2993" customFormat="1">
      <c r="A135" s="3202"/>
      <c r="B135" s="2991" t="s">
        <v>3360</v>
      </c>
      <c r="C135" s="2992">
        <v>45.51</v>
      </c>
      <c r="D135" s="2993" t="s">
        <v>3235</v>
      </c>
      <c r="E135" s="2995">
        <v>420000</v>
      </c>
    </row>
    <row r="136" spans="1:6" s="2993" customFormat="1">
      <c r="A136" s="3202">
        <v>29</v>
      </c>
      <c r="B136" s="2991" t="s">
        <v>3361</v>
      </c>
      <c r="C136" s="2992">
        <v>134.46</v>
      </c>
      <c r="D136" s="2993" t="s">
        <v>3238</v>
      </c>
      <c r="E136" s="2995">
        <v>7992437</v>
      </c>
    </row>
    <row r="137" spans="1:6" s="2993" customFormat="1">
      <c r="A137" s="3202"/>
      <c r="B137" s="2991" t="s">
        <v>3362</v>
      </c>
      <c r="C137" s="2992">
        <v>84.77</v>
      </c>
      <c r="D137" s="2993" t="s">
        <v>4487</v>
      </c>
      <c r="E137" s="2995">
        <v>2543100</v>
      </c>
      <c r="F137" s="2993">
        <f t="shared" ref="F137:F138" si="25">E137/C137</f>
        <v>30000</v>
      </c>
    </row>
    <row r="138" spans="1:6" s="2993" customFormat="1">
      <c r="A138" s="3202"/>
      <c r="B138" s="2991" t="s">
        <v>3363</v>
      </c>
      <c r="C138" s="2992">
        <v>84.36</v>
      </c>
      <c r="D138" s="2993" t="s">
        <v>3241</v>
      </c>
      <c r="E138" s="2995">
        <v>2530800</v>
      </c>
      <c r="F138" s="2993">
        <f t="shared" si="25"/>
        <v>30000</v>
      </c>
    </row>
    <row r="139" spans="1:6" s="2993" customFormat="1">
      <c r="A139" s="3202"/>
      <c r="B139" s="2991" t="s">
        <v>3364</v>
      </c>
      <c r="C139" s="2992">
        <v>45.51</v>
      </c>
      <c r="D139" s="2993" t="s">
        <v>3235</v>
      </c>
      <c r="E139" s="2995">
        <v>420000</v>
      </c>
    </row>
    <row r="140" spans="1:6" s="2993" customFormat="1">
      <c r="A140" s="3202"/>
      <c r="B140" s="2991" t="s">
        <v>3365</v>
      </c>
      <c r="C140" s="2992">
        <v>45.51</v>
      </c>
      <c r="D140" s="2993" t="s">
        <v>3235</v>
      </c>
      <c r="E140" s="2995">
        <v>420000</v>
      </c>
    </row>
    <row r="141" spans="1:6" s="2993" customFormat="1">
      <c r="A141" s="3202">
        <v>30</v>
      </c>
      <c r="B141" s="2991" t="s">
        <v>3366</v>
      </c>
      <c r="C141" s="2992">
        <v>134.56</v>
      </c>
      <c r="D141" s="2993" t="s">
        <v>3238</v>
      </c>
      <c r="E141" s="2995">
        <v>8341510</v>
      </c>
    </row>
    <row r="142" spans="1:6" s="2993" customFormat="1">
      <c r="A142" s="3202"/>
      <c r="B142" s="2991" t="s">
        <v>3367</v>
      </c>
      <c r="C142" s="2992">
        <v>84.54</v>
      </c>
      <c r="D142" s="2993" t="s">
        <v>4487</v>
      </c>
      <c r="E142" s="2995">
        <v>2536200</v>
      </c>
      <c r="F142" s="2993">
        <f t="shared" ref="F142:F143" si="26">E142/C142</f>
        <v>29999.999999999996</v>
      </c>
    </row>
    <row r="143" spans="1:6" s="2993" customFormat="1">
      <c r="A143" s="3202"/>
      <c r="B143" s="2991" t="s">
        <v>3368</v>
      </c>
      <c r="C143" s="2992">
        <v>83.59</v>
      </c>
      <c r="D143" s="2993" t="s">
        <v>3252</v>
      </c>
      <c r="E143" s="2995">
        <v>2507700</v>
      </c>
      <c r="F143" s="2993">
        <f t="shared" si="26"/>
        <v>30000</v>
      </c>
    </row>
    <row r="144" spans="1:6" s="2993" customFormat="1">
      <c r="A144" s="3202"/>
      <c r="B144" s="2991" t="s">
        <v>3369</v>
      </c>
      <c r="C144" s="2992">
        <v>45.51</v>
      </c>
      <c r="D144" s="2993" t="s">
        <v>3254</v>
      </c>
      <c r="E144" s="2995">
        <v>420000</v>
      </c>
    </row>
    <row r="145" spans="1:6" s="2993" customFormat="1">
      <c r="A145" s="3202"/>
      <c r="B145" s="2991" t="s">
        <v>3370</v>
      </c>
      <c r="C145" s="2992">
        <v>45.51</v>
      </c>
      <c r="D145" s="2993" t="s">
        <v>3254</v>
      </c>
      <c r="E145" s="2995">
        <v>420000</v>
      </c>
    </row>
    <row r="146" spans="1:6" s="2993" customFormat="1">
      <c r="A146" s="3202">
        <v>31</v>
      </c>
      <c r="B146" s="2991" t="s">
        <v>3371</v>
      </c>
      <c r="C146" s="2992">
        <v>134.75</v>
      </c>
      <c r="D146" s="2993" t="s">
        <v>3257</v>
      </c>
      <c r="E146" s="2995">
        <v>7942213</v>
      </c>
    </row>
    <row r="147" spans="1:6" s="2993" customFormat="1">
      <c r="A147" s="3202"/>
      <c r="B147" s="2991" t="s">
        <v>3372</v>
      </c>
      <c r="C147" s="2992">
        <v>84.95</v>
      </c>
      <c r="D147" s="2993" t="s">
        <v>4487</v>
      </c>
      <c r="E147" s="2995">
        <v>2548500</v>
      </c>
      <c r="F147" s="2993">
        <f t="shared" ref="F147:F148" si="27">E147/C147</f>
        <v>30000</v>
      </c>
    </row>
    <row r="148" spans="1:6" s="2993" customFormat="1">
      <c r="A148" s="3202"/>
      <c r="B148" s="2991" t="s">
        <v>3373</v>
      </c>
      <c r="C148" s="2992">
        <v>84.31</v>
      </c>
      <c r="D148" s="2993" t="s">
        <v>3252</v>
      </c>
      <c r="E148" s="2995">
        <v>2529300</v>
      </c>
      <c r="F148" s="2993">
        <f t="shared" si="27"/>
        <v>30000</v>
      </c>
    </row>
    <row r="149" spans="1:6" s="2993" customFormat="1">
      <c r="A149" s="3202"/>
      <c r="B149" s="2991" t="s">
        <v>3374</v>
      </c>
      <c r="C149" s="2992">
        <v>45.51</v>
      </c>
      <c r="D149" s="2993" t="s">
        <v>3254</v>
      </c>
      <c r="E149" s="2995">
        <v>420000</v>
      </c>
    </row>
    <row r="150" spans="1:6" s="2993" customFormat="1">
      <c r="A150" s="3202"/>
      <c r="B150" s="2991" t="s">
        <v>3375</v>
      </c>
      <c r="C150" s="2992">
        <v>45.51</v>
      </c>
      <c r="D150" s="2993" t="s">
        <v>3254</v>
      </c>
      <c r="E150" s="2995">
        <v>420000</v>
      </c>
    </row>
    <row r="151" spans="1:6" s="2993" customFormat="1">
      <c r="A151" s="3202">
        <v>32</v>
      </c>
      <c r="B151" s="2991" t="s">
        <v>3376</v>
      </c>
      <c r="C151" s="2992">
        <v>134.75</v>
      </c>
      <c r="D151" s="2993" t="s">
        <v>3257</v>
      </c>
      <c r="E151" s="2995">
        <v>8110898</v>
      </c>
    </row>
    <row r="152" spans="1:6" s="2993" customFormat="1">
      <c r="A152" s="3202"/>
      <c r="B152" s="2991" t="s">
        <v>3377</v>
      </c>
      <c r="C152" s="2992">
        <v>84.95</v>
      </c>
      <c r="D152" s="2993" t="s">
        <v>4487</v>
      </c>
      <c r="E152" s="2995">
        <v>2548500</v>
      </c>
      <c r="F152" s="2993">
        <f t="shared" ref="F152:F153" si="28">E152/C152</f>
        <v>30000</v>
      </c>
    </row>
    <row r="153" spans="1:6" s="2993" customFormat="1">
      <c r="A153" s="3202"/>
      <c r="B153" s="2991" t="s">
        <v>3378</v>
      </c>
      <c r="C153" s="2992">
        <v>84.31</v>
      </c>
      <c r="D153" s="2993" t="s">
        <v>3379</v>
      </c>
      <c r="E153" s="2995">
        <v>2529300</v>
      </c>
      <c r="F153" s="2993">
        <f t="shared" si="28"/>
        <v>30000</v>
      </c>
    </row>
    <row r="154" spans="1:6" s="2993" customFormat="1">
      <c r="A154" s="3202"/>
      <c r="B154" s="2991" t="s">
        <v>3380</v>
      </c>
      <c r="C154" s="2992">
        <v>45.51</v>
      </c>
      <c r="D154" s="2993" t="s">
        <v>3381</v>
      </c>
      <c r="E154" s="2995">
        <v>420000</v>
      </c>
    </row>
    <row r="155" spans="1:6" s="2993" customFormat="1">
      <c r="A155" s="3202"/>
      <c r="B155" s="2991" t="s">
        <v>3382</v>
      </c>
      <c r="C155" s="2992">
        <v>45.51</v>
      </c>
      <c r="D155" s="2993" t="s">
        <v>3381</v>
      </c>
      <c r="E155" s="2995">
        <v>420000</v>
      </c>
    </row>
    <row r="156" spans="1:6" s="2993" customFormat="1">
      <c r="A156" s="3202">
        <v>33</v>
      </c>
      <c r="B156" s="2991" t="s">
        <v>3383</v>
      </c>
      <c r="C156" s="2992">
        <v>134.63999999999999</v>
      </c>
      <c r="D156" s="2993" t="s">
        <v>3384</v>
      </c>
      <c r="E156" s="2995">
        <v>8346460</v>
      </c>
    </row>
    <row r="157" spans="1:6" s="2993" customFormat="1">
      <c r="A157" s="3202"/>
      <c r="B157" s="2991" t="s">
        <v>3385</v>
      </c>
      <c r="C157" s="2992">
        <v>84.58</v>
      </c>
      <c r="D157" s="2993" t="s">
        <v>4487</v>
      </c>
      <c r="E157" s="2995">
        <v>2537400</v>
      </c>
      <c r="F157" s="2993">
        <f t="shared" ref="F157:F158" si="29">E157/C157</f>
        <v>30000</v>
      </c>
    </row>
    <row r="158" spans="1:6" s="2993" customFormat="1">
      <c r="A158" s="3202"/>
      <c r="B158" s="2991" t="s">
        <v>3386</v>
      </c>
      <c r="C158" s="2992">
        <v>83.6</v>
      </c>
      <c r="D158" s="2993" t="s">
        <v>3379</v>
      </c>
      <c r="E158" s="2995">
        <v>2508000</v>
      </c>
      <c r="F158" s="2993">
        <f t="shared" si="29"/>
        <v>30000.000000000004</v>
      </c>
    </row>
    <row r="159" spans="1:6" s="2993" customFormat="1">
      <c r="A159" s="3202"/>
      <c r="B159" s="2991" t="s">
        <v>3387</v>
      </c>
      <c r="C159" s="2992">
        <v>45.51</v>
      </c>
      <c r="D159" s="2993" t="s">
        <v>3381</v>
      </c>
      <c r="E159" s="2995">
        <v>420000</v>
      </c>
    </row>
    <row r="160" spans="1:6" s="2993" customFormat="1">
      <c r="A160" s="3202"/>
      <c r="B160" s="2991" t="s">
        <v>3388</v>
      </c>
      <c r="C160" s="2992">
        <v>45.51</v>
      </c>
      <c r="D160" s="2993" t="s">
        <v>3381</v>
      </c>
      <c r="E160" s="2995">
        <v>420000</v>
      </c>
    </row>
    <row r="161" spans="1:6" s="2993" customFormat="1">
      <c r="A161" s="3202">
        <v>34</v>
      </c>
      <c r="B161" s="2991" t="s">
        <v>3389</v>
      </c>
      <c r="C161" s="2992">
        <v>134.27000000000001</v>
      </c>
      <c r="D161" s="2993" t="s">
        <v>3384</v>
      </c>
      <c r="E161" s="2995">
        <v>7429342</v>
      </c>
    </row>
    <row r="162" spans="1:6" s="2993" customFormat="1">
      <c r="A162" s="3202"/>
      <c r="B162" s="2991" t="s">
        <v>3390</v>
      </c>
      <c r="C162" s="2992">
        <v>84.5</v>
      </c>
      <c r="D162" s="2993" t="s">
        <v>4487</v>
      </c>
      <c r="E162" s="2995">
        <v>2535000</v>
      </c>
      <c r="F162" s="2993">
        <f t="shared" ref="F162:F163" si="30">E162/C162</f>
        <v>30000</v>
      </c>
    </row>
    <row r="163" spans="1:6" s="2993" customFormat="1">
      <c r="A163" s="3202"/>
      <c r="B163" s="2991" t="s">
        <v>3391</v>
      </c>
      <c r="C163" s="2992">
        <v>84.36</v>
      </c>
      <c r="D163" s="2993" t="s">
        <v>3379</v>
      </c>
      <c r="E163" s="2995">
        <v>2530800</v>
      </c>
      <c r="F163" s="2993">
        <f t="shared" si="30"/>
        <v>30000</v>
      </c>
    </row>
    <row r="164" spans="1:6" s="2993" customFormat="1">
      <c r="A164" s="3202"/>
      <c r="B164" s="2991" t="s">
        <v>3392</v>
      </c>
      <c r="C164" s="2992">
        <v>45.51</v>
      </c>
      <c r="D164" s="2993" t="s">
        <v>3381</v>
      </c>
      <c r="E164" s="2995">
        <v>420000</v>
      </c>
    </row>
    <row r="165" spans="1:6" s="2993" customFormat="1">
      <c r="A165" s="3202"/>
      <c r="B165" s="2991" t="s">
        <v>3393</v>
      </c>
      <c r="C165" s="2992">
        <v>45.51</v>
      </c>
      <c r="D165" s="2993" t="s">
        <v>3381</v>
      </c>
      <c r="E165" s="2995">
        <v>420000</v>
      </c>
    </row>
    <row r="166" spans="1:6" s="2993" customFormat="1">
      <c r="A166" s="3202">
        <v>35</v>
      </c>
      <c r="B166" s="2991" t="s">
        <v>3394</v>
      </c>
      <c r="C166" s="2992">
        <v>134.27000000000001</v>
      </c>
      <c r="D166" s="2993" t="s">
        <v>3384</v>
      </c>
      <c r="E166" s="2995">
        <v>7597503</v>
      </c>
    </row>
    <row r="167" spans="1:6" s="2993" customFormat="1">
      <c r="A167" s="3202"/>
      <c r="B167" s="2991" t="s">
        <v>3395</v>
      </c>
      <c r="C167" s="2992">
        <v>84.5</v>
      </c>
      <c r="D167" s="2993" t="s">
        <v>4487</v>
      </c>
      <c r="E167" s="2995">
        <v>2535000</v>
      </c>
      <c r="F167" s="2993">
        <f t="shared" ref="F167:F168" si="31">E167/C167</f>
        <v>30000</v>
      </c>
    </row>
    <row r="168" spans="1:6" s="2993" customFormat="1">
      <c r="A168" s="3202"/>
      <c r="B168" s="2991" t="s">
        <v>3396</v>
      </c>
      <c r="C168" s="2992">
        <v>84.36</v>
      </c>
      <c r="D168" s="2993" t="s">
        <v>3379</v>
      </c>
      <c r="E168" s="2995">
        <v>2530800</v>
      </c>
      <c r="F168" s="2993">
        <f t="shared" si="31"/>
        <v>30000</v>
      </c>
    </row>
    <row r="169" spans="1:6" s="2993" customFormat="1">
      <c r="A169" s="3202"/>
      <c r="B169" s="2991" t="s">
        <v>3397</v>
      </c>
      <c r="C169" s="2992">
        <v>45.51</v>
      </c>
      <c r="D169" s="2993" t="s">
        <v>3381</v>
      </c>
      <c r="E169" s="2995">
        <v>420000</v>
      </c>
    </row>
    <row r="170" spans="1:6" s="2993" customFormat="1">
      <c r="A170" s="3202"/>
      <c r="B170" s="2991" t="s">
        <v>3398</v>
      </c>
      <c r="C170" s="2992">
        <v>45.51</v>
      </c>
      <c r="D170" s="2993" t="s">
        <v>3381</v>
      </c>
      <c r="E170" s="2995">
        <v>420000</v>
      </c>
    </row>
    <row r="171" spans="1:6" s="2993" customFormat="1">
      <c r="A171" s="3202">
        <v>36</v>
      </c>
      <c r="B171" s="2991" t="s">
        <v>3399</v>
      </c>
      <c r="C171" s="2992">
        <v>134.47</v>
      </c>
      <c r="D171" s="2993" t="s">
        <v>3384</v>
      </c>
      <c r="E171" s="2995">
        <v>7993032</v>
      </c>
    </row>
    <row r="172" spans="1:6" s="2993" customFormat="1">
      <c r="A172" s="3202"/>
      <c r="B172" s="2991" t="s">
        <v>3400</v>
      </c>
      <c r="C172" s="2992">
        <v>84.77</v>
      </c>
      <c r="D172" s="2993" t="s">
        <v>4487</v>
      </c>
      <c r="E172" s="2995">
        <v>2543100</v>
      </c>
      <c r="F172" s="2993">
        <f t="shared" ref="F172:F173" si="32">E172/C172</f>
        <v>30000</v>
      </c>
    </row>
    <row r="173" spans="1:6" s="2993" customFormat="1">
      <c r="A173" s="3202"/>
      <c r="B173" s="2991" t="s">
        <v>3401</v>
      </c>
      <c r="C173" s="2992">
        <v>84.36</v>
      </c>
      <c r="D173" s="2993" t="s">
        <v>3241</v>
      </c>
      <c r="E173" s="2995">
        <v>2530800</v>
      </c>
      <c r="F173" s="2993">
        <f t="shared" si="32"/>
        <v>30000</v>
      </c>
    </row>
    <row r="174" spans="1:6" s="2993" customFormat="1">
      <c r="A174" s="3202"/>
      <c r="B174" s="2991" t="s">
        <v>3402</v>
      </c>
      <c r="C174" s="2992">
        <v>45.51</v>
      </c>
      <c r="D174" s="2993" t="s">
        <v>3235</v>
      </c>
      <c r="E174" s="2995">
        <v>420000</v>
      </c>
    </row>
    <row r="175" spans="1:6" s="2993" customFormat="1">
      <c r="A175" s="3202"/>
      <c r="B175" s="2991" t="s">
        <v>3403</v>
      </c>
      <c r="C175" s="2992">
        <v>45.51</v>
      </c>
      <c r="D175" s="2993" t="s">
        <v>3235</v>
      </c>
      <c r="E175" s="2995">
        <v>420000</v>
      </c>
    </row>
    <row r="176" spans="1:6" s="2993" customFormat="1">
      <c r="A176" s="3202">
        <v>37</v>
      </c>
      <c r="B176" s="2991" t="s">
        <v>3404</v>
      </c>
      <c r="C176" s="2992">
        <v>134.29</v>
      </c>
      <c r="D176" s="2993" t="s">
        <v>3238</v>
      </c>
      <c r="E176" s="2995">
        <v>7430472</v>
      </c>
    </row>
    <row r="177" spans="1:6" s="2993" customFormat="1">
      <c r="A177" s="3202"/>
      <c r="B177" s="2991" t="s">
        <v>3405</v>
      </c>
      <c r="C177" s="2992">
        <v>84.51</v>
      </c>
      <c r="D177" s="2993" t="s">
        <v>4487</v>
      </c>
      <c r="E177" s="2995">
        <v>2535300</v>
      </c>
      <c r="F177" s="2993">
        <f t="shared" ref="F177:F178" si="33">E177/C177</f>
        <v>30000</v>
      </c>
    </row>
    <row r="178" spans="1:6" s="2993" customFormat="1">
      <c r="A178" s="3202"/>
      <c r="B178" s="2991" t="s">
        <v>3406</v>
      </c>
      <c r="C178" s="2992">
        <v>84.36</v>
      </c>
      <c r="D178" s="2993" t="s">
        <v>3241</v>
      </c>
      <c r="E178" s="2995">
        <v>2530800</v>
      </c>
      <c r="F178" s="2993">
        <f t="shared" si="33"/>
        <v>30000</v>
      </c>
    </row>
    <row r="179" spans="1:6" s="2993" customFormat="1">
      <c r="A179" s="3202"/>
      <c r="B179" s="2991" t="s">
        <v>3407</v>
      </c>
      <c r="C179" s="2992">
        <v>45.51</v>
      </c>
      <c r="D179" s="2993" t="s">
        <v>3235</v>
      </c>
      <c r="E179" s="2995">
        <v>420000</v>
      </c>
    </row>
    <row r="180" spans="1:6" s="2993" customFormat="1">
      <c r="A180" s="3202"/>
      <c r="B180" s="2991" t="s">
        <v>3408</v>
      </c>
      <c r="C180" s="2992">
        <v>45.51</v>
      </c>
      <c r="D180" s="2993" t="s">
        <v>3235</v>
      </c>
      <c r="E180" s="2995">
        <v>420000</v>
      </c>
    </row>
    <row r="181" spans="1:6" s="2993" customFormat="1">
      <c r="A181" s="3202">
        <v>38</v>
      </c>
      <c r="B181" s="2991" t="s">
        <v>3409</v>
      </c>
      <c r="C181" s="2992">
        <v>134.49</v>
      </c>
      <c r="D181" s="2993" t="s">
        <v>3238</v>
      </c>
      <c r="E181" s="2995">
        <v>7825783</v>
      </c>
    </row>
    <row r="182" spans="1:6" s="2993" customFormat="1">
      <c r="A182" s="3202"/>
      <c r="B182" s="2991" t="s">
        <v>3410</v>
      </c>
      <c r="C182" s="2992">
        <v>84.78</v>
      </c>
      <c r="D182" s="2993" t="s">
        <v>4487</v>
      </c>
      <c r="E182" s="2995">
        <v>2543400</v>
      </c>
      <c r="F182" s="2993">
        <f t="shared" ref="F182:F183" si="34">E182/C182</f>
        <v>30000</v>
      </c>
    </row>
    <row r="183" spans="1:6" s="2993" customFormat="1">
      <c r="A183" s="3202"/>
      <c r="B183" s="2991" t="s">
        <v>3411</v>
      </c>
      <c r="C183" s="2992">
        <v>84.36</v>
      </c>
      <c r="D183" s="2993" t="s">
        <v>3241</v>
      </c>
      <c r="E183" s="2995">
        <v>2530800</v>
      </c>
      <c r="F183" s="2993">
        <f t="shared" si="34"/>
        <v>30000</v>
      </c>
    </row>
    <row r="184" spans="1:6" s="2993" customFormat="1">
      <c r="A184" s="3202"/>
      <c r="B184" s="2991" t="s">
        <v>3412</v>
      </c>
      <c r="C184" s="2992">
        <v>45.51</v>
      </c>
      <c r="D184" s="2993" t="s">
        <v>3235</v>
      </c>
      <c r="E184" s="2995">
        <v>420000</v>
      </c>
    </row>
    <row r="185" spans="1:6" s="2993" customFormat="1">
      <c r="A185" s="3202"/>
      <c r="B185" s="2991" t="s">
        <v>3413</v>
      </c>
      <c r="C185" s="2992">
        <v>45.51</v>
      </c>
      <c r="D185" s="2993" t="s">
        <v>3235</v>
      </c>
      <c r="E185" s="2995">
        <v>420000</v>
      </c>
    </row>
    <row r="186" spans="1:6" s="2993" customFormat="1">
      <c r="A186" s="3202">
        <v>39</v>
      </c>
      <c r="B186" s="2991" t="s">
        <v>3414</v>
      </c>
      <c r="C186" s="2992">
        <v>134.49</v>
      </c>
      <c r="D186" s="2993" t="s">
        <v>3238</v>
      </c>
      <c r="E186" s="2995">
        <v>7994221</v>
      </c>
    </row>
    <row r="187" spans="1:6" s="2993" customFormat="1">
      <c r="A187" s="3202"/>
      <c r="B187" s="2991" t="s">
        <v>3415</v>
      </c>
      <c r="C187" s="2992">
        <v>84.78</v>
      </c>
      <c r="D187" s="2993" t="s">
        <v>4487</v>
      </c>
      <c r="E187" s="2995">
        <v>2543400</v>
      </c>
      <c r="F187" s="2993">
        <f t="shared" ref="F187:F188" si="35">E187/C187</f>
        <v>30000</v>
      </c>
    </row>
    <row r="188" spans="1:6" s="2993" customFormat="1">
      <c r="A188" s="3202"/>
      <c r="B188" s="2991" t="s">
        <v>3416</v>
      </c>
      <c r="C188" s="2992">
        <v>84.36</v>
      </c>
      <c r="D188" s="2993" t="s">
        <v>3241</v>
      </c>
      <c r="E188" s="2995">
        <v>2530800</v>
      </c>
      <c r="F188" s="2993">
        <f t="shared" si="35"/>
        <v>30000</v>
      </c>
    </row>
    <row r="189" spans="1:6" s="2993" customFormat="1">
      <c r="A189" s="3202"/>
      <c r="B189" s="2991" t="s">
        <v>3417</v>
      </c>
      <c r="C189" s="2992">
        <v>45.51</v>
      </c>
      <c r="D189" s="2993" t="s">
        <v>3235</v>
      </c>
      <c r="E189" s="2995">
        <v>420000</v>
      </c>
    </row>
    <row r="190" spans="1:6" s="2993" customFormat="1">
      <c r="A190" s="3202"/>
      <c r="B190" s="2991" t="s">
        <v>3418</v>
      </c>
      <c r="C190" s="2992">
        <v>45.51</v>
      </c>
      <c r="D190" s="2993" t="s">
        <v>3235</v>
      </c>
      <c r="E190" s="2995">
        <v>420000</v>
      </c>
    </row>
    <row r="191" spans="1:6" s="2993" customFormat="1">
      <c r="A191" s="3202">
        <v>40</v>
      </c>
      <c r="B191" s="2991" t="s">
        <v>3419</v>
      </c>
      <c r="C191" s="2992">
        <v>134.83000000000001</v>
      </c>
      <c r="D191" s="2993" t="s">
        <v>3238</v>
      </c>
      <c r="E191" s="2995">
        <v>7946936</v>
      </c>
    </row>
    <row r="192" spans="1:6" s="2993" customFormat="1">
      <c r="A192" s="3202"/>
      <c r="B192" s="2991" t="s">
        <v>3420</v>
      </c>
      <c r="C192" s="2992">
        <v>85</v>
      </c>
      <c r="D192" s="2993" t="s">
        <v>4487</v>
      </c>
      <c r="E192" s="2995">
        <v>2550000</v>
      </c>
      <c r="F192" s="2993">
        <f t="shared" ref="F192:F193" si="36">E192/C192</f>
        <v>30000</v>
      </c>
    </row>
    <row r="193" spans="1:6" s="2993" customFormat="1">
      <c r="A193" s="3202"/>
      <c r="B193" s="2991" t="s">
        <v>3421</v>
      </c>
      <c r="C193" s="2992">
        <v>84.32</v>
      </c>
      <c r="D193" s="2993" t="s">
        <v>3241</v>
      </c>
      <c r="E193" s="2995">
        <v>2529600</v>
      </c>
      <c r="F193" s="2993">
        <f t="shared" si="36"/>
        <v>30000.000000000004</v>
      </c>
    </row>
    <row r="194" spans="1:6" s="2993" customFormat="1">
      <c r="A194" s="3202"/>
      <c r="B194" s="2991" t="s">
        <v>3422</v>
      </c>
      <c r="C194" s="2992">
        <v>45.51</v>
      </c>
      <c r="D194" s="2993" t="s">
        <v>3235</v>
      </c>
      <c r="E194" s="2995">
        <v>420000</v>
      </c>
    </row>
    <row r="195" spans="1:6" s="2993" customFormat="1">
      <c r="A195" s="3202"/>
      <c r="B195" s="2991" t="s">
        <v>3423</v>
      </c>
      <c r="C195" s="2992">
        <v>45.51</v>
      </c>
      <c r="D195" s="2993" t="s">
        <v>3235</v>
      </c>
      <c r="E195" s="2995">
        <v>420000</v>
      </c>
    </row>
    <row r="196" spans="1:6" s="2993" customFormat="1">
      <c r="A196" s="3202">
        <v>41</v>
      </c>
      <c r="B196" s="2991" t="s">
        <v>3424</v>
      </c>
      <c r="C196" s="2992">
        <v>134.83000000000001</v>
      </c>
      <c r="D196" s="2993" t="s">
        <v>3238</v>
      </c>
      <c r="E196" s="2995">
        <v>8115706</v>
      </c>
    </row>
    <row r="197" spans="1:6" s="2993" customFormat="1">
      <c r="A197" s="3202"/>
      <c r="B197" s="2991" t="s">
        <v>3425</v>
      </c>
      <c r="C197" s="2992">
        <v>85</v>
      </c>
      <c r="D197" s="2993" t="s">
        <v>4487</v>
      </c>
      <c r="E197" s="2995">
        <v>2550000</v>
      </c>
      <c r="F197" s="2993">
        <f t="shared" ref="F197:F198" si="37">E197/C197</f>
        <v>30000</v>
      </c>
    </row>
    <row r="198" spans="1:6" s="2993" customFormat="1">
      <c r="A198" s="3202"/>
      <c r="B198" s="2991" t="s">
        <v>3426</v>
      </c>
      <c r="C198" s="2992">
        <v>84.32</v>
      </c>
      <c r="D198" s="2993" t="s">
        <v>3241</v>
      </c>
      <c r="E198" s="2995">
        <v>2529600</v>
      </c>
      <c r="F198" s="2993">
        <f t="shared" si="37"/>
        <v>30000.000000000004</v>
      </c>
    </row>
    <row r="199" spans="1:6" s="2993" customFormat="1">
      <c r="A199" s="3202"/>
      <c r="B199" s="2991" t="s">
        <v>3427</v>
      </c>
      <c r="C199" s="2992">
        <v>45.51</v>
      </c>
      <c r="D199" s="2993" t="s">
        <v>3235</v>
      </c>
      <c r="E199" s="2995">
        <v>420000</v>
      </c>
    </row>
    <row r="200" spans="1:6" s="2993" customFormat="1">
      <c r="A200" s="3202"/>
      <c r="B200" s="2991" t="s">
        <v>3428</v>
      </c>
      <c r="C200" s="2992">
        <v>45.51</v>
      </c>
      <c r="D200" s="2993" t="s">
        <v>3235</v>
      </c>
      <c r="E200" s="2995">
        <v>420000</v>
      </c>
    </row>
    <row r="201" spans="1:6" s="2993" customFormat="1">
      <c r="A201" s="3202">
        <v>42</v>
      </c>
      <c r="B201" s="2991" t="s">
        <v>3429</v>
      </c>
      <c r="C201" s="2992">
        <v>178.29</v>
      </c>
      <c r="D201" s="2993" t="s">
        <v>3238</v>
      </c>
      <c r="E201" s="2995">
        <v>11322841</v>
      </c>
    </row>
    <row r="202" spans="1:6" s="2993" customFormat="1">
      <c r="A202" s="3202"/>
      <c r="B202" s="2991" t="s">
        <v>3430</v>
      </c>
      <c r="C202" s="2992">
        <v>114.55</v>
      </c>
      <c r="D202" s="2993" t="s">
        <v>4487</v>
      </c>
      <c r="E202" s="2995">
        <v>3436500</v>
      </c>
      <c r="F202" s="2993">
        <f t="shared" ref="F202:F203" si="38">E202/C202</f>
        <v>30000</v>
      </c>
    </row>
    <row r="203" spans="1:6" s="2993" customFormat="1">
      <c r="A203" s="3202"/>
      <c r="B203" s="2991" t="s">
        <v>3431</v>
      </c>
      <c r="C203" s="2992">
        <v>114.12</v>
      </c>
      <c r="D203" s="2993" t="s">
        <v>3241</v>
      </c>
      <c r="E203" s="2995">
        <v>3423600</v>
      </c>
      <c r="F203" s="2993">
        <f t="shared" si="38"/>
        <v>30000</v>
      </c>
    </row>
    <row r="204" spans="1:6" s="2993" customFormat="1">
      <c r="A204" s="3202"/>
      <c r="B204" s="2991" t="s">
        <v>3432</v>
      </c>
      <c r="C204" s="2992">
        <v>45.51</v>
      </c>
      <c r="D204" s="2993" t="s">
        <v>3235</v>
      </c>
      <c r="E204" s="2995">
        <v>420000</v>
      </c>
    </row>
    <row r="205" spans="1:6" s="2993" customFormat="1">
      <c r="A205" s="3202"/>
      <c r="B205" s="2991" t="s">
        <v>3433</v>
      </c>
      <c r="C205" s="2992">
        <v>45.51</v>
      </c>
      <c r="D205" s="2993" t="s">
        <v>3235</v>
      </c>
      <c r="E205" s="2995">
        <v>420000</v>
      </c>
    </row>
    <row r="206" spans="1:6" s="2993" customFormat="1">
      <c r="A206" s="3202">
        <v>43</v>
      </c>
      <c r="B206" s="2991" t="s">
        <v>3434</v>
      </c>
      <c r="C206" s="2992">
        <v>134.36000000000001</v>
      </c>
      <c r="D206" s="2993" t="s">
        <v>3238</v>
      </c>
      <c r="E206" s="2995">
        <v>7919210</v>
      </c>
    </row>
    <row r="207" spans="1:6" s="2993" customFormat="1">
      <c r="A207" s="3202"/>
      <c r="B207" s="2991" t="s">
        <v>3435</v>
      </c>
      <c r="C207" s="2992">
        <v>84.7</v>
      </c>
      <c r="D207" s="2993" t="s">
        <v>4487</v>
      </c>
      <c r="E207" s="2995">
        <v>2541000</v>
      </c>
      <c r="F207" s="2993">
        <f t="shared" ref="F207:F208" si="39">E207/C207</f>
        <v>30000</v>
      </c>
    </row>
    <row r="208" spans="1:6" s="2993" customFormat="1">
      <c r="A208" s="3202"/>
      <c r="B208" s="2991" t="s">
        <v>3436</v>
      </c>
      <c r="C208" s="2992">
        <v>84.15</v>
      </c>
      <c r="D208" s="2993" t="s">
        <v>3379</v>
      </c>
      <c r="E208" s="2995">
        <v>2524500</v>
      </c>
      <c r="F208" s="2993">
        <f t="shared" si="39"/>
        <v>29999.999999999996</v>
      </c>
    </row>
    <row r="209" spans="1:6" s="2993" customFormat="1">
      <c r="A209" s="3202"/>
      <c r="B209" s="2991" t="s">
        <v>3437</v>
      </c>
      <c r="C209" s="2992">
        <v>45.51</v>
      </c>
      <c r="D209" s="2993" t="s">
        <v>3381</v>
      </c>
      <c r="E209" s="2995">
        <v>420000</v>
      </c>
    </row>
    <row r="210" spans="1:6" s="2993" customFormat="1">
      <c r="A210" s="3202"/>
      <c r="B210" s="2991" t="s">
        <v>3438</v>
      </c>
      <c r="C210" s="2992">
        <v>45.51</v>
      </c>
      <c r="D210" s="2993" t="s">
        <v>3381</v>
      </c>
      <c r="E210" s="2995">
        <v>420000</v>
      </c>
    </row>
    <row r="211" spans="1:6" s="2993" customFormat="1">
      <c r="A211" s="3202">
        <v>44</v>
      </c>
      <c r="B211" s="2991" t="s">
        <v>3439</v>
      </c>
      <c r="C211" s="2992">
        <v>134.18</v>
      </c>
      <c r="D211" s="2993" t="s">
        <v>3384</v>
      </c>
      <c r="E211" s="2995">
        <v>8485615</v>
      </c>
    </row>
    <row r="212" spans="1:6" s="2993" customFormat="1">
      <c r="A212" s="3202"/>
      <c r="B212" s="2991" t="s">
        <v>3440</v>
      </c>
      <c r="C212" s="2992">
        <v>84.28</v>
      </c>
      <c r="D212" s="2993" t="s">
        <v>4487</v>
      </c>
      <c r="E212" s="2995">
        <v>2528400</v>
      </c>
      <c r="F212" s="2993">
        <f t="shared" ref="F212:F213" si="40">E212/C212</f>
        <v>30000</v>
      </c>
    </row>
    <row r="213" spans="1:6" s="2993" customFormat="1">
      <c r="A213" s="3202"/>
      <c r="B213" s="2991" t="s">
        <v>3441</v>
      </c>
      <c r="C213" s="2992">
        <v>83.43</v>
      </c>
      <c r="D213" s="2993" t="s">
        <v>3379</v>
      </c>
      <c r="E213" s="2995">
        <v>2502900</v>
      </c>
      <c r="F213" s="2993">
        <f t="shared" si="40"/>
        <v>29999.999999999996</v>
      </c>
    </row>
    <row r="214" spans="1:6" s="2993" customFormat="1">
      <c r="A214" s="3202"/>
      <c r="B214" s="2991" t="s">
        <v>3442</v>
      </c>
      <c r="C214" s="2992">
        <v>45.51</v>
      </c>
      <c r="D214" s="2993" t="s">
        <v>3381</v>
      </c>
      <c r="E214" s="2995">
        <v>420000</v>
      </c>
    </row>
    <row r="215" spans="1:6" s="2993" customFormat="1">
      <c r="A215" s="3202"/>
      <c r="B215" s="2991" t="s">
        <v>3443</v>
      </c>
      <c r="C215" s="2992">
        <v>45.51</v>
      </c>
      <c r="D215" s="2993" t="s">
        <v>3235</v>
      </c>
      <c r="E215" s="2995">
        <v>420000</v>
      </c>
    </row>
    <row r="216" spans="1:6" s="2993" customFormat="1">
      <c r="A216" s="3202">
        <v>45</v>
      </c>
      <c r="B216" s="2991" t="s">
        <v>3444</v>
      </c>
      <c r="C216" s="2992">
        <v>134.16999999999999</v>
      </c>
      <c r="D216" s="2993" t="s">
        <v>3238</v>
      </c>
      <c r="E216" s="2995">
        <v>7692826</v>
      </c>
    </row>
    <row r="217" spans="1:6" s="2993" customFormat="1">
      <c r="A217" s="3202"/>
      <c r="B217" s="2991" t="s">
        <v>3445</v>
      </c>
      <c r="C217" s="2992">
        <v>84.42</v>
      </c>
      <c r="D217" s="2993" t="s">
        <v>4487</v>
      </c>
      <c r="E217" s="2995">
        <v>2532600</v>
      </c>
      <c r="F217" s="2993">
        <f t="shared" ref="F217:F218" si="41">E217/C217</f>
        <v>30000</v>
      </c>
    </row>
    <row r="218" spans="1:6" s="2993" customFormat="1">
      <c r="A218" s="3202"/>
      <c r="B218" s="2991" t="s">
        <v>3446</v>
      </c>
      <c r="C218" s="2992">
        <v>84.15</v>
      </c>
      <c r="D218" s="2993" t="s">
        <v>3241</v>
      </c>
      <c r="E218" s="2995">
        <v>2524500</v>
      </c>
      <c r="F218" s="2993">
        <f t="shared" si="41"/>
        <v>29999.999999999996</v>
      </c>
    </row>
    <row r="219" spans="1:6" s="2993" customFormat="1">
      <c r="A219" s="3202"/>
      <c r="B219" s="2991" t="s">
        <v>3447</v>
      </c>
      <c r="C219" s="2992">
        <v>45.51</v>
      </c>
      <c r="D219" s="2993" t="s">
        <v>3235</v>
      </c>
      <c r="E219" s="2995">
        <v>420000</v>
      </c>
    </row>
    <row r="220" spans="1:6" s="2993" customFormat="1">
      <c r="A220" s="3202"/>
      <c r="B220" s="2991" t="s">
        <v>3448</v>
      </c>
      <c r="C220" s="2992">
        <v>45.51</v>
      </c>
      <c r="D220" s="2993" t="s">
        <v>3235</v>
      </c>
      <c r="E220" s="2995">
        <v>420000</v>
      </c>
    </row>
    <row r="221" spans="1:6" s="2993" customFormat="1">
      <c r="A221" s="3202">
        <v>46</v>
      </c>
      <c r="B221" s="2991" t="s">
        <v>3449</v>
      </c>
      <c r="C221" s="2992">
        <v>134.36000000000001</v>
      </c>
      <c r="D221" s="2993" t="s">
        <v>3238</v>
      </c>
      <c r="E221" s="2995">
        <v>8087437</v>
      </c>
    </row>
    <row r="222" spans="1:6" s="2993" customFormat="1">
      <c r="A222" s="3202"/>
      <c r="B222" s="2991" t="s">
        <v>3450</v>
      </c>
      <c r="C222" s="2992">
        <v>84.7</v>
      </c>
      <c r="D222" s="2993" t="s">
        <v>4487</v>
      </c>
      <c r="E222" s="2995">
        <v>2541000</v>
      </c>
      <c r="F222" s="2993">
        <f t="shared" ref="F222:F223" si="42">E222/C222</f>
        <v>30000</v>
      </c>
    </row>
    <row r="223" spans="1:6" s="2993" customFormat="1">
      <c r="A223" s="3202"/>
      <c r="B223" s="2991" t="s">
        <v>3451</v>
      </c>
      <c r="C223" s="2992">
        <v>84.15</v>
      </c>
      <c r="D223" s="2993" t="s">
        <v>3241</v>
      </c>
      <c r="E223" s="2995">
        <v>2524500</v>
      </c>
      <c r="F223" s="2993">
        <f t="shared" si="42"/>
        <v>29999.999999999996</v>
      </c>
    </row>
    <row r="224" spans="1:6" s="2993" customFormat="1">
      <c r="A224" s="3202"/>
      <c r="B224" s="2991" t="s">
        <v>3452</v>
      </c>
      <c r="C224" s="2992">
        <v>45.51</v>
      </c>
      <c r="D224" s="2993" t="s">
        <v>3235</v>
      </c>
      <c r="E224" s="2995">
        <v>420000</v>
      </c>
    </row>
    <row r="225" spans="1:6" s="2993" customFormat="1">
      <c r="A225" s="3202"/>
      <c r="B225" s="2991" t="s">
        <v>3453</v>
      </c>
      <c r="C225" s="2992">
        <v>45.51</v>
      </c>
      <c r="D225" s="2993" t="s">
        <v>3235</v>
      </c>
      <c r="E225" s="2995">
        <v>420000</v>
      </c>
    </row>
    <row r="226" spans="1:6" s="2993" customFormat="1">
      <c r="A226" s="3202">
        <v>47</v>
      </c>
      <c r="B226" s="2991" t="s">
        <v>3454</v>
      </c>
      <c r="C226" s="2992">
        <v>134.28</v>
      </c>
      <c r="D226" s="2993" t="s">
        <v>3238</v>
      </c>
      <c r="E226" s="2995">
        <v>7531087</v>
      </c>
    </row>
    <row r="227" spans="1:6" s="2993" customFormat="1">
      <c r="A227" s="3202"/>
      <c r="B227" s="2991" t="s">
        <v>3455</v>
      </c>
      <c r="C227" s="2992">
        <v>84.49</v>
      </c>
      <c r="D227" s="2993" t="s">
        <v>4487</v>
      </c>
      <c r="E227" s="2995">
        <v>2534700</v>
      </c>
      <c r="F227" s="2993">
        <f t="shared" ref="F227:F228" si="43">E227/C227</f>
        <v>30000</v>
      </c>
    </row>
    <row r="228" spans="1:6" s="2993" customFormat="1">
      <c r="A228" s="3202"/>
      <c r="B228" s="2991" t="s">
        <v>3456</v>
      </c>
      <c r="C228" s="2992">
        <v>84.17</v>
      </c>
      <c r="D228" s="2993" t="s">
        <v>3241</v>
      </c>
      <c r="E228" s="2995">
        <v>2525100</v>
      </c>
      <c r="F228" s="2993">
        <f t="shared" si="43"/>
        <v>30000</v>
      </c>
    </row>
    <row r="229" spans="1:6" s="2993" customFormat="1">
      <c r="A229" s="3202"/>
      <c r="B229" s="2991" t="s">
        <v>3457</v>
      </c>
      <c r="C229" s="2992">
        <v>45.51</v>
      </c>
      <c r="D229" s="2993" t="s">
        <v>3235</v>
      </c>
      <c r="E229" s="2995">
        <v>420000</v>
      </c>
    </row>
    <row r="230" spans="1:6" s="2993" customFormat="1">
      <c r="A230" s="3202"/>
      <c r="B230" s="2991" t="s">
        <v>3458</v>
      </c>
      <c r="C230" s="2992">
        <v>45.51</v>
      </c>
      <c r="D230" s="2993" t="s">
        <v>3235</v>
      </c>
      <c r="E230" s="2995">
        <v>420000</v>
      </c>
    </row>
    <row r="231" spans="1:6" s="2993" customFormat="1">
      <c r="A231" s="3202">
        <v>48</v>
      </c>
      <c r="B231" s="2991" t="s">
        <v>3459</v>
      </c>
      <c r="C231" s="2992">
        <v>134.47</v>
      </c>
      <c r="D231" s="2993" t="s">
        <v>3238</v>
      </c>
      <c r="E231" s="2995">
        <v>7925703</v>
      </c>
    </row>
    <row r="232" spans="1:6" s="2993" customFormat="1">
      <c r="A232" s="3202"/>
      <c r="B232" s="2991" t="s">
        <v>3460</v>
      </c>
      <c r="C232" s="2992">
        <v>84.77</v>
      </c>
      <c r="D232" s="2993" t="s">
        <v>4487</v>
      </c>
      <c r="E232" s="2995">
        <v>2543100</v>
      </c>
      <c r="F232" s="2993">
        <f t="shared" ref="F232:F233" si="44">E232/C232</f>
        <v>30000</v>
      </c>
    </row>
    <row r="233" spans="1:6" s="2993" customFormat="1">
      <c r="A233" s="3202"/>
      <c r="B233" s="2991" t="s">
        <v>3461</v>
      </c>
      <c r="C233" s="2992">
        <v>84.17</v>
      </c>
      <c r="D233" s="2993" t="s">
        <v>3241</v>
      </c>
      <c r="E233" s="2995">
        <v>2525100</v>
      </c>
      <c r="F233" s="2993">
        <f t="shared" si="44"/>
        <v>30000</v>
      </c>
    </row>
    <row r="234" spans="1:6" s="2993" customFormat="1">
      <c r="A234" s="3202"/>
      <c r="B234" s="2991" t="s">
        <v>3462</v>
      </c>
      <c r="C234" s="2992">
        <v>45.51</v>
      </c>
      <c r="D234" s="2993" t="s">
        <v>3235</v>
      </c>
      <c r="E234" s="2995">
        <v>420000</v>
      </c>
    </row>
    <row r="235" spans="1:6" s="2993" customFormat="1">
      <c r="A235" s="3202"/>
      <c r="B235" s="2991" t="s">
        <v>3463</v>
      </c>
      <c r="C235" s="2992">
        <v>45.51</v>
      </c>
      <c r="D235" s="2993" t="s">
        <v>3235</v>
      </c>
      <c r="E235" s="2995">
        <v>420000</v>
      </c>
    </row>
    <row r="236" spans="1:6" s="2993" customFormat="1">
      <c r="A236" s="3202">
        <v>49</v>
      </c>
      <c r="B236" s="2991" t="s">
        <v>3464</v>
      </c>
      <c r="C236" s="2992">
        <v>134.28</v>
      </c>
      <c r="D236" s="2993" t="s">
        <v>3238</v>
      </c>
      <c r="E236" s="2995">
        <v>7699179</v>
      </c>
    </row>
    <row r="237" spans="1:6" s="2993" customFormat="1">
      <c r="A237" s="3202"/>
      <c r="B237" s="2991" t="s">
        <v>3465</v>
      </c>
      <c r="C237" s="2992">
        <v>84.49</v>
      </c>
      <c r="D237" s="2993" t="s">
        <v>4487</v>
      </c>
      <c r="E237" s="2995">
        <v>2534700</v>
      </c>
      <c r="F237" s="2993">
        <f t="shared" ref="F237:F238" si="45">E237/C237</f>
        <v>30000</v>
      </c>
    </row>
    <row r="238" spans="1:6" s="2993" customFormat="1">
      <c r="A238" s="3202"/>
      <c r="B238" s="2991" t="s">
        <v>3466</v>
      </c>
      <c r="C238" s="2992">
        <v>84.17</v>
      </c>
      <c r="D238" s="2993" t="s">
        <v>3241</v>
      </c>
      <c r="E238" s="2995">
        <v>2525100</v>
      </c>
      <c r="F238" s="2993">
        <f t="shared" si="45"/>
        <v>30000</v>
      </c>
    </row>
    <row r="239" spans="1:6" s="2993" customFormat="1">
      <c r="A239" s="3202"/>
      <c r="B239" s="2991" t="s">
        <v>3467</v>
      </c>
      <c r="C239" s="2992">
        <v>45.51</v>
      </c>
      <c r="D239" s="2993" t="s">
        <v>3235</v>
      </c>
      <c r="E239" s="2995">
        <v>420000</v>
      </c>
    </row>
    <row r="240" spans="1:6" s="2993" customFormat="1">
      <c r="A240" s="3202"/>
      <c r="B240" s="2991" t="s">
        <v>3468</v>
      </c>
      <c r="C240" s="2992">
        <v>45.51</v>
      </c>
      <c r="D240" s="2993" t="s">
        <v>3235</v>
      </c>
      <c r="E240" s="2995">
        <v>420000</v>
      </c>
    </row>
    <row r="241" spans="1:6" s="2993" customFormat="1">
      <c r="A241" s="3202">
        <v>50</v>
      </c>
      <c r="B241" s="2991" t="s">
        <v>3469</v>
      </c>
      <c r="C241" s="2992">
        <v>134.47</v>
      </c>
      <c r="D241" s="2993" t="s">
        <v>3238</v>
      </c>
      <c r="E241" s="2995">
        <v>8094049</v>
      </c>
    </row>
    <row r="242" spans="1:6" s="2993" customFormat="1">
      <c r="A242" s="3202"/>
      <c r="B242" s="2991" t="s">
        <v>3470</v>
      </c>
      <c r="C242" s="2992">
        <v>84.77</v>
      </c>
      <c r="D242" s="2993" t="s">
        <v>4487</v>
      </c>
      <c r="E242" s="2995">
        <v>2543100</v>
      </c>
      <c r="F242" s="2993">
        <f t="shared" ref="F242:F243" si="46">E242/C242</f>
        <v>30000</v>
      </c>
    </row>
    <row r="243" spans="1:6" s="2993" customFormat="1">
      <c r="A243" s="3202"/>
      <c r="B243" s="2991" t="s">
        <v>3471</v>
      </c>
      <c r="C243" s="2992">
        <v>84.17</v>
      </c>
      <c r="D243" s="2993" t="s">
        <v>3241</v>
      </c>
      <c r="E243" s="2995">
        <v>2525100</v>
      </c>
      <c r="F243" s="2993">
        <f t="shared" si="46"/>
        <v>30000</v>
      </c>
    </row>
    <row r="244" spans="1:6" s="2993" customFormat="1">
      <c r="A244" s="3202"/>
      <c r="B244" s="2991" t="s">
        <v>3472</v>
      </c>
      <c r="C244" s="2992">
        <v>45.51</v>
      </c>
      <c r="D244" s="2993" t="s">
        <v>3235</v>
      </c>
      <c r="E244" s="2995">
        <v>420000</v>
      </c>
    </row>
    <row r="245" spans="1:6" s="2993" customFormat="1">
      <c r="A245" s="3202"/>
      <c r="B245" s="2991" t="s">
        <v>3473</v>
      </c>
      <c r="C245" s="2992">
        <v>45.51</v>
      </c>
      <c r="D245" s="2993" t="s">
        <v>3235</v>
      </c>
      <c r="E245" s="2995">
        <v>420000</v>
      </c>
    </row>
    <row r="246" spans="1:6" s="2993" customFormat="1">
      <c r="A246" s="3202">
        <v>51</v>
      </c>
      <c r="B246" s="2991" t="s">
        <v>3474</v>
      </c>
      <c r="C246" s="2992">
        <v>138.88</v>
      </c>
      <c r="D246" s="2993" t="s">
        <v>3238</v>
      </c>
      <c r="E246" s="2995">
        <v>8819991</v>
      </c>
    </row>
    <row r="247" spans="1:6" s="2993" customFormat="1">
      <c r="A247" s="3202"/>
      <c r="B247" s="2991" t="s">
        <v>3475</v>
      </c>
      <c r="C247" s="2992">
        <v>87.03</v>
      </c>
      <c r="D247" s="2993" t="s">
        <v>4487</v>
      </c>
      <c r="E247" s="2995">
        <v>2610900</v>
      </c>
      <c r="F247" s="2993">
        <f t="shared" ref="F247:F248" si="47">E247/C247</f>
        <v>30000</v>
      </c>
    </row>
    <row r="248" spans="1:6" s="2993" customFormat="1">
      <c r="A248" s="3202"/>
      <c r="B248" s="2991" t="s">
        <v>3476</v>
      </c>
      <c r="C248" s="2992">
        <v>85.1</v>
      </c>
      <c r="D248" s="2993" t="s">
        <v>3241</v>
      </c>
      <c r="E248" s="2995">
        <v>2553000</v>
      </c>
      <c r="F248" s="2993">
        <f t="shared" si="47"/>
        <v>30000.000000000004</v>
      </c>
    </row>
    <row r="249" spans="1:6" s="2993" customFormat="1">
      <c r="A249" s="3202"/>
      <c r="B249" s="2991" t="s">
        <v>3477</v>
      </c>
      <c r="C249" s="2992">
        <v>45.51</v>
      </c>
      <c r="D249" s="2993" t="s">
        <v>3235</v>
      </c>
      <c r="E249" s="2995">
        <v>420000</v>
      </c>
    </row>
    <row r="250" spans="1:6" s="2993" customFormat="1">
      <c r="A250" s="3202"/>
      <c r="B250" s="2991" t="s">
        <v>3478</v>
      </c>
      <c r="C250" s="2992">
        <v>45.51</v>
      </c>
      <c r="D250" s="2993" t="s">
        <v>3235</v>
      </c>
      <c r="E250" s="2995">
        <v>420000</v>
      </c>
    </row>
    <row r="251" spans="1:6" s="2993" customFormat="1">
      <c r="A251" s="3202">
        <v>52</v>
      </c>
      <c r="B251" s="2991" t="s">
        <v>3479</v>
      </c>
      <c r="C251" s="2992">
        <v>138.57</v>
      </c>
      <c r="D251" s="2993" t="s">
        <v>3238</v>
      </c>
      <c r="E251" s="2995">
        <v>8800304</v>
      </c>
    </row>
    <row r="252" spans="1:6" s="2993" customFormat="1">
      <c r="A252" s="3202"/>
      <c r="B252" s="2991" t="s">
        <v>3480</v>
      </c>
      <c r="C252" s="2992">
        <v>86.68</v>
      </c>
      <c r="D252" s="2993" t="s">
        <v>4487</v>
      </c>
      <c r="E252" s="2995">
        <v>2600400</v>
      </c>
      <c r="F252" s="2993">
        <f t="shared" ref="F252:F253" si="48">E252/C252</f>
        <v>29999.999999999996</v>
      </c>
    </row>
    <row r="253" spans="1:6" s="2993" customFormat="1">
      <c r="A253" s="3202"/>
      <c r="B253" s="2991" t="s">
        <v>3481</v>
      </c>
      <c r="C253" s="2992">
        <v>85.08</v>
      </c>
      <c r="D253" s="2993" t="s">
        <v>3241</v>
      </c>
      <c r="E253" s="2995">
        <v>2552400</v>
      </c>
      <c r="F253" s="2993">
        <f t="shared" si="48"/>
        <v>30000</v>
      </c>
    </row>
    <row r="254" spans="1:6" s="2993" customFormat="1">
      <c r="A254" s="3202"/>
      <c r="B254" s="2991" t="s">
        <v>3482</v>
      </c>
      <c r="C254" s="2992">
        <v>45.51</v>
      </c>
      <c r="D254" s="2993" t="s">
        <v>3235</v>
      </c>
      <c r="E254" s="2995">
        <v>420000</v>
      </c>
    </row>
    <row r="255" spans="1:6" s="2993" customFormat="1">
      <c r="A255" s="3202"/>
      <c r="B255" s="2991" t="s">
        <v>3483</v>
      </c>
      <c r="C255" s="2992">
        <v>45.51</v>
      </c>
      <c r="D255" s="2993" t="s">
        <v>3235</v>
      </c>
      <c r="E255" s="2995">
        <v>420000</v>
      </c>
    </row>
    <row r="256" spans="1:6" s="2993" customFormat="1">
      <c r="A256" s="3202">
        <v>53</v>
      </c>
      <c r="B256" s="2991" t="s">
        <v>3484</v>
      </c>
      <c r="C256" s="2992">
        <v>138.78</v>
      </c>
      <c r="D256" s="2993" t="s">
        <v>3238</v>
      </c>
      <c r="E256" s="2995">
        <v>8813640</v>
      </c>
    </row>
    <row r="257" spans="1:6" s="2993" customFormat="1">
      <c r="A257" s="3202"/>
      <c r="B257" s="2991" t="s">
        <v>3485</v>
      </c>
      <c r="C257" s="2992">
        <v>86.96</v>
      </c>
      <c r="D257" s="2993" t="s">
        <v>4487</v>
      </c>
      <c r="E257" s="2995">
        <v>2608800</v>
      </c>
      <c r="F257" s="2993">
        <f t="shared" ref="F257:F258" si="49">E257/C257</f>
        <v>30000.000000000004</v>
      </c>
    </row>
    <row r="258" spans="1:6" s="2993" customFormat="1">
      <c r="A258" s="3202"/>
      <c r="B258" s="2991" t="s">
        <v>3486</v>
      </c>
      <c r="C258" s="2992">
        <v>85.08</v>
      </c>
      <c r="D258" s="2993" t="s">
        <v>3241</v>
      </c>
      <c r="E258" s="2995">
        <v>2552400</v>
      </c>
      <c r="F258" s="2993">
        <f t="shared" si="49"/>
        <v>30000</v>
      </c>
    </row>
    <row r="259" spans="1:6" s="2993" customFormat="1">
      <c r="A259" s="3202"/>
      <c r="B259" s="2991" t="s">
        <v>3487</v>
      </c>
      <c r="C259" s="2992">
        <v>45.51</v>
      </c>
      <c r="D259" s="2993" t="s">
        <v>3235</v>
      </c>
      <c r="E259" s="2995">
        <v>420000</v>
      </c>
    </row>
    <row r="260" spans="1:6" s="2993" customFormat="1">
      <c r="A260" s="3202"/>
      <c r="B260" s="2991" t="s">
        <v>3488</v>
      </c>
      <c r="C260" s="2992">
        <v>45.51</v>
      </c>
      <c r="D260" s="2993" t="s">
        <v>3235</v>
      </c>
      <c r="E260" s="2995">
        <v>420000</v>
      </c>
    </row>
    <row r="261" spans="1:6" s="2993" customFormat="1">
      <c r="A261" s="3202">
        <v>54</v>
      </c>
      <c r="B261" s="2991" t="s">
        <v>3489</v>
      </c>
      <c r="C261" s="2992">
        <v>134.29</v>
      </c>
      <c r="D261" s="2993" t="s">
        <v>3238</v>
      </c>
      <c r="E261" s="2995">
        <v>8324774</v>
      </c>
    </row>
    <row r="262" spans="1:6" s="2993" customFormat="1">
      <c r="A262" s="3202"/>
      <c r="B262" s="2991" t="s">
        <v>3490</v>
      </c>
      <c r="C262" s="2992">
        <v>84.35</v>
      </c>
      <c r="D262" s="2993" t="s">
        <v>4487</v>
      </c>
      <c r="E262" s="2995">
        <v>2530500</v>
      </c>
      <c r="F262" s="2993">
        <f t="shared" ref="F262:F263" si="50">E262/C262</f>
        <v>30000.000000000004</v>
      </c>
    </row>
    <row r="263" spans="1:6" s="2993" customFormat="1">
      <c r="A263" s="3202"/>
      <c r="B263" s="2991" t="s">
        <v>3491</v>
      </c>
      <c r="C263" s="2992">
        <v>83.45</v>
      </c>
      <c r="D263" s="2993" t="s">
        <v>3252</v>
      </c>
      <c r="E263" s="2995">
        <v>2503500</v>
      </c>
      <c r="F263" s="2993">
        <f t="shared" si="50"/>
        <v>30000</v>
      </c>
    </row>
    <row r="264" spans="1:6" s="2993" customFormat="1">
      <c r="A264" s="3202"/>
      <c r="B264" s="2991" t="s">
        <v>3492</v>
      </c>
      <c r="C264" s="2992">
        <v>45.51</v>
      </c>
      <c r="D264" s="2993" t="s">
        <v>3254</v>
      </c>
      <c r="E264" s="2995">
        <v>420000</v>
      </c>
    </row>
    <row r="265" spans="1:6" s="2993" customFormat="1">
      <c r="A265" s="3202"/>
      <c r="B265" s="2991" t="s">
        <v>3493</v>
      </c>
      <c r="C265" s="2992">
        <v>45.51</v>
      </c>
      <c r="D265" s="2993" t="s">
        <v>3254</v>
      </c>
      <c r="E265" s="2995">
        <v>420000</v>
      </c>
    </row>
    <row r="266" spans="1:6" s="2993" customFormat="1">
      <c r="A266" s="3202">
        <v>55</v>
      </c>
      <c r="B266" s="2991" t="s">
        <v>3494</v>
      </c>
      <c r="C266" s="2992">
        <v>134.47</v>
      </c>
      <c r="D266" s="2993" t="s">
        <v>3257</v>
      </c>
      <c r="E266" s="2995">
        <v>7925703</v>
      </c>
    </row>
    <row r="267" spans="1:6" s="2993" customFormat="1">
      <c r="A267" s="3202"/>
      <c r="B267" s="2991" t="s">
        <v>3495</v>
      </c>
      <c r="C267" s="2992">
        <v>84.77</v>
      </c>
      <c r="D267" s="2993" t="s">
        <v>4487</v>
      </c>
      <c r="E267" s="2995">
        <v>2543100</v>
      </c>
      <c r="F267" s="2993">
        <f t="shared" ref="F267:F268" si="51">E267/C267</f>
        <v>30000</v>
      </c>
    </row>
    <row r="268" spans="1:6" s="2993" customFormat="1">
      <c r="A268" s="3202"/>
      <c r="B268" s="2991" t="s">
        <v>3496</v>
      </c>
      <c r="C268" s="2992">
        <v>84.17</v>
      </c>
      <c r="D268" s="2993" t="s">
        <v>3252</v>
      </c>
      <c r="E268" s="2995">
        <v>2525100</v>
      </c>
      <c r="F268" s="2993">
        <f t="shared" si="51"/>
        <v>30000</v>
      </c>
    </row>
    <row r="269" spans="1:6" s="2993" customFormat="1">
      <c r="A269" s="3202"/>
      <c r="B269" s="2991" t="s">
        <v>3497</v>
      </c>
      <c r="C269" s="2992">
        <v>45.51</v>
      </c>
      <c r="D269" s="2993" t="s">
        <v>3254</v>
      </c>
      <c r="E269" s="2995">
        <v>420000</v>
      </c>
    </row>
    <row r="270" spans="1:6" s="2993" customFormat="1">
      <c r="A270" s="3202"/>
      <c r="B270" s="2991" t="s">
        <v>3498</v>
      </c>
      <c r="C270" s="2992">
        <v>45.51</v>
      </c>
      <c r="D270" s="2993" t="s">
        <v>3254</v>
      </c>
      <c r="E270" s="2995">
        <v>420000</v>
      </c>
    </row>
    <row r="271" spans="1:6" s="2993" customFormat="1">
      <c r="A271" s="3202">
        <v>56</v>
      </c>
      <c r="B271" s="2991" t="s">
        <v>3499</v>
      </c>
      <c r="C271" s="2992">
        <v>134.29</v>
      </c>
      <c r="D271" s="2993" t="s">
        <v>3257</v>
      </c>
      <c r="E271" s="2995">
        <v>8528489</v>
      </c>
    </row>
    <row r="272" spans="1:6" s="2993" customFormat="1">
      <c r="A272" s="3202"/>
      <c r="B272" s="2991" t="s">
        <v>3500</v>
      </c>
      <c r="C272" s="2992">
        <v>84.35</v>
      </c>
      <c r="D272" s="2993" t="s">
        <v>4487</v>
      </c>
      <c r="E272" s="2995">
        <v>2530500</v>
      </c>
      <c r="F272" s="2993">
        <f t="shared" ref="F272:F273" si="52">E272/C272</f>
        <v>30000.000000000004</v>
      </c>
    </row>
    <row r="273" spans="1:6" s="2993" customFormat="1">
      <c r="A273" s="3202"/>
      <c r="B273" s="2991" t="s">
        <v>3501</v>
      </c>
      <c r="C273" s="2992">
        <v>83.45</v>
      </c>
      <c r="D273" s="2993" t="s">
        <v>3252</v>
      </c>
      <c r="E273" s="2995">
        <v>2503500</v>
      </c>
      <c r="F273" s="2993">
        <f t="shared" si="52"/>
        <v>30000</v>
      </c>
    </row>
    <row r="274" spans="1:6" s="2993" customFormat="1">
      <c r="A274" s="3202"/>
      <c r="B274" s="2991" t="s">
        <v>3502</v>
      </c>
      <c r="C274" s="2992">
        <v>45.51</v>
      </c>
      <c r="D274" s="2993" t="s">
        <v>3254</v>
      </c>
      <c r="E274" s="2995">
        <v>420000</v>
      </c>
    </row>
    <row r="275" spans="1:6" s="2993" customFormat="1">
      <c r="A275" s="3202"/>
      <c r="B275" s="2991" t="s">
        <v>3503</v>
      </c>
      <c r="C275" s="2992">
        <v>45.51</v>
      </c>
      <c r="D275" s="2993" t="s">
        <v>3254</v>
      </c>
      <c r="E275" s="2995">
        <v>420000</v>
      </c>
    </row>
    <row r="276" spans="1:6" s="2993" customFormat="1">
      <c r="A276" s="3202">
        <v>57</v>
      </c>
      <c r="B276" s="2991" t="s">
        <v>3504</v>
      </c>
      <c r="C276" s="2992">
        <v>134.28</v>
      </c>
      <c r="D276" s="2993" t="s">
        <v>3257</v>
      </c>
      <c r="E276" s="2995">
        <v>7766417</v>
      </c>
    </row>
    <row r="277" spans="1:6" s="2993" customFormat="1">
      <c r="A277" s="3202"/>
      <c r="B277" s="2991" t="s">
        <v>3505</v>
      </c>
      <c r="C277" s="2992">
        <v>84.49</v>
      </c>
      <c r="D277" s="2993" t="s">
        <v>4487</v>
      </c>
      <c r="E277" s="2995">
        <v>2534700</v>
      </c>
      <c r="F277" s="2993">
        <f t="shared" ref="F277:F278" si="53">E277/C277</f>
        <v>30000</v>
      </c>
    </row>
    <row r="278" spans="1:6" s="2993" customFormat="1">
      <c r="A278" s="3202"/>
      <c r="B278" s="2991" t="s">
        <v>3506</v>
      </c>
      <c r="C278" s="2992">
        <v>84.17</v>
      </c>
      <c r="D278" s="2993" t="s">
        <v>3252</v>
      </c>
      <c r="E278" s="2995">
        <v>2525100</v>
      </c>
      <c r="F278" s="2993">
        <f t="shared" si="53"/>
        <v>30000</v>
      </c>
    </row>
    <row r="279" spans="1:6" s="2993" customFormat="1">
      <c r="A279" s="3202"/>
      <c r="B279" s="2991" t="s">
        <v>3507</v>
      </c>
      <c r="C279" s="2992">
        <v>45.51</v>
      </c>
      <c r="D279" s="2993" t="s">
        <v>3254</v>
      </c>
      <c r="E279" s="2995">
        <v>420000</v>
      </c>
    </row>
    <row r="280" spans="1:6" s="2993" customFormat="1">
      <c r="A280" s="3202"/>
      <c r="B280" s="2991" t="s">
        <v>3508</v>
      </c>
      <c r="C280" s="2992">
        <v>45.51</v>
      </c>
      <c r="D280" s="2993" t="s">
        <v>3254</v>
      </c>
      <c r="E280" s="2995">
        <v>420000</v>
      </c>
    </row>
    <row r="281" spans="1:6" s="2993" customFormat="1">
      <c r="A281" s="3202">
        <v>58</v>
      </c>
      <c r="B281" s="2991" t="s">
        <v>3509</v>
      </c>
      <c r="C281" s="2992">
        <v>134.43</v>
      </c>
      <c r="D281" s="2993" t="s">
        <v>3257</v>
      </c>
      <c r="E281" s="2995">
        <v>8158960</v>
      </c>
    </row>
    <row r="282" spans="1:6" s="2993" customFormat="1">
      <c r="A282" s="3202"/>
      <c r="B282" s="2991" t="s">
        <v>3510</v>
      </c>
      <c r="C282" s="2992">
        <v>84.73</v>
      </c>
      <c r="D282" s="2993" t="s">
        <v>4487</v>
      </c>
      <c r="E282" s="2995">
        <v>2541900</v>
      </c>
      <c r="F282" s="2993">
        <f t="shared" ref="F282:F283" si="54">E282/C282</f>
        <v>30000</v>
      </c>
    </row>
    <row r="283" spans="1:6" s="2993" customFormat="1">
      <c r="A283" s="3202"/>
      <c r="B283" s="2991" t="s">
        <v>3511</v>
      </c>
      <c r="C283" s="2992">
        <v>84.16</v>
      </c>
      <c r="D283" s="2993" t="s">
        <v>3252</v>
      </c>
      <c r="E283" s="2995">
        <v>2524800</v>
      </c>
      <c r="F283" s="2993">
        <f t="shared" si="54"/>
        <v>30000</v>
      </c>
    </row>
    <row r="284" spans="1:6" s="2993" customFormat="1">
      <c r="A284" s="3202"/>
      <c r="B284" s="2991" t="s">
        <v>3512</v>
      </c>
      <c r="C284" s="2992">
        <v>45.51</v>
      </c>
      <c r="D284" s="2993" t="s">
        <v>3254</v>
      </c>
      <c r="E284" s="2995">
        <v>420000</v>
      </c>
    </row>
    <row r="285" spans="1:6" s="2993" customFormat="1">
      <c r="A285" s="3202"/>
      <c r="B285" s="2991" t="s">
        <v>3513</v>
      </c>
      <c r="C285" s="2992">
        <v>45.51</v>
      </c>
      <c r="D285" s="2993" t="s">
        <v>3254</v>
      </c>
      <c r="E285" s="2995">
        <v>420000</v>
      </c>
    </row>
    <row r="286" spans="1:6" s="2993" customFormat="1">
      <c r="A286" s="3202">
        <v>59</v>
      </c>
      <c r="B286" s="2991" t="s">
        <v>3514</v>
      </c>
      <c r="C286" s="2992">
        <v>135.25</v>
      </c>
      <c r="D286" s="2993" t="s">
        <v>3257</v>
      </c>
      <c r="E286" s="2995">
        <v>7971725</v>
      </c>
    </row>
    <row r="287" spans="1:6" s="2993" customFormat="1">
      <c r="A287" s="3202"/>
      <c r="B287" s="2991" t="s">
        <v>3515</v>
      </c>
      <c r="C287" s="2992">
        <v>85.37</v>
      </c>
      <c r="D287" s="2993" t="s">
        <v>4487</v>
      </c>
      <c r="E287" s="2995">
        <v>2561100</v>
      </c>
      <c r="F287" s="2993">
        <f t="shared" ref="F287:F288" si="55">E287/C287</f>
        <v>30000</v>
      </c>
    </row>
    <row r="288" spans="1:6" s="2993" customFormat="1">
      <c r="A288" s="3202"/>
      <c r="B288" s="2991" t="s">
        <v>3516</v>
      </c>
      <c r="C288" s="2992">
        <v>84.31</v>
      </c>
      <c r="D288" s="2993" t="s">
        <v>3252</v>
      </c>
      <c r="E288" s="2995">
        <v>2529300</v>
      </c>
      <c r="F288" s="2993">
        <f t="shared" si="55"/>
        <v>30000</v>
      </c>
    </row>
    <row r="289" spans="1:6" s="2993" customFormat="1">
      <c r="A289" s="3202"/>
      <c r="B289" s="2991" t="s">
        <v>3517</v>
      </c>
      <c r="C289" s="2992">
        <v>45.51</v>
      </c>
      <c r="D289" s="2993" t="s">
        <v>3254</v>
      </c>
      <c r="E289" s="2995">
        <v>420000</v>
      </c>
    </row>
    <row r="290" spans="1:6" s="2993" customFormat="1">
      <c r="A290" s="3202"/>
      <c r="B290" s="2991" t="s">
        <v>3518</v>
      </c>
      <c r="C290" s="2992">
        <v>45.51</v>
      </c>
      <c r="D290" s="2993" t="s">
        <v>3254</v>
      </c>
      <c r="E290" s="2995">
        <v>420000</v>
      </c>
    </row>
    <row r="291" spans="1:6" s="2993" customFormat="1">
      <c r="A291" s="3202">
        <v>60</v>
      </c>
      <c r="B291" s="2991" t="s">
        <v>3519</v>
      </c>
      <c r="C291" s="2992">
        <v>135.25</v>
      </c>
      <c r="D291" s="2993" t="s">
        <v>3257</v>
      </c>
      <c r="E291" s="2995">
        <v>8359532</v>
      </c>
    </row>
    <row r="292" spans="1:6" s="2993" customFormat="1">
      <c r="A292" s="3202"/>
      <c r="B292" s="2991" t="s">
        <v>3520</v>
      </c>
      <c r="C292" s="2992">
        <v>85.37</v>
      </c>
      <c r="D292" s="2993" t="s">
        <v>4487</v>
      </c>
      <c r="E292" s="2995">
        <v>2561100</v>
      </c>
      <c r="F292" s="2993">
        <f t="shared" ref="F292:F293" si="56">E292/C292</f>
        <v>30000</v>
      </c>
    </row>
    <row r="293" spans="1:6" s="2993" customFormat="1">
      <c r="A293" s="3202"/>
      <c r="B293" s="2991" t="s">
        <v>3521</v>
      </c>
      <c r="C293" s="2992">
        <v>84.31</v>
      </c>
      <c r="D293" s="2993" t="s">
        <v>3252</v>
      </c>
      <c r="E293" s="2995">
        <v>2529300</v>
      </c>
      <c r="F293" s="2993">
        <f t="shared" si="56"/>
        <v>30000</v>
      </c>
    </row>
    <row r="294" spans="1:6" s="2993" customFormat="1">
      <c r="A294" s="3202"/>
      <c r="B294" s="2991" t="s">
        <v>3522</v>
      </c>
      <c r="C294" s="2992">
        <v>45.51</v>
      </c>
      <c r="D294" s="2993" t="s">
        <v>3254</v>
      </c>
      <c r="E294" s="2995">
        <v>420000</v>
      </c>
    </row>
    <row r="295" spans="1:6" s="2993" customFormat="1">
      <c r="A295" s="3202"/>
      <c r="B295" s="2991" t="s">
        <v>3523</v>
      </c>
      <c r="C295" s="2992">
        <v>45.51</v>
      </c>
      <c r="D295" s="2993" t="s">
        <v>3254</v>
      </c>
      <c r="E295" s="2995">
        <v>420000</v>
      </c>
    </row>
    <row r="296" spans="1:6" s="2993" customFormat="1">
      <c r="A296" s="3202">
        <v>61</v>
      </c>
      <c r="B296" s="2991" t="s">
        <v>3524</v>
      </c>
      <c r="C296" s="2992">
        <v>134.18</v>
      </c>
      <c r="D296" s="2993" t="s">
        <v>3257</v>
      </c>
      <c r="E296" s="2995">
        <v>8401004</v>
      </c>
    </row>
    <row r="297" spans="1:6" s="2993" customFormat="1">
      <c r="A297" s="3202"/>
      <c r="B297" s="2991" t="s">
        <v>3525</v>
      </c>
      <c r="C297" s="2992">
        <v>84.28</v>
      </c>
      <c r="D297" s="2993" t="s">
        <v>4487</v>
      </c>
      <c r="E297" s="2995">
        <v>2528400</v>
      </c>
      <c r="F297" s="2993">
        <f t="shared" ref="F297:F298" si="57">E297/C297</f>
        <v>30000</v>
      </c>
    </row>
    <row r="298" spans="1:6" s="2993" customFormat="1">
      <c r="A298" s="3202"/>
      <c r="B298" s="2991" t="s">
        <v>3526</v>
      </c>
      <c r="C298" s="2992">
        <v>83.43</v>
      </c>
      <c r="D298" s="2993" t="s">
        <v>3252</v>
      </c>
      <c r="E298" s="2995">
        <v>2502900</v>
      </c>
      <c r="F298" s="2993">
        <f t="shared" si="57"/>
        <v>29999.999999999996</v>
      </c>
    </row>
    <row r="299" spans="1:6" s="2993" customFormat="1">
      <c r="A299" s="3202"/>
      <c r="B299" s="2991" t="s">
        <v>3527</v>
      </c>
      <c r="C299" s="2992">
        <v>45.51</v>
      </c>
      <c r="D299" s="2993" t="s">
        <v>3254</v>
      </c>
      <c r="E299" s="2995">
        <v>420000</v>
      </c>
    </row>
    <row r="300" spans="1:6" s="2993" customFormat="1">
      <c r="A300" s="3202"/>
      <c r="B300" s="2991" t="s">
        <v>3528</v>
      </c>
      <c r="C300" s="2992">
        <v>45.51</v>
      </c>
      <c r="D300" s="2993" t="s">
        <v>3254</v>
      </c>
      <c r="E300" s="2995">
        <v>420000</v>
      </c>
    </row>
    <row r="301" spans="1:6" s="2993" customFormat="1">
      <c r="A301" s="3202">
        <v>62</v>
      </c>
      <c r="B301" s="2991" t="s">
        <v>3529</v>
      </c>
      <c r="C301" s="2992">
        <v>134.18</v>
      </c>
      <c r="D301" s="2993" t="s">
        <v>3257</v>
      </c>
      <c r="E301" s="2995">
        <v>8521503</v>
      </c>
    </row>
    <row r="302" spans="1:6" s="2993" customFormat="1">
      <c r="A302" s="3202"/>
      <c r="B302" s="2991" t="s">
        <v>3530</v>
      </c>
      <c r="C302" s="2992">
        <v>84.28</v>
      </c>
      <c r="D302" s="2993" t="s">
        <v>4487</v>
      </c>
      <c r="E302" s="2995">
        <v>2528400</v>
      </c>
      <c r="F302" s="2993">
        <f t="shared" ref="F302:F303" si="58">E302/C302</f>
        <v>30000</v>
      </c>
    </row>
    <row r="303" spans="1:6" s="2993" customFormat="1">
      <c r="A303" s="3202"/>
      <c r="B303" s="2991" t="s">
        <v>3531</v>
      </c>
      <c r="C303" s="2992">
        <v>83.43</v>
      </c>
      <c r="D303" s="2993" t="s">
        <v>3252</v>
      </c>
      <c r="E303" s="2995">
        <v>2502900</v>
      </c>
      <c r="F303" s="2993">
        <f t="shared" si="58"/>
        <v>29999.999999999996</v>
      </c>
    </row>
    <row r="304" spans="1:6" s="2993" customFormat="1">
      <c r="A304" s="3202"/>
      <c r="B304" s="2991" t="s">
        <v>3532</v>
      </c>
      <c r="C304" s="2992">
        <v>45.51</v>
      </c>
      <c r="D304" s="2993" t="s">
        <v>3254</v>
      </c>
      <c r="E304" s="2995">
        <v>420000</v>
      </c>
    </row>
    <row r="305" spans="1:6" s="2993" customFormat="1">
      <c r="A305" s="3202"/>
      <c r="B305" s="2991" t="s">
        <v>3533</v>
      </c>
      <c r="C305" s="2992">
        <v>45.51</v>
      </c>
      <c r="D305" s="2993" t="s">
        <v>3254</v>
      </c>
      <c r="E305" s="2995">
        <v>420000</v>
      </c>
    </row>
    <row r="306" spans="1:6" s="2993" customFormat="1">
      <c r="A306" s="3202">
        <v>63</v>
      </c>
      <c r="B306" s="2991" t="s">
        <v>3534</v>
      </c>
      <c r="C306" s="2992">
        <v>134.36000000000001</v>
      </c>
      <c r="D306" s="2993" t="s">
        <v>3257</v>
      </c>
      <c r="E306" s="2995">
        <v>8154728</v>
      </c>
    </row>
    <row r="307" spans="1:6" s="2993" customFormat="1">
      <c r="A307" s="3202"/>
      <c r="B307" s="2991" t="s">
        <v>3535</v>
      </c>
      <c r="C307" s="2992">
        <v>84.7</v>
      </c>
      <c r="D307" s="2993" t="s">
        <v>4487</v>
      </c>
      <c r="E307" s="2995">
        <v>2541000</v>
      </c>
      <c r="F307" s="2993">
        <f t="shared" ref="F307:F308" si="59">E307/C307</f>
        <v>30000</v>
      </c>
    </row>
    <row r="308" spans="1:6" s="2993" customFormat="1">
      <c r="A308" s="3202"/>
      <c r="B308" s="2991" t="s">
        <v>3536</v>
      </c>
      <c r="C308" s="2992">
        <v>84.15</v>
      </c>
      <c r="D308" s="2993" t="s">
        <v>3252</v>
      </c>
      <c r="E308" s="2995">
        <v>2524500</v>
      </c>
      <c r="F308" s="2993">
        <f t="shared" si="59"/>
        <v>29999.999999999996</v>
      </c>
    </row>
    <row r="309" spans="1:6" s="2993" customFormat="1">
      <c r="A309" s="3202"/>
      <c r="B309" s="2991" t="s">
        <v>3537</v>
      </c>
      <c r="C309" s="2992">
        <v>45.51</v>
      </c>
      <c r="D309" s="2993" t="s">
        <v>3254</v>
      </c>
      <c r="E309" s="2995">
        <v>420000</v>
      </c>
    </row>
    <row r="310" spans="1:6" s="2993" customFormat="1">
      <c r="A310" s="3202"/>
      <c r="B310" s="2991" t="s">
        <v>3538</v>
      </c>
      <c r="C310" s="2992">
        <v>45.51</v>
      </c>
      <c r="D310" s="2993" t="s">
        <v>3254</v>
      </c>
      <c r="E310" s="2995">
        <v>420000</v>
      </c>
    </row>
    <row r="311" spans="1:6" s="2993" customFormat="1">
      <c r="A311" s="3202">
        <v>64</v>
      </c>
      <c r="B311" s="2991" t="s">
        <v>3539</v>
      </c>
      <c r="C311" s="2992">
        <v>134.18</v>
      </c>
      <c r="D311" s="2993" t="s">
        <v>3257</v>
      </c>
      <c r="E311" s="2995">
        <v>8469091</v>
      </c>
    </row>
    <row r="312" spans="1:6" s="2993" customFormat="1">
      <c r="A312" s="3202"/>
      <c r="B312" s="2991" t="s">
        <v>3540</v>
      </c>
      <c r="C312" s="2992">
        <v>84.28</v>
      </c>
      <c r="D312" s="2993" t="s">
        <v>4487</v>
      </c>
      <c r="E312" s="2995">
        <v>2528400</v>
      </c>
      <c r="F312" s="2993">
        <f t="shared" ref="F312:F313" si="60">E312/C312</f>
        <v>30000</v>
      </c>
    </row>
    <row r="313" spans="1:6" s="2993" customFormat="1">
      <c r="A313" s="3202"/>
      <c r="B313" s="2991" t="s">
        <v>3541</v>
      </c>
      <c r="C313" s="2992">
        <v>83.43</v>
      </c>
      <c r="D313" s="2993" t="s">
        <v>3252</v>
      </c>
      <c r="E313" s="2995">
        <v>2502900</v>
      </c>
      <c r="F313" s="2993">
        <f t="shared" si="60"/>
        <v>29999.999999999996</v>
      </c>
    </row>
    <row r="314" spans="1:6" s="2993" customFormat="1">
      <c r="A314" s="3202"/>
      <c r="B314" s="2991" t="s">
        <v>3542</v>
      </c>
      <c r="C314" s="2992">
        <v>45.51</v>
      </c>
      <c r="D314" s="2993" t="s">
        <v>3254</v>
      </c>
      <c r="E314" s="2995">
        <v>420000</v>
      </c>
    </row>
    <row r="315" spans="1:6" s="2993" customFormat="1">
      <c r="A315" s="3202"/>
      <c r="B315" s="2991" t="s">
        <v>3543</v>
      </c>
      <c r="C315" s="2992">
        <v>45.51</v>
      </c>
      <c r="D315" s="2993" t="s">
        <v>3254</v>
      </c>
      <c r="E315" s="2995">
        <v>420000</v>
      </c>
    </row>
    <row r="316" spans="1:6" s="2993" customFormat="1">
      <c r="A316" s="3202">
        <v>65</v>
      </c>
      <c r="B316" s="2991" t="s">
        <v>3544</v>
      </c>
      <c r="C316" s="2992">
        <v>134.18</v>
      </c>
      <c r="D316" s="2993" t="s">
        <v>3257</v>
      </c>
      <c r="E316" s="2995">
        <v>8521503</v>
      </c>
    </row>
    <row r="317" spans="1:6" s="2993" customFormat="1">
      <c r="A317" s="3202"/>
      <c r="B317" s="2991" t="s">
        <v>3545</v>
      </c>
      <c r="C317" s="2992">
        <v>84.28</v>
      </c>
      <c r="D317" s="2993" t="s">
        <v>4487</v>
      </c>
      <c r="E317" s="2995">
        <v>2528400</v>
      </c>
      <c r="F317" s="2993">
        <f t="shared" ref="F317:F318" si="61">E317/C317</f>
        <v>30000</v>
      </c>
    </row>
    <row r="318" spans="1:6" s="2993" customFormat="1">
      <c r="A318" s="3202"/>
      <c r="B318" s="2991" t="s">
        <v>3546</v>
      </c>
      <c r="C318" s="2992">
        <v>83.43</v>
      </c>
      <c r="D318" s="2993" t="s">
        <v>3252</v>
      </c>
      <c r="E318" s="2995">
        <v>2502900</v>
      </c>
      <c r="F318" s="2993">
        <f t="shared" si="61"/>
        <v>29999.999999999996</v>
      </c>
    </row>
    <row r="319" spans="1:6" s="2993" customFormat="1">
      <c r="A319" s="3202"/>
      <c r="B319" s="2991" t="s">
        <v>3547</v>
      </c>
      <c r="C319" s="2992">
        <v>45.51</v>
      </c>
      <c r="D319" s="2993" t="s">
        <v>3254</v>
      </c>
      <c r="E319" s="2995">
        <v>420000</v>
      </c>
    </row>
    <row r="320" spans="1:6" s="2993" customFormat="1">
      <c r="A320" s="3202"/>
      <c r="B320" s="2991" t="s">
        <v>3548</v>
      </c>
      <c r="C320" s="2992">
        <v>45.51</v>
      </c>
      <c r="D320" s="2993" t="s">
        <v>3254</v>
      </c>
      <c r="E320" s="2995">
        <v>420000</v>
      </c>
    </row>
    <row r="321" spans="1:6" s="2993" customFormat="1">
      <c r="A321" s="3202">
        <v>66</v>
      </c>
      <c r="B321" s="2991" t="s">
        <v>3549</v>
      </c>
      <c r="C321" s="2992">
        <v>134.16999999999999</v>
      </c>
      <c r="D321" s="2993" t="s">
        <v>3257</v>
      </c>
      <c r="E321" s="2995">
        <v>7692826</v>
      </c>
    </row>
    <row r="322" spans="1:6" s="2993" customFormat="1">
      <c r="A322" s="3202"/>
      <c r="B322" s="2991" t="s">
        <v>3550</v>
      </c>
      <c r="C322" s="2992">
        <v>84.42</v>
      </c>
      <c r="D322" s="2993" t="s">
        <v>4487</v>
      </c>
      <c r="E322" s="2995">
        <v>2532600</v>
      </c>
      <c r="F322" s="2993">
        <f t="shared" ref="F322:F323" si="62">E322/C322</f>
        <v>30000</v>
      </c>
    </row>
    <row r="323" spans="1:6" s="2993" customFormat="1">
      <c r="A323" s="3202"/>
      <c r="B323" s="2991" t="s">
        <v>3551</v>
      </c>
      <c r="C323" s="2992">
        <v>84.15</v>
      </c>
      <c r="D323" s="2993" t="s">
        <v>3252</v>
      </c>
      <c r="E323" s="2995">
        <v>2524500</v>
      </c>
      <c r="F323" s="2993">
        <f t="shared" si="62"/>
        <v>29999.999999999996</v>
      </c>
    </row>
    <row r="324" spans="1:6" s="2993" customFormat="1">
      <c r="A324" s="3202"/>
      <c r="B324" s="2991" t="s">
        <v>3552</v>
      </c>
      <c r="C324" s="2992">
        <v>45.51</v>
      </c>
      <c r="D324" s="2993" t="s">
        <v>3235</v>
      </c>
      <c r="E324" s="2995">
        <v>420000</v>
      </c>
    </row>
    <row r="325" spans="1:6" s="2993" customFormat="1">
      <c r="A325" s="3202"/>
      <c r="B325" s="2991" t="s">
        <v>3553</v>
      </c>
      <c r="C325" s="2992">
        <v>45.51</v>
      </c>
      <c r="D325" s="2993" t="s">
        <v>3235</v>
      </c>
      <c r="E325" s="2995">
        <v>420000</v>
      </c>
    </row>
    <row r="326" spans="1:6" s="2993" customFormat="1">
      <c r="A326" s="3202">
        <v>67</v>
      </c>
      <c r="B326" s="2991" t="s">
        <v>3554</v>
      </c>
      <c r="C326" s="2992">
        <v>134.36000000000001</v>
      </c>
      <c r="D326" s="2993" t="s">
        <v>3238</v>
      </c>
      <c r="E326" s="2995">
        <v>8087437</v>
      </c>
    </row>
    <row r="327" spans="1:6" s="2993" customFormat="1">
      <c r="A327" s="3202"/>
      <c r="B327" s="2991" t="s">
        <v>3555</v>
      </c>
      <c r="C327" s="2992">
        <v>84.7</v>
      </c>
      <c r="D327" s="2993" t="s">
        <v>4487</v>
      </c>
      <c r="E327" s="2995">
        <v>2541000</v>
      </c>
      <c r="F327" s="2993">
        <f t="shared" ref="F327:F328" si="63">E327/C327</f>
        <v>30000</v>
      </c>
    </row>
    <row r="328" spans="1:6" s="2993" customFormat="1">
      <c r="A328" s="3202"/>
      <c r="B328" s="2991" t="s">
        <v>3556</v>
      </c>
      <c r="C328" s="2992">
        <v>84.15</v>
      </c>
      <c r="D328" s="2993" t="s">
        <v>3241</v>
      </c>
      <c r="E328" s="2995">
        <v>2524500</v>
      </c>
      <c r="F328" s="2993">
        <f t="shared" si="63"/>
        <v>29999.999999999996</v>
      </c>
    </row>
    <row r="329" spans="1:6" s="2993" customFormat="1">
      <c r="A329" s="3202"/>
      <c r="B329" s="2991" t="s">
        <v>3557</v>
      </c>
      <c r="C329" s="2992">
        <v>45.51</v>
      </c>
      <c r="D329" s="2993" t="s">
        <v>3235</v>
      </c>
      <c r="E329" s="2995">
        <v>420000</v>
      </c>
    </row>
    <row r="330" spans="1:6" s="2993" customFormat="1">
      <c r="A330" s="3202"/>
      <c r="B330" s="2991" t="s">
        <v>3558</v>
      </c>
      <c r="C330" s="2992">
        <v>45.51</v>
      </c>
      <c r="D330" s="2993" t="s">
        <v>3235</v>
      </c>
      <c r="E330" s="2995">
        <v>420000</v>
      </c>
    </row>
    <row r="331" spans="1:6" s="2993" customFormat="1">
      <c r="A331" s="3202">
        <v>68</v>
      </c>
      <c r="B331" s="2991" t="s">
        <v>3559</v>
      </c>
      <c r="C331" s="2992">
        <v>134.54</v>
      </c>
      <c r="D331" s="2993" t="s">
        <v>3384</v>
      </c>
      <c r="E331" s="2995">
        <v>7997205</v>
      </c>
    </row>
    <row r="332" spans="1:6" s="2993" customFormat="1">
      <c r="A332" s="3202"/>
      <c r="B332" s="2991" t="s">
        <v>3560</v>
      </c>
      <c r="C332" s="2992">
        <v>84.8</v>
      </c>
      <c r="D332" s="2993" t="s">
        <v>4487</v>
      </c>
      <c r="E332" s="2995">
        <v>2544000</v>
      </c>
      <c r="F332" s="2993">
        <f t="shared" ref="F332:F333" si="64">E332/C332</f>
        <v>30000</v>
      </c>
    </row>
    <row r="333" spans="1:6" s="2993" customFormat="1">
      <c r="A333" s="3202"/>
      <c r="B333" s="2991" t="s">
        <v>3561</v>
      </c>
      <c r="C333" s="2992">
        <v>84.18</v>
      </c>
      <c r="D333" s="2993" t="s">
        <v>3379</v>
      </c>
      <c r="E333" s="2995">
        <v>2525400</v>
      </c>
      <c r="F333" s="2993">
        <f t="shared" si="64"/>
        <v>29999.999999999996</v>
      </c>
    </row>
    <row r="334" spans="1:6" s="2993" customFormat="1">
      <c r="A334" s="3202"/>
      <c r="B334" s="2991" t="s">
        <v>3562</v>
      </c>
      <c r="C334" s="2992">
        <v>45.51</v>
      </c>
      <c r="D334" s="2993" t="s">
        <v>3381</v>
      </c>
      <c r="E334" s="2995">
        <v>420000</v>
      </c>
    </row>
    <row r="335" spans="1:6" s="2993" customFormat="1">
      <c r="A335" s="3202"/>
      <c r="B335" s="2991" t="s">
        <v>3563</v>
      </c>
      <c r="C335" s="2992">
        <v>45.51</v>
      </c>
      <c r="D335" s="2993" t="s">
        <v>3381</v>
      </c>
      <c r="E335" s="2995">
        <v>420000</v>
      </c>
    </row>
    <row r="336" spans="1:6" s="2993" customFormat="1">
      <c r="A336" s="3202">
        <v>69</v>
      </c>
      <c r="B336" s="2991" t="s">
        <v>3564</v>
      </c>
      <c r="C336" s="2992">
        <v>135.18</v>
      </c>
      <c r="D336" s="2993" t="s">
        <v>3384</v>
      </c>
      <c r="E336" s="2995">
        <v>7967596</v>
      </c>
    </row>
    <row r="337" spans="1:6" s="2993" customFormat="1">
      <c r="A337" s="3202"/>
      <c r="B337" s="2991" t="s">
        <v>3565</v>
      </c>
      <c r="C337" s="2992">
        <v>85.32</v>
      </c>
      <c r="D337" s="2993" t="s">
        <v>4487</v>
      </c>
      <c r="E337" s="2995">
        <v>2559600</v>
      </c>
      <c r="F337" s="2993">
        <f t="shared" ref="F337:F338" si="65">E337/C337</f>
        <v>30000.000000000004</v>
      </c>
    </row>
    <row r="338" spans="1:6" s="2993" customFormat="1">
      <c r="A338" s="3202"/>
      <c r="B338" s="2991" t="s">
        <v>3566</v>
      </c>
      <c r="C338" s="2992">
        <v>84.29</v>
      </c>
      <c r="D338" s="2993" t="s">
        <v>3379</v>
      </c>
      <c r="E338" s="2992">
        <v>2528700</v>
      </c>
      <c r="F338" s="2993">
        <f t="shared" si="65"/>
        <v>29999.999999999996</v>
      </c>
    </row>
    <row r="339" spans="1:6" s="2993" customFormat="1">
      <c r="A339" s="3202"/>
      <c r="B339" s="2991" t="s">
        <v>3567</v>
      </c>
      <c r="C339" s="2994">
        <v>45.51</v>
      </c>
      <c r="D339" s="2993" t="s">
        <v>3381</v>
      </c>
      <c r="E339" s="3002">
        <v>420000</v>
      </c>
    </row>
    <row r="340" spans="1:6" s="2993" customFormat="1">
      <c r="A340" s="3202"/>
      <c r="B340" s="2991" t="s">
        <v>3568</v>
      </c>
      <c r="C340" s="2994">
        <v>45.51</v>
      </c>
      <c r="D340" s="2993" t="s">
        <v>3381</v>
      </c>
      <c r="E340" s="3002">
        <v>420000</v>
      </c>
    </row>
    <row r="341" spans="1:6" s="2993" customFormat="1">
      <c r="A341" s="3202">
        <v>70</v>
      </c>
      <c r="B341" s="2991" t="s">
        <v>3569</v>
      </c>
      <c r="C341" s="2992">
        <v>136.6</v>
      </c>
      <c r="D341" s="2993" t="s">
        <v>3384</v>
      </c>
      <c r="E341" s="2995">
        <v>8470293</v>
      </c>
    </row>
    <row r="342" spans="1:6" s="2993" customFormat="1">
      <c r="A342" s="3202"/>
      <c r="B342" s="2991" t="s">
        <v>3570</v>
      </c>
      <c r="C342" s="2992">
        <v>85.44</v>
      </c>
      <c r="D342" s="2993" t="s">
        <v>4487</v>
      </c>
      <c r="E342" s="2995">
        <v>2563200</v>
      </c>
      <c r="F342" s="2993">
        <f t="shared" ref="F342:F343" si="66">E342/C342</f>
        <v>30000</v>
      </c>
    </row>
    <row r="343" spans="1:6" s="2993" customFormat="1">
      <c r="A343" s="3202"/>
      <c r="B343" s="2991" t="s">
        <v>3571</v>
      </c>
      <c r="C343" s="2992">
        <v>84.25</v>
      </c>
      <c r="D343" s="2993" t="s">
        <v>3379</v>
      </c>
      <c r="E343" s="2992">
        <v>2527500</v>
      </c>
      <c r="F343" s="2993">
        <f t="shared" si="66"/>
        <v>30000</v>
      </c>
    </row>
    <row r="344" spans="1:6" s="2993" customFormat="1">
      <c r="A344" s="3202"/>
      <c r="B344" s="2991" t="s">
        <v>3572</v>
      </c>
      <c r="C344" s="2994">
        <v>45.51</v>
      </c>
      <c r="D344" s="2993" t="s">
        <v>3381</v>
      </c>
      <c r="E344" s="3002">
        <v>420000</v>
      </c>
    </row>
    <row r="345" spans="1:6" s="2993" customFormat="1">
      <c r="A345" s="3202"/>
      <c r="B345" s="2991" t="s">
        <v>3573</v>
      </c>
      <c r="C345" s="2994">
        <v>45.51</v>
      </c>
      <c r="D345" s="2993" t="s">
        <v>3381</v>
      </c>
      <c r="E345" s="3002">
        <v>420000</v>
      </c>
    </row>
    <row r="346" spans="1:6" s="2993" customFormat="1">
      <c r="A346" s="3202">
        <v>71</v>
      </c>
      <c r="B346" s="2991" t="s">
        <v>3574</v>
      </c>
      <c r="C346" s="2992">
        <v>134.22999999999999</v>
      </c>
      <c r="D346" s="2993" t="s">
        <v>3384</v>
      </c>
      <c r="E346" s="2995">
        <v>8404132</v>
      </c>
    </row>
    <row r="347" spans="1:6" s="2993" customFormat="1">
      <c r="A347" s="3202"/>
      <c r="B347" s="2991" t="s">
        <v>3575</v>
      </c>
      <c r="C347" s="2992">
        <v>84.32</v>
      </c>
      <c r="D347" s="2993" t="s">
        <v>4487</v>
      </c>
      <c r="E347" s="2995">
        <v>2529600</v>
      </c>
      <c r="F347" s="2993">
        <f t="shared" ref="F347:F348" si="67">E347/C347</f>
        <v>30000.000000000004</v>
      </c>
    </row>
    <row r="348" spans="1:6" s="2993" customFormat="1">
      <c r="A348" s="3202"/>
      <c r="B348" s="2991" t="s">
        <v>3576</v>
      </c>
      <c r="C348" s="2992">
        <v>83.44</v>
      </c>
      <c r="D348" s="2993" t="s">
        <v>3379</v>
      </c>
      <c r="E348" s="2992">
        <v>2503200</v>
      </c>
      <c r="F348" s="2993">
        <f t="shared" si="67"/>
        <v>30000</v>
      </c>
    </row>
    <row r="349" spans="1:6" s="2993" customFormat="1">
      <c r="A349" s="3202"/>
      <c r="B349" s="2991" t="s">
        <v>3577</v>
      </c>
      <c r="C349" s="2994">
        <v>45.51</v>
      </c>
      <c r="D349" s="2993" t="s">
        <v>3381</v>
      </c>
      <c r="E349" s="3002">
        <v>420000</v>
      </c>
    </row>
    <row r="350" spans="1:6" s="2993" customFormat="1">
      <c r="A350" s="3202"/>
      <c r="B350" s="2991" t="s">
        <v>3578</v>
      </c>
      <c r="C350" s="2994">
        <v>45.51</v>
      </c>
      <c r="D350" s="2993" t="s">
        <v>3381</v>
      </c>
      <c r="E350" s="3002">
        <v>420000</v>
      </c>
    </row>
    <row r="351" spans="1:6" s="2993" customFormat="1">
      <c r="A351" s="3202">
        <v>72</v>
      </c>
      <c r="B351" s="2991" t="s">
        <v>3579</v>
      </c>
      <c r="C351" s="2992">
        <v>134.22999999999999</v>
      </c>
      <c r="D351" s="2993" t="s">
        <v>3384</v>
      </c>
      <c r="E351" s="2995">
        <v>7528252</v>
      </c>
    </row>
    <row r="352" spans="1:6" s="2993" customFormat="1">
      <c r="A352" s="3202"/>
      <c r="B352" s="2991" t="s">
        <v>3580</v>
      </c>
      <c r="C352" s="2992">
        <v>84.46</v>
      </c>
      <c r="D352" s="2993" t="s">
        <v>4487</v>
      </c>
      <c r="E352" s="2995">
        <v>2533800</v>
      </c>
      <c r="F352" s="2993">
        <f t="shared" ref="F352:F353" si="68">E352/C352</f>
        <v>30000.000000000004</v>
      </c>
    </row>
    <row r="353" spans="1:6" s="2993" customFormat="1">
      <c r="A353" s="3202"/>
      <c r="B353" s="2991" t="s">
        <v>3581</v>
      </c>
      <c r="C353" s="2992">
        <v>84.16</v>
      </c>
      <c r="D353" s="2993" t="s">
        <v>3379</v>
      </c>
      <c r="E353" s="2992">
        <v>2524800</v>
      </c>
      <c r="F353" s="2993">
        <f t="shared" si="68"/>
        <v>30000</v>
      </c>
    </row>
    <row r="354" spans="1:6" s="2993" customFormat="1">
      <c r="A354" s="3202"/>
      <c r="B354" s="2991" t="s">
        <v>3582</v>
      </c>
      <c r="C354" s="2994">
        <v>45.51</v>
      </c>
      <c r="D354" s="2993" t="s">
        <v>3381</v>
      </c>
      <c r="E354" s="3002">
        <v>420000</v>
      </c>
    </row>
    <row r="355" spans="1:6" s="2993" customFormat="1">
      <c r="A355" s="3202"/>
      <c r="B355" s="2991" t="s">
        <v>3583</v>
      </c>
      <c r="C355" s="2994">
        <v>45.51</v>
      </c>
      <c r="D355" s="2993" t="s">
        <v>3381</v>
      </c>
      <c r="E355" s="3002">
        <v>420000</v>
      </c>
    </row>
    <row r="356" spans="1:6" s="2993" customFormat="1">
      <c r="A356" s="3202">
        <v>73</v>
      </c>
      <c r="B356" s="2991" t="s">
        <v>3584</v>
      </c>
      <c r="C356" s="2992">
        <v>134.22999999999999</v>
      </c>
      <c r="D356" s="2993" t="s">
        <v>3384</v>
      </c>
      <c r="E356" s="2995">
        <v>8524679</v>
      </c>
    </row>
    <row r="357" spans="1:6" s="2993" customFormat="1">
      <c r="A357" s="3202"/>
      <c r="B357" s="2991" t="s">
        <v>3585</v>
      </c>
      <c r="C357" s="2992">
        <v>84.32</v>
      </c>
      <c r="D357" s="2993" t="s">
        <v>4487</v>
      </c>
      <c r="E357" s="2995">
        <v>2529600</v>
      </c>
      <c r="F357" s="2993">
        <f t="shared" ref="F357:F358" si="69">E357/C357</f>
        <v>30000.000000000004</v>
      </c>
    </row>
    <row r="358" spans="1:6" s="2993" customFormat="1">
      <c r="A358" s="3202"/>
      <c r="B358" s="2991" t="s">
        <v>3586</v>
      </c>
      <c r="C358" s="2992">
        <v>83.44</v>
      </c>
      <c r="D358" s="2993" t="s">
        <v>3379</v>
      </c>
      <c r="E358" s="2992">
        <v>2503200</v>
      </c>
      <c r="F358" s="2993">
        <f t="shared" si="69"/>
        <v>30000</v>
      </c>
    </row>
    <row r="359" spans="1:6" s="2993" customFormat="1">
      <c r="A359" s="3202"/>
      <c r="B359" s="2991" t="s">
        <v>3587</v>
      </c>
      <c r="C359" s="2994">
        <v>45.51</v>
      </c>
      <c r="D359" s="2993" t="s">
        <v>3381</v>
      </c>
      <c r="E359" s="3002">
        <v>420000</v>
      </c>
    </row>
    <row r="360" spans="1:6" s="2993" customFormat="1">
      <c r="A360" s="3202"/>
      <c r="B360" s="2991" t="s">
        <v>3588</v>
      </c>
      <c r="C360" s="2994">
        <v>45.51</v>
      </c>
      <c r="D360" s="2993" t="s">
        <v>3381</v>
      </c>
      <c r="E360" s="3002">
        <v>420000</v>
      </c>
    </row>
    <row r="361" spans="1:6" s="2993" customFormat="1">
      <c r="A361" s="3202">
        <v>74</v>
      </c>
      <c r="B361" s="2991" t="s">
        <v>3589</v>
      </c>
      <c r="C361" s="2992">
        <v>134.22999999999999</v>
      </c>
      <c r="D361" s="2993" t="s">
        <v>3384</v>
      </c>
      <c r="E361" s="2995">
        <v>7696291</v>
      </c>
    </row>
    <row r="362" spans="1:6" s="2993" customFormat="1">
      <c r="A362" s="3202"/>
      <c r="B362" s="2991" t="s">
        <v>3590</v>
      </c>
      <c r="C362" s="2992">
        <v>84.46</v>
      </c>
      <c r="D362" s="2993" t="s">
        <v>4487</v>
      </c>
      <c r="E362" s="2995">
        <v>2533800</v>
      </c>
      <c r="F362" s="2993">
        <f t="shared" ref="F362:F363" si="70">E362/C362</f>
        <v>30000.000000000004</v>
      </c>
    </row>
    <row r="363" spans="1:6" s="2993" customFormat="1">
      <c r="A363" s="3202"/>
      <c r="B363" s="2991" t="s">
        <v>3591</v>
      </c>
      <c r="C363" s="2992">
        <v>84.16</v>
      </c>
      <c r="D363" s="2993" t="s">
        <v>3379</v>
      </c>
      <c r="E363" s="2992">
        <v>2524800</v>
      </c>
      <c r="F363" s="2993">
        <f t="shared" si="70"/>
        <v>30000</v>
      </c>
    </row>
    <row r="364" spans="1:6" s="2993" customFormat="1">
      <c r="A364" s="3202"/>
      <c r="B364" s="2991" t="s">
        <v>3592</v>
      </c>
      <c r="C364" s="2994">
        <v>45.51</v>
      </c>
      <c r="D364" s="2993" t="s">
        <v>3381</v>
      </c>
      <c r="E364" s="3002">
        <v>420000</v>
      </c>
    </row>
    <row r="365" spans="1:6" s="2993" customFormat="1">
      <c r="A365" s="3202"/>
      <c r="B365" s="2991" t="s">
        <v>3593</v>
      </c>
      <c r="C365" s="2994">
        <v>45.51</v>
      </c>
      <c r="D365" s="2993" t="s">
        <v>3381</v>
      </c>
      <c r="E365" s="3002">
        <v>420000</v>
      </c>
    </row>
    <row r="366" spans="1:6" s="2993" customFormat="1">
      <c r="A366" s="3202">
        <v>75</v>
      </c>
      <c r="B366" s="2991" t="s">
        <v>3594</v>
      </c>
      <c r="C366" s="2992">
        <v>134.43</v>
      </c>
      <c r="D366" s="2993" t="s">
        <v>3384</v>
      </c>
      <c r="E366" s="2995">
        <v>8091642</v>
      </c>
    </row>
    <row r="367" spans="1:6" s="2993" customFormat="1">
      <c r="A367" s="3202"/>
      <c r="B367" s="2991" t="s">
        <v>3595</v>
      </c>
      <c r="C367" s="2992">
        <v>84.73</v>
      </c>
      <c r="D367" s="2993" t="s">
        <v>4487</v>
      </c>
      <c r="E367" s="2995">
        <v>2541900</v>
      </c>
      <c r="F367" s="2993">
        <f t="shared" ref="F367:F368" si="71">E367/C367</f>
        <v>30000</v>
      </c>
    </row>
    <row r="368" spans="1:6" s="2993" customFormat="1">
      <c r="A368" s="3202"/>
      <c r="B368" s="2991" t="s">
        <v>3596</v>
      </c>
      <c r="C368" s="2992">
        <v>84.16</v>
      </c>
      <c r="D368" s="2993" t="s">
        <v>3379</v>
      </c>
      <c r="E368" s="2992">
        <v>2524800</v>
      </c>
      <c r="F368" s="2993">
        <f t="shared" si="71"/>
        <v>30000</v>
      </c>
    </row>
    <row r="369" spans="1:6" s="2993" customFormat="1">
      <c r="A369" s="3202"/>
      <c r="B369" s="2991" t="s">
        <v>3597</v>
      </c>
      <c r="C369" s="2994">
        <v>45.51</v>
      </c>
      <c r="D369" s="2993" t="s">
        <v>3381</v>
      </c>
      <c r="E369" s="3002">
        <v>420000</v>
      </c>
    </row>
    <row r="370" spans="1:6" s="2993" customFormat="1">
      <c r="A370" s="3202"/>
      <c r="B370" s="2991" t="s">
        <v>3598</v>
      </c>
      <c r="C370" s="2994">
        <v>45.51</v>
      </c>
      <c r="D370" s="2993" t="s">
        <v>3381</v>
      </c>
      <c r="E370" s="3002">
        <v>420000</v>
      </c>
    </row>
    <row r="371" spans="1:6" s="2993" customFormat="1">
      <c r="A371" s="3202">
        <v>76</v>
      </c>
      <c r="B371" s="2991" t="s">
        <v>3599</v>
      </c>
      <c r="C371" s="2992">
        <v>134.43</v>
      </c>
      <c r="D371" s="2993" t="s">
        <v>3384</v>
      </c>
      <c r="E371" s="2995">
        <v>7923345</v>
      </c>
    </row>
    <row r="372" spans="1:6" s="2993" customFormat="1">
      <c r="A372" s="3202"/>
      <c r="B372" s="2991" t="s">
        <v>3600</v>
      </c>
      <c r="C372" s="2992">
        <v>84.73</v>
      </c>
      <c r="D372" s="2993" t="s">
        <v>4487</v>
      </c>
      <c r="E372" s="2995">
        <v>2541900</v>
      </c>
      <c r="F372" s="2993">
        <f t="shared" ref="F372:F373" si="72">E372/C372</f>
        <v>30000</v>
      </c>
    </row>
    <row r="373" spans="1:6" s="2993" customFormat="1">
      <c r="A373" s="3202"/>
      <c r="B373" s="2991" t="s">
        <v>3601</v>
      </c>
      <c r="C373" s="2992">
        <v>84.16</v>
      </c>
      <c r="D373" s="2993" t="s">
        <v>3379</v>
      </c>
      <c r="E373" s="2992">
        <v>2524800</v>
      </c>
      <c r="F373" s="2993">
        <f t="shared" si="72"/>
        <v>30000</v>
      </c>
    </row>
    <row r="374" spans="1:6" s="2993" customFormat="1">
      <c r="A374" s="3202"/>
      <c r="B374" s="2991" t="s">
        <v>3602</v>
      </c>
      <c r="C374" s="2994">
        <v>45.51</v>
      </c>
      <c r="D374" s="2993" t="s">
        <v>3381</v>
      </c>
      <c r="E374" s="3002">
        <v>420000</v>
      </c>
    </row>
    <row r="375" spans="1:6" s="2993" customFormat="1">
      <c r="A375" s="3202"/>
      <c r="B375" s="2991" t="s">
        <v>3603</v>
      </c>
      <c r="C375" s="2994">
        <v>45.51</v>
      </c>
      <c r="D375" s="2993" t="s">
        <v>3381</v>
      </c>
      <c r="E375" s="3002">
        <v>420000</v>
      </c>
    </row>
    <row r="376" spans="1:6" s="2993" customFormat="1">
      <c r="A376" s="3202">
        <v>77</v>
      </c>
      <c r="B376" s="2991" t="s">
        <v>3604</v>
      </c>
      <c r="C376" s="2992">
        <v>134.43</v>
      </c>
      <c r="D376" s="2993" t="s">
        <v>3384</v>
      </c>
      <c r="E376" s="2995">
        <v>8091642</v>
      </c>
    </row>
    <row r="377" spans="1:6" s="2993" customFormat="1">
      <c r="A377" s="3202"/>
      <c r="B377" s="2991" t="s">
        <v>3605</v>
      </c>
      <c r="C377" s="2992">
        <v>84.73</v>
      </c>
      <c r="D377" s="2993" t="s">
        <v>4487</v>
      </c>
      <c r="E377" s="2995">
        <v>2541900</v>
      </c>
      <c r="F377" s="2993">
        <f t="shared" ref="F377:F378" si="73">E377/C377</f>
        <v>30000</v>
      </c>
    </row>
    <row r="378" spans="1:6" s="2993" customFormat="1">
      <c r="A378" s="3202"/>
      <c r="B378" s="2991" t="s">
        <v>3606</v>
      </c>
      <c r="C378" s="2992">
        <v>84.16</v>
      </c>
      <c r="D378" s="2993" t="s">
        <v>3379</v>
      </c>
      <c r="E378" s="2992">
        <v>2524800</v>
      </c>
      <c r="F378" s="2993">
        <f t="shared" si="73"/>
        <v>30000</v>
      </c>
    </row>
    <row r="379" spans="1:6" s="2993" customFormat="1">
      <c r="A379" s="3202"/>
      <c r="B379" s="2991" t="s">
        <v>3607</v>
      </c>
      <c r="C379" s="2994">
        <v>45.51</v>
      </c>
      <c r="D379" s="2993" t="s">
        <v>3381</v>
      </c>
      <c r="E379" s="3002">
        <v>420000</v>
      </c>
    </row>
    <row r="380" spans="1:6" s="2993" customFormat="1">
      <c r="A380" s="3202"/>
      <c r="B380" s="2991" t="s">
        <v>3608</v>
      </c>
      <c r="C380" s="2994">
        <v>45.51</v>
      </c>
      <c r="D380" s="2993" t="s">
        <v>3381</v>
      </c>
      <c r="E380" s="3002">
        <v>420000</v>
      </c>
    </row>
    <row r="381" spans="1:6" s="2993" customFormat="1">
      <c r="A381" s="3202">
        <v>78</v>
      </c>
      <c r="B381" s="2991" t="s">
        <v>3609</v>
      </c>
      <c r="C381" s="2992">
        <v>134.29</v>
      </c>
      <c r="D381" s="2993" t="s">
        <v>3384</v>
      </c>
      <c r="E381" s="2995">
        <v>8324774</v>
      </c>
    </row>
    <row r="382" spans="1:6" s="2993" customFormat="1">
      <c r="A382" s="3202"/>
      <c r="B382" s="2991" t="s">
        <v>3610</v>
      </c>
      <c r="C382" s="2992">
        <v>84.35</v>
      </c>
      <c r="D382" s="2993" t="s">
        <v>4487</v>
      </c>
      <c r="E382" s="2995">
        <v>2530500</v>
      </c>
      <c r="F382" s="2993">
        <f t="shared" ref="F382:F383" si="74">E382/C382</f>
        <v>30000.000000000004</v>
      </c>
    </row>
    <row r="383" spans="1:6" s="2993" customFormat="1">
      <c r="A383" s="3202"/>
      <c r="B383" s="2991" t="s">
        <v>3611</v>
      </c>
      <c r="C383" s="2992">
        <v>83.45</v>
      </c>
      <c r="D383" s="2993" t="s">
        <v>3379</v>
      </c>
      <c r="E383" s="2992">
        <v>2503500</v>
      </c>
      <c r="F383" s="2993">
        <f t="shared" si="74"/>
        <v>30000</v>
      </c>
    </row>
    <row r="384" spans="1:6" s="2993" customFormat="1">
      <c r="A384" s="3202"/>
      <c r="B384" s="2991" t="s">
        <v>3612</v>
      </c>
      <c r="C384" s="2994">
        <v>45.51</v>
      </c>
      <c r="D384" s="2993" t="s">
        <v>3381</v>
      </c>
      <c r="E384" s="3002">
        <v>420000</v>
      </c>
    </row>
    <row r="385" spans="1:6" s="2993" customFormat="1">
      <c r="A385" s="3202"/>
      <c r="B385" s="2991" t="s">
        <v>3613</v>
      </c>
      <c r="C385" s="2994">
        <v>45.51</v>
      </c>
      <c r="D385" s="2993" t="s">
        <v>3381</v>
      </c>
      <c r="E385" s="3002">
        <v>420000</v>
      </c>
    </row>
    <row r="386" spans="1:6" s="2993" customFormat="1">
      <c r="A386" s="3202">
        <v>79</v>
      </c>
      <c r="B386" s="2991" t="s">
        <v>3614</v>
      </c>
      <c r="C386" s="2992">
        <v>134.28</v>
      </c>
      <c r="D386" s="2993" t="s">
        <v>3384</v>
      </c>
      <c r="E386" s="2995">
        <v>7531087</v>
      </c>
    </row>
    <row r="387" spans="1:6" s="2993" customFormat="1">
      <c r="A387" s="3202"/>
      <c r="B387" s="2991" t="s">
        <v>3615</v>
      </c>
      <c r="C387" s="2992">
        <v>84.49</v>
      </c>
      <c r="D387" s="2993" t="s">
        <v>4487</v>
      </c>
      <c r="E387" s="2995">
        <v>2534700</v>
      </c>
      <c r="F387" s="2993">
        <f t="shared" ref="F387:F388" si="75">E387/C387</f>
        <v>30000</v>
      </c>
    </row>
    <row r="388" spans="1:6" s="2993" customFormat="1">
      <c r="A388" s="3202"/>
      <c r="B388" s="2991" t="s">
        <v>3616</v>
      </c>
      <c r="C388" s="2992">
        <v>84.17</v>
      </c>
      <c r="D388" s="2993" t="s">
        <v>3379</v>
      </c>
      <c r="E388" s="2992">
        <v>2525100</v>
      </c>
      <c r="F388" s="2993">
        <f t="shared" si="75"/>
        <v>30000</v>
      </c>
    </row>
    <row r="389" spans="1:6" s="2993" customFormat="1">
      <c r="A389" s="3202"/>
      <c r="B389" s="2991" t="s">
        <v>3617</v>
      </c>
      <c r="C389" s="2994">
        <v>45.51</v>
      </c>
      <c r="D389" s="2993" t="s">
        <v>3381</v>
      </c>
      <c r="E389" s="3002">
        <v>420000</v>
      </c>
    </row>
    <row r="390" spans="1:6" s="2993" customFormat="1">
      <c r="A390" s="3202"/>
      <c r="B390" s="2991" t="s">
        <v>3618</v>
      </c>
      <c r="C390" s="2994">
        <v>45.51</v>
      </c>
      <c r="D390" s="2993" t="s">
        <v>3381</v>
      </c>
      <c r="E390" s="3002">
        <v>420000</v>
      </c>
    </row>
    <row r="391" spans="1:6" s="2993" customFormat="1">
      <c r="A391" s="3202">
        <v>80</v>
      </c>
      <c r="B391" s="2991" t="s">
        <v>3619</v>
      </c>
      <c r="C391" s="2992">
        <v>134.47</v>
      </c>
      <c r="D391" s="2993" t="s">
        <v>3384</v>
      </c>
      <c r="E391" s="2995">
        <v>7925703</v>
      </c>
    </row>
    <row r="392" spans="1:6" s="2993" customFormat="1">
      <c r="A392" s="3202"/>
      <c r="B392" s="2991" t="s">
        <v>3620</v>
      </c>
      <c r="C392" s="2992">
        <v>84.77</v>
      </c>
      <c r="D392" s="2993" t="s">
        <v>4487</v>
      </c>
      <c r="E392" s="2995">
        <v>2543100</v>
      </c>
      <c r="F392" s="2993">
        <f t="shared" ref="F392:F393" si="76">E392/C392</f>
        <v>30000</v>
      </c>
    </row>
    <row r="393" spans="1:6" s="2993" customFormat="1">
      <c r="A393" s="3202"/>
      <c r="B393" s="2991" t="s">
        <v>3621</v>
      </c>
      <c r="C393" s="2992">
        <v>84.17</v>
      </c>
      <c r="D393" s="2993" t="s">
        <v>3379</v>
      </c>
      <c r="E393" s="2992">
        <v>2525100</v>
      </c>
      <c r="F393" s="2993">
        <f t="shared" si="76"/>
        <v>30000</v>
      </c>
    </row>
    <row r="394" spans="1:6" s="2993" customFormat="1">
      <c r="A394" s="3202"/>
      <c r="B394" s="2991" t="s">
        <v>3622</v>
      </c>
      <c r="C394" s="2994">
        <v>45.51</v>
      </c>
      <c r="D394" s="2993" t="s">
        <v>3381</v>
      </c>
      <c r="E394" s="3002">
        <v>420000</v>
      </c>
    </row>
    <row r="395" spans="1:6" s="2993" customFormat="1">
      <c r="A395" s="3202"/>
      <c r="B395" s="2991" t="s">
        <v>3623</v>
      </c>
      <c r="C395" s="2994">
        <v>45.51</v>
      </c>
      <c r="D395" s="2993" t="s">
        <v>3381</v>
      </c>
      <c r="E395" s="3002">
        <v>420000</v>
      </c>
    </row>
    <row r="396" spans="1:6" s="2993" customFormat="1">
      <c r="A396" s="3202">
        <v>81</v>
      </c>
      <c r="B396" s="2991" t="s">
        <v>3624</v>
      </c>
      <c r="C396" s="2992">
        <v>134.47</v>
      </c>
      <c r="D396" s="2993" t="s">
        <v>3238</v>
      </c>
      <c r="E396" s="2995">
        <v>8094049</v>
      </c>
    </row>
    <row r="397" spans="1:6" s="2993" customFormat="1">
      <c r="A397" s="3202"/>
      <c r="B397" s="2991" t="s">
        <v>3625</v>
      </c>
      <c r="C397" s="2992">
        <v>84.77</v>
      </c>
      <c r="D397" s="2993" t="s">
        <v>4487</v>
      </c>
      <c r="E397" s="2995">
        <v>2543100</v>
      </c>
      <c r="F397" s="2993">
        <f t="shared" ref="F397:F398" si="77">E397/C397</f>
        <v>30000</v>
      </c>
    </row>
    <row r="398" spans="1:6" s="2993" customFormat="1">
      <c r="A398" s="3202"/>
      <c r="B398" s="2991" t="s">
        <v>3626</v>
      </c>
      <c r="C398" s="2992">
        <v>84.17</v>
      </c>
      <c r="D398" s="2993" t="s">
        <v>3241</v>
      </c>
      <c r="E398" s="2992">
        <v>2525100</v>
      </c>
      <c r="F398" s="2993">
        <f t="shared" si="77"/>
        <v>30000</v>
      </c>
    </row>
    <row r="399" spans="1:6" s="2993" customFormat="1">
      <c r="A399" s="3202"/>
      <c r="B399" s="2991" t="s">
        <v>3627</v>
      </c>
      <c r="C399" s="2994">
        <v>45.51</v>
      </c>
      <c r="D399" s="2993" t="s">
        <v>3235</v>
      </c>
      <c r="E399" s="3002">
        <v>420000</v>
      </c>
    </row>
    <row r="400" spans="1:6" s="2993" customFormat="1">
      <c r="A400" s="3202"/>
      <c r="B400" s="2991" t="s">
        <v>3628</v>
      </c>
      <c r="C400" s="2994">
        <v>45.51</v>
      </c>
      <c r="D400" s="2993" t="s">
        <v>3235</v>
      </c>
      <c r="E400" s="3002">
        <v>420000</v>
      </c>
    </row>
    <row r="401" spans="1:6" s="2993" customFormat="1">
      <c r="A401" s="3202">
        <v>82</v>
      </c>
      <c r="B401" s="2991" t="s">
        <v>3629</v>
      </c>
      <c r="C401" s="2992">
        <v>134.47</v>
      </c>
      <c r="D401" s="2993" t="s">
        <v>3238</v>
      </c>
      <c r="E401" s="2995">
        <v>7925703</v>
      </c>
    </row>
    <row r="402" spans="1:6" s="2993" customFormat="1">
      <c r="A402" s="3202"/>
      <c r="B402" s="2991" t="s">
        <v>3630</v>
      </c>
      <c r="C402" s="2992">
        <v>84.77</v>
      </c>
      <c r="D402" s="2993" t="s">
        <v>4487</v>
      </c>
      <c r="E402" s="2995">
        <v>2543100</v>
      </c>
      <c r="F402" s="2993">
        <f t="shared" ref="F402:F403" si="78">E402/C402</f>
        <v>30000</v>
      </c>
    </row>
    <row r="403" spans="1:6" s="2993" customFormat="1">
      <c r="A403" s="3202"/>
      <c r="B403" s="2991" t="s">
        <v>3631</v>
      </c>
      <c r="C403" s="2992">
        <v>84.17</v>
      </c>
      <c r="D403" s="2993" t="s">
        <v>3241</v>
      </c>
      <c r="E403" s="2992">
        <v>2525100</v>
      </c>
      <c r="F403" s="2993">
        <f t="shared" si="78"/>
        <v>30000</v>
      </c>
    </row>
    <row r="404" spans="1:6" s="2993" customFormat="1">
      <c r="A404" s="3202"/>
      <c r="B404" s="2991" t="s">
        <v>3632</v>
      </c>
      <c r="C404" s="2994">
        <v>45.51</v>
      </c>
      <c r="D404" s="2993" t="s">
        <v>3235</v>
      </c>
      <c r="E404" s="3002">
        <v>420000</v>
      </c>
    </row>
    <row r="405" spans="1:6" s="2993" customFormat="1">
      <c r="A405" s="3202"/>
      <c r="B405" s="2991" t="s">
        <v>3633</v>
      </c>
      <c r="C405" s="2994">
        <v>45.51</v>
      </c>
      <c r="D405" s="2993" t="s">
        <v>3254</v>
      </c>
      <c r="E405" s="3002">
        <v>420000</v>
      </c>
    </row>
    <row r="406" spans="1:6" s="2993" customFormat="1">
      <c r="A406" s="3202">
        <v>83</v>
      </c>
      <c r="B406" s="2991" t="s">
        <v>3634</v>
      </c>
      <c r="C406" s="2992">
        <v>134.28</v>
      </c>
      <c r="D406" s="2993" t="s">
        <v>3257</v>
      </c>
      <c r="E406" s="2995">
        <v>7699179</v>
      </c>
    </row>
    <row r="407" spans="1:6" s="2993" customFormat="1">
      <c r="A407" s="3202"/>
      <c r="B407" s="2991" t="s">
        <v>3635</v>
      </c>
      <c r="C407" s="2992">
        <v>84.49</v>
      </c>
      <c r="D407" s="2993" t="s">
        <v>4487</v>
      </c>
      <c r="E407" s="2995">
        <v>2534700</v>
      </c>
      <c r="F407" s="2993">
        <f t="shared" ref="F407:F408" si="79">E407/C407</f>
        <v>30000</v>
      </c>
    </row>
    <row r="408" spans="1:6" s="2993" customFormat="1">
      <c r="A408" s="3202"/>
      <c r="B408" s="2991" t="s">
        <v>3636</v>
      </c>
      <c r="C408" s="2992">
        <v>84.17</v>
      </c>
      <c r="D408" s="2993" t="s">
        <v>3252</v>
      </c>
      <c r="E408" s="2992">
        <v>2525100</v>
      </c>
      <c r="F408" s="2993">
        <f t="shared" si="79"/>
        <v>30000</v>
      </c>
    </row>
    <row r="409" spans="1:6" s="2993" customFormat="1">
      <c r="A409" s="3202"/>
      <c r="B409" s="2991" t="s">
        <v>3637</v>
      </c>
      <c r="C409" s="2994">
        <v>45.51</v>
      </c>
      <c r="D409" s="2993" t="s">
        <v>3254</v>
      </c>
      <c r="E409" s="3002">
        <v>420000</v>
      </c>
    </row>
    <row r="410" spans="1:6" s="2993" customFormat="1">
      <c r="A410" s="3202"/>
      <c r="B410" s="2991" t="s">
        <v>3638</v>
      </c>
      <c r="C410" s="2994">
        <v>45.51</v>
      </c>
      <c r="D410" s="2993" t="s">
        <v>3254</v>
      </c>
      <c r="E410" s="3002">
        <v>420000</v>
      </c>
    </row>
    <row r="411" spans="1:6" s="2993" customFormat="1">
      <c r="A411" s="3202">
        <v>84</v>
      </c>
      <c r="B411" s="2991" t="s">
        <v>3639</v>
      </c>
      <c r="C411" s="2992">
        <v>134.16999999999999</v>
      </c>
      <c r="D411" s="2993" t="s">
        <v>3257</v>
      </c>
      <c r="E411" s="2995">
        <v>7524852</v>
      </c>
    </row>
    <row r="412" spans="1:6" s="2993" customFormat="1">
      <c r="A412" s="3202"/>
      <c r="B412" s="2991" t="s">
        <v>3640</v>
      </c>
      <c r="C412" s="2992">
        <v>84.42</v>
      </c>
      <c r="D412" s="2993" t="s">
        <v>4487</v>
      </c>
      <c r="E412" s="2995">
        <v>2532600</v>
      </c>
      <c r="F412" s="2993">
        <f t="shared" ref="F412:F413" si="80">E412/C412</f>
        <v>30000</v>
      </c>
    </row>
    <row r="413" spans="1:6" s="2993" customFormat="1">
      <c r="A413" s="3202"/>
      <c r="B413" s="2991" t="s">
        <v>3641</v>
      </c>
      <c r="C413" s="2992">
        <v>84.15</v>
      </c>
      <c r="D413" s="2993" t="s">
        <v>3252</v>
      </c>
      <c r="E413" s="2992">
        <v>2524500</v>
      </c>
      <c r="F413" s="2993">
        <f t="shared" si="80"/>
        <v>29999.999999999996</v>
      </c>
    </row>
    <row r="414" spans="1:6" s="2993" customFormat="1">
      <c r="A414" s="3202"/>
      <c r="B414" s="2991" t="s">
        <v>3642</v>
      </c>
      <c r="C414" s="2994">
        <v>45.51</v>
      </c>
      <c r="D414" s="2993" t="s">
        <v>3254</v>
      </c>
      <c r="E414" s="3002">
        <v>420000</v>
      </c>
    </row>
    <row r="415" spans="1:6" s="2993" customFormat="1">
      <c r="A415" s="3202"/>
      <c r="B415" s="2991" t="s">
        <v>3643</v>
      </c>
      <c r="C415" s="2994">
        <v>45.51</v>
      </c>
      <c r="D415" s="2993" t="s">
        <v>3254</v>
      </c>
      <c r="E415" s="3002">
        <v>420000</v>
      </c>
    </row>
    <row r="416" spans="1:6" s="2993" customFormat="1">
      <c r="A416" s="3202">
        <v>85</v>
      </c>
      <c r="B416" s="2991" t="s">
        <v>3644</v>
      </c>
      <c r="C416" s="2992">
        <v>134.36000000000001</v>
      </c>
      <c r="D416" s="2993" t="s">
        <v>3257</v>
      </c>
      <c r="E416" s="2995">
        <v>7919210</v>
      </c>
    </row>
    <row r="417" spans="1:6" s="2993" customFormat="1">
      <c r="A417" s="3202"/>
      <c r="B417" s="2991" t="s">
        <v>3645</v>
      </c>
      <c r="C417" s="2992">
        <v>84.7</v>
      </c>
      <c r="D417" s="2993" t="s">
        <v>4487</v>
      </c>
      <c r="E417" s="2995">
        <v>2541000</v>
      </c>
      <c r="F417" s="2993">
        <f t="shared" ref="F417:F418" si="81">E417/C417</f>
        <v>30000</v>
      </c>
    </row>
    <row r="418" spans="1:6" s="2993" customFormat="1">
      <c r="A418" s="3202"/>
      <c r="B418" s="2991" t="s">
        <v>3646</v>
      </c>
      <c r="C418" s="2992">
        <v>84.15</v>
      </c>
      <c r="D418" s="2993" t="s">
        <v>3241</v>
      </c>
      <c r="E418" s="2992">
        <v>2524500</v>
      </c>
      <c r="F418" s="2993">
        <f t="shared" si="81"/>
        <v>29999.999999999996</v>
      </c>
    </row>
    <row r="419" spans="1:6" s="2993" customFormat="1">
      <c r="A419" s="3202"/>
      <c r="B419" s="2991" t="s">
        <v>3647</v>
      </c>
      <c r="C419" s="2994">
        <v>45.51</v>
      </c>
      <c r="D419" s="2993" t="s">
        <v>3235</v>
      </c>
      <c r="E419" s="3002">
        <v>420000</v>
      </c>
    </row>
    <row r="420" spans="1:6" s="2993" customFormat="1">
      <c r="A420" s="3202"/>
      <c r="B420" s="2991" t="s">
        <v>3648</v>
      </c>
      <c r="C420" s="2994">
        <v>45.51</v>
      </c>
      <c r="D420" s="2993" t="s">
        <v>3235</v>
      </c>
      <c r="E420" s="3002">
        <v>420000</v>
      </c>
    </row>
    <row r="421" spans="1:6" s="2993" customFormat="1">
      <c r="A421" s="3202">
        <v>86</v>
      </c>
      <c r="B421" s="2991" t="s">
        <v>3649</v>
      </c>
      <c r="C421" s="2992">
        <v>134.36000000000001</v>
      </c>
      <c r="D421" s="2993" t="s">
        <v>3238</v>
      </c>
      <c r="E421" s="2995">
        <v>8087437</v>
      </c>
    </row>
    <row r="422" spans="1:6" s="2993" customFormat="1">
      <c r="A422" s="3202"/>
      <c r="B422" s="2991" t="s">
        <v>3650</v>
      </c>
      <c r="C422" s="2992">
        <v>84.7</v>
      </c>
      <c r="D422" s="2993" t="s">
        <v>4487</v>
      </c>
      <c r="E422" s="2995">
        <v>2541000</v>
      </c>
      <c r="F422" s="2993">
        <f t="shared" ref="F422:F423" si="82">E422/C422</f>
        <v>30000</v>
      </c>
    </row>
    <row r="423" spans="1:6" s="2993" customFormat="1">
      <c r="A423" s="3202"/>
      <c r="B423" s="2991" t="s">
        <v>3651</v>
      </c>
      <c r="C423" s="2992">
        <v>84.15</v>
      </c>
      <c r="D423" s="2993" t="s">
        <v>3241</v>
      </c>
      <c r="E423" s="2992">
        <v>2524500</v>
      </c>
      <c r="F423" s="2993">
        <f t="shared" si="82"/>
        <v>29999.999999999996</v>
      </c>
    </row>
    <row r="424" spans="1:6" s="2993" customFormat="1">
      <c r="A424" s="3202"/>
      <c r="B424" s="2991" t="s">
        <v>3652</v>
      </c>
      <c r="C424" s="2994">
        <v>45.51</v>
      </c>
      <c r="D424" s="2993" t="s">
        <v>3235</v>
      </c>
      <c r="E424" s="3002">
        <v>420000</v>
      </c>
    </row>
    <row r="425" spans="1:6" s="2993" customFormat="1">
      <c r="A425" s="3202"/>
      <c r="B425" s="2991" t="s">
        <v>3653</v>
      </c>
      <c r="C425" s="2994">
        <v>45.51</v>
      </c>
      <c r="D425" s="2993" t="s">
        <v>3235</v>
      </c>
      <c r="E425" s="3002">
        <v>420000</v>
      </c>
    </row>
    <row r="426" spans="1:6" s="2993" customFormat="1">
      <c r="A426" s="3202">
        <v>87</v>
      </c>
      <c r="B426" s="2991" t="s">
        <v>3654</v>
      </c>
      <c r="C426" s="2992">
        <v>134.75</v>
      </c>
      <c r="D426" s="2993" t="s">
        <v>3238</v>
      </c>
      <c r="E426" s="2995">
        <v>7841002</v>
      </c>
    </row>
    <row r="427" spans="1:6" s="2993" customFormat="1">
      <c r="A427" s="3202"/>
      <c r="B427" s="2991" t="s">
        <v>3655</v>
      </c>
      <c r="C427" s="2992">
        <v>84.95</v>
      </c>
      <c r="D427" s="2993" t="s">
        <v>4487</v>
      </c>
      <c r="E427" s="2995">
        <v>2548500</v>
      </c>
      <c r="F427" s="2993">
        <f t="shared" ref="F427:F428" si="83">E427/C427</f>
        <v>30000</v>
      </c>
    </row>
    <row r="428" spans="1:6" s="2993" customFormat="1">
      <c r="A428" s="3202"/>
      <c r="B428" s="2991" t="s">
        <v>3656</v>
      </c>
      <c r="C428" s="2992">
        <v>84.31</v>
      </c>
      <c r="D428" s="2993" t="s">
        <v>3241</v>
      </c>
      <c r="E428" s="2992">
        <v>2529300</v>
      </c>
      <c r="F428" s="2993">
        <f t="shared" si="83"/>
        <v>30000</v>
      </c>
    </row>
    <row r="429" spans="1:6" s="2993" customFormat="1">
      <c r="A429" s="3202"/>
      <c r="B429" s="2991" t="s">
        <v>3657</v>
      </c>
      <c r="C429" s="2994">
        <v>45.51</v>
      </c>
      <c r="D429" s="2993" t="s">
        <v>3235</v>
      </c>
      <c r="E429" s="3002">
        <v>420000</v>
      </c>
    </row>
    <row r="430" spans="1:6" s="2993" customFormat="1">
      <c r="A430" s="3202"/>
      <c r="B430" s="2991" t="s">
        <v>3658</v>
      </c>
      <c r="C430" s="2994">
        <v>45.51</v>
      </c>
      <c r="D430" s="2993" t="s">
        <v>3235</v>
      </c>
      <c r="E430" s="3002">
        <v>420000</v>
      </c>
    </row>
    <row r="431" spans="1:6" s="2993" customFormat="1">
      <c r="A431" s="3202">
        <v>88</v>
      </c>
      <c r="B431" s="2991" t="s">
        <v>3659</v>
      </c>
      <c r="C431" s="2992">
        <v>138.47999999999999</v>
      </c>
      <c r="D431" s="2993" t="s">
        <v>3238</v>
      </c>
      <c r="E431" s="2995">
        <v>8794588</v>
      </c>
    </row>
    <row r="432" spans="1:6" s="2993" customFormat="1">
      <c r="A432" s="3202"/>
      <c r="B432" s="2991" t="s">
        <v>3660</v>
      </c>
      <c r="C432" s="2992">
        <v>86.63</v>
      </c>
      <c r="D432" s="2993" t="s">
        <v>4487</v>
      </c>
      <c r="E432" s="2995">
        <v>2598900</v>
      </c>
      <c r="F432" s="2993">
        <f t="shared" ref="F432:F433" si="84">E432/C432</f>
        <v>30000</v>
      </c>
    </row>
    <row r="433" spans="1:6" s="2993" customFormat="1">
      <c r="A433" s="3202"/>
      <c r="B433" s="2991" t="s">
        <v>3661</v>
      </c>
      <c r="C433" s="2992">
        <v>85.08</v>
      </c>
      <c r="D433" s="2993" t="s">
        <v>3241</v>
      </c>
      <c r="E433" s="2992">
        <v>2552400</v>
      </c>
      <c r="F433" s="2993">
        <f t="shared" si="84"/>
        <v>30000</v>
      </c>
    </row>
    <row r="434" spans="1:6" s="2993" customFormat="1">
      <c r="A434" s="3202"/>
      <c r="B434" s="2991" t="s">
        <v>3662</v>
      </c>
      <c r="C434" s="2994">
        <v>45.51</v>
      </c>
      <c r="D434" s="2993" t="s">
        <v>3235</v>
      </c>
      <c r="E434" s="3002">
        <v>420000</v>
      </c>
    </row>
    <row r="435" spans="1:6" s="2993" customFormat="1">
      <c r="A435" s="3202"/>
      <c r="B435" s="2991" t="s">
        <v>3663</v>
      </c>
      <c r="C435" s="2994">
        <v>45.51</v>
      </c>
      <c r="D435" s="2993" t="s">
        <v>3235</v>
      </c>
      <c r="E435" s="3002">
        <v>420000</v>
      </c>
    </row>
    <row r="436" spans="1:6" s="2993" customFormat="1">
      <c r="A436" s="3202">
        <v>89</v>
      </c>
      <c r="B436" s="2991" t="s">
        <v>3664</v>
      </c>
      <c r="C436" s="2992">
        <v>138.47999999999999</v>
      </c>
      <c r="D436" s="2993" t="s">
        <v>3238</v>
      </c>
      <c r="E436" s="2995">
        <v>8794588</v>
      </c>
    </row>
    <row r="437" spans="1:6" s="2993" customFormat="1">
      <c r="A437" s="3202"/>
      <c r="B437" s="2991" t="s">
        <v>3665</v>
      </c>
      <c r="C437" s="2992">
        <v>86.77</v>
      </c>
      <c r="D437" s="2993" t="s">
        <v>4487</v>
      </c>
      <c r="E437" s="2995">
        <v>2603100</v>
      </c>
      <c r="F437" s="2993">
        <f t="shared" ref="F437:F438" si="85">E437/C437</f>
        <v>30000</v>
      </c>
    </row>
    <row r="438" spans="1:6" s="2993" customFormat="1">
      <c r="A438" s="3202"/>
      <c r="B438" s="2991" t="s">
        <v>3666</v>
      </c>
      <c r="C438" s="2992">
        <v>85.08</v>
      </c>
      <c r="D438" s="2993" t="s">
        <v>3241</v>
      </c>
      <c r="E438" s="2992">
        <v>2552400</v>
      </c>
      <c r="F438" s="2993">
        <f t="shared" si="85"/>
        <v>30000</v>
      </c>
    </row>
    <row r="439" spans="1:6" s="2993" customFormat="1">
      <c r="A439" s="3202"/>
      <c r="B439" s="2991" t="s">
        <v>3667</v>
      </c>
      <c r="C439" s="2994">
        <v>45.51</v>
      </c>
      <c r="D439" s="2993" t="s">
        <v>3235</v>
      </c>
      <c r="E439" s="3002">
        <v>420000</v>
      </c>
    </row>
    <row r="440" spans="1:6" s="2993" customFormat="1">
      <c r="A440" s="3202"/>
      <c r="B440" s="2991" t="s">
        <v>3668</v>
      </c>
      <c r="C440" s="2994">
        <v>45.51</v>
      </c>
      <c r="D440" s="2993" t="s">
        <v>3235</v>
      </c>
      <c r="E440" s="3002">
        <v>420000</v>
      </c>
    </row>
    <row r="441" spans="1:6" s="2993" customFormat="1">
      <c r="A441" s="3202">
        <v>90</v>
      </c>
      <c r="B441" s="2991" t="s">
        <v>3669</v>
      </c>
      <c r="C441" s="2992">
        <v>138.68</v>
      </c>
      <c r="D441" s="2993" t="s">
        <v>3238</v>
      </c>
      <c r="E441" s="2995">
        <v>8807289</v>
      </c>
    </row>
    <row r="442" spans="1:6" s="2993" customFormat="1">
      <c r="A442" s="3202"/>
      <c r="B442" s="2991" t="s">
        <v>3670</v>
      </c>
      <c r="C442" s="2992">
        <v>87.14</v>
      </c>
      <c r="D442" s="2993" t="s">
        <v>4487</v>
      </c>
      <c r="E442" s="2995">
        <v>2614200</v>
      </c>
      <c r="F442" s="2993">
        <f t="shared" ref="F442:F443" si="86">E442/C442</f>
        <v>30000</v>
      </c>
    </row>
    <row r="443" spans="1:6" s="2993" customFormat="1">
      <c r="A443" s="3202"/>
      <c r="B443" s="2991" t="s">
        <v>3671</v>
      </c>
      <c r="C443" s="2992">
        <v>85.08</v>
      </c>
      <c r="D443" s="2993" t="s">
        <v>3241</v>
      </c>
      <c r="E443" s="2992">
        <v>2552400</v>
      </c>
      <c r="F443" s="2993">
        <f t="shared" si="86"/>
        <v>30000</v>
      </c>
    </row>
    <row r="444" spans="1:6" s="2993" customFormat="1">
      <c r="A444" s="3202"/>
      <c r="B444" s="2991" t="s">
        <v>3672</v>
      </c>
      <c r="C444" s="2994">
        <v>45.51</v>
      </c>
      <c r="D444" s="2993" t="s">
        <v>3235</v>
      </c>
      <c r="E444" s="3002">
        <v>420000</v>
      </c>
    </row>
    <row r="445" spans="1:6" s="2993" customFormat="1">
      <c r="A445" s="3202"/>
      <c r="B445" s="2991" t="s">
        <v>3673</v>
      </c>
      <c r="C445" s="2994">
        <v>45.51</v>
      </c>
      <c r="D445" s="2993" t="s">
        <v>3235</v>
      </c>
      <c r="E445" s="3002">
        <v>420000</v>
      </c>
    </row>
    <row r="446" spans="1:6" s="2993" customFormat="1">
      <c r="A446" s="3202">
        <v>91</v>
      </c>
      <c r="B446" s="2991" t="s">
        <v>3674</v>
      </c>
      <c r="C446" s="2996">
        <v>134.22999999999999</v>
      </c>
      <c r="D446" s="2993" t="s">
        <v>3238</v>
      </c>
      <c r="E446" s="2996">
        <v>8220435</v>
      </c>
    </row>
    <row r="447" spans="1:6" s="2993" customFormat="1">
      <c r="A447" s="3202"/>
      <c r="B447" s="2991" t="s">
        <v>3675</v>
      </c>
      <c r="C447" s="2996">
        <v>84.32</v>
      </c>
      <c r="D447" s="2993" t="s">
        <v>4487</v>
      </c>
      <c r="E447" s="2996">
        <v>2529600</v>
      </c>
      <c r="F447" s="2993">
        <f t="shared" ref="F447:F448" si="87">E447/C447</f>
        <v>30000.000000000004</v>
      </c>
    </row>
    <row r="448" spans="1:6" s="2993" customFormat="1">
      <c r="A448" s="3202"/>
      <c r="B448" s="2991" t="s">
        <v>3676</v>
      </c>
      <c r="C448" s="2996">
        <v>83.44</v>
      </c>
      <c r="D448" s="2993" t="s">
        <v>3252</v>
      </c>
      <c r="E448" s="2996">
        <v>2503200</v>
      </c>
      <c r="F448" s="2993">
        <f t="shared" si="87"/>
        <v>30000</v>
      </c>
    </row>
    <row r="449" spans="1:6" s="2993" customFormat="1">
      <c r="A449" s="3202"/>
      <c r="B449" s="2991" t="s">
        <v>3677</v>
      </c>
      <c r="C449" s="2994">
        <v>45.51</v>
      </c>
      <c r="D449" s="2993" t="s">
        <v>3254</v>
      </c>
      <c r="E449" s="3002">
        <v>420000</v>
      </c>
    </row>
    <row r="450" spans="1:6" s="2993" customFormat="1">
      <c r="A450" s="3202"/>
      <c r="B450" s="2991" t="s">
        <v>3678</v>
      </c>
      <c r="C450" s="2994">
        <v>45.51</v>
      </c>
      <c r="D450" s="2993" t="s">
        <v>3254</v>
      </c>
      <c r="E450" s="3002">
        <v>420000</v>
      </c>
    </row>
    <row r="451" spans="1:6" s="2993" customFormat="1">
      <c r="A451" s="3202">
        <v>92</v>
      </c>
      <c r="B451" s="2991" t="s">
        <v>3679</v>
      </c>
      <c r="C451" s="2996">
        <v>134.43</v>
      </c>
      <c r="D451" s="2993" t="s">
        <v>3257</v>
      </c>
      <c r="E451" s="2996">
        <v>7822368</v>
      </c>
    </row>
    <row r="452" spans="1:6" s="2993" customFormat="1">
      <c r="A452" s="3202"/>
      <c r="B452" s="2991" t="s">
        <v>3680</v>
      </c>
      <c r="C452" s="2996">
        <v>84.73</v>
      </c>
      <c r="D452" s="2993" t="s">
        <v>4487</v>
      </c>
      <c r="E452" s="2996">
        <v>2541900</v>
      </c>
      <c r="F452" s="2993">
        <f t="shared" ref="F452:F453" si="88">E452/C452</f>
        <v>30000</v>
      </c>
    </row>
    <row r="453" spans="1:6" s="2993" customFormat="1">
      <c r="A453" s="3202"/>
      <c r="B453" s="2991" t="s">
        <v>3681</v>
      </c>
      <c r="C453" s="2996">
        <v>84.16</v>
      </c>
      <c r="D453" s="2993" t="s">
        <v>3252</v>
      </c>
      <c r="E453" s="2996">
        <v>2524800</v>
      </c>
      <c r="F453" s="2993">
        <f t="shared" si="88"/>
        <v>30000</v>
      </c>
    </row>
    <row r="454" spans="1:6" s="2993" customFormat="1">
      <c r="A454" s="3202"/>
      <c r="B454" s="2991" t="s">
        <v>3682</v>
      </c>
      <c r="C454" s="2994">
        <v>45.51</v>
      </c>
      <c r="D454" s="2993" t="s">
        <v>3254</v>
      </c>
      <c r="E454" s="3002">
        <v>420000</v>
      </c>
    </row>
    <row r="455" spans="1:6" s="2993" customFormat="1">
      <c r="A455" s="3202"/>
      <c r="B455" s="2991" t="s">
        <v>3683</v>
      </c>
      <c r="C455" s="2994">
        <v>45.51</v>
      </c>
      <c r="D455" s="2993" t="s">
        <v>3254</v>
      </c>
      <c r="E455" s="3002">
        <v>420000</v>
      </c>
    </row>
    <row r="456" spans="1:6" s="2993" customFormat="1">
      <c r="A456" s="3202">
        <v>93</v>
      </c>
      <c r="B456" s="2991" t="s">
        <v>3684</v>
      </c>
      <c r="C456" s="2996">
        <v>134.22999999999999</v>
      </c>
      <c r="D456" s="2993" t="s">
        <v>3257</v>
      </c>
      <c r="E456" s="3002">
        <v>8388144</v>
      </c>
    </row>
    <row r="457" spans="1:6" s="2993" customFormat="1">
      <c r="A457" s="3202"/>
      <c r="B457" s="2991" t="s">
        <v>3685</v>
      </c>
      <c r="C457" s="2996">
        <v>84.32</v>
      </c>
      <c r="D457" s="2993" t="s">
        <v>4487</v>
      </c>
      <c r="E457" s="3002">
        <v>2529600</v>
      </c>
      <c r="F457" s="2993">
        <f t="shared" ref="F457:F458" si="89">E457/C457</f>
        <v>30000.000000000004</v>
      </c>
    </row>
    <row r="458" spans="1:6" s="2993" customFormat="1">
      <c r="A458" s="3202"/>
      <c r="B458" s="2991" t="s">
        <v>3686</v>
      </c>
      <c r="C458" s="2996">
        <v>83.44</v>
      </c>
      <c r="D458" s="2993" t="s">
        <v>3252</v>
      </c>
      <c r="E458" s="3002">
        <v>2503200</v>
      </c>
      <c r="F458" s="2993">
        <f t="shared" si="89"/>
        <v>30000</v>
      </c>
    </row>
    <row r="459" spans="1:6" s="2993" customFormat="1">
      <c r="A459" s="3202"/>
      <c r="B459" s="2991" t="s">
        <v>3687</v>
      </c>
      <c r="C459" s="2994">
        <v>45.51</v>
      </c>
      <c r="D459" s="2993" t="s">
        <v>3254</v>
      </c>
      <c r="E459" s="3002">
        <v>420000</v>
      </c>
    </row>
    <row r="460" spans="1:6" s="2993" customFormat="1">
      <c r="A460" s="3202"/>
      <c r="B460" s="2991" t="s">
        <v>3688</v>
      </c>
      <c r="C460" s="2994">
        <v>45.51</v>
      </c>
      <c r="D460" s="2993" t="s">
        <v>3254</v>
      </c>
      <c r="E460" s="3002">
        <v>420000</v>
      </c>
    </row>
    <row r="461" spans="1:6" s="2993" customFormat="1">
      <c r="A461" s="3202">
        <v>94</v>
      </c>
      <c r="B461" s="2991" t="s">
        <v>3689</v>
      </c>
      <c r="C461" s="2996">
        <v>134.22999999999999</v>
      </c>
      <c r="D461" s="2993" t="s">
        <v>3257</v>
      </c>
      <c r="E461" s="2996">
        <v>7595467</v>
      </c>
    </row>
    <row r="462" spans="1:6" s="2993" customFormat="1">
      <c r="A462" s="3202"/>
      <c r="B462" s="2991" t="s">
        <v>3690</v>
      </c>
      <c r="C462" s="2996">
        <v>84.46</v>
      </c>
      <c r="D462" s="2993" t="s">
        <v>4487</v>
      </c>
      <c r="E462" s="2996">
        <v>2533800</v>
      </c>
      <c r="F462" s="2993">
        <f t="shared" ref="F462:F463" si="90">E462/C462</f>
        <v>30000.000000000004</v>
      </c>
    </row>
    <row r="463" spans="1:6" s="2993" customFormat="1">
      <c r="A463" s="3202"/>
      <c r="B463" s="2991" t="s">
        <v>3691</v>
      </c>
      <c r="C463" s="2996">
        <v>84.16</v>
      </c>
      <c r="D463" s="2993" t="s">
        <v>3252</v>
      </c>
      <c r="E463" s="2996">
        <v>2524800</v>
      </c>
      <c r="F463" s="2993">
        <f t="shared" si="90"/>
        <v>30000</v>
      </c>
    </row>
    <row r="464" spans="1:6" s="2993" customFormat="1">
      <c r="A464" s="3202"/>
      <c r="B464" s="2991" t="s">
        <v>3692</v>
      </c>
      <c r="C464" s="2994">
        <v>45.51</v>
      </c>
      <c r="D464" s="2993" t="s">
        <v>3254</v>
      </c>
      <c r="E464" s="3002">
        <v>420000</v>
      </c>
    </row>
    <row r="465" spans="1:6" s="2993" customFormat="1">
      <c r="A465" s="3202"/>
      <c r="B465" s="2991" t="s">
        <v>3693</v>
      </c>
      <c r="C465" s="2994">
        <v>45.51</v>
      </c>
      <c r="D465" s="2993" t="s">
        <v>3254</v>
      </c>
      <c r="E465" s="3002">
        <v>420000</v>
      </c>
    </row>
    <row r="466" spans="1:6" s="2993" customFormat="1">
      <c r="A466" s="3202">
        <v>95</v>
      </c>
      <c r="B466" s="2991" t="s">
        <v>3694</v>
      </c>
      <c r="C466" s="2996">
        <v>134.43</v>
      </c>
      <c r="D466" s="2993" t="s">
        <v>3257</v>
      </c>
      <c r="E466" s="2996">
        <v>7990664</v>
      </c>
    </row>
    <row r="467" spans="1:6" s="2993" customFormat="1">
      <c r="A467" s="3202"/>
      <c r="B467" s="2991" t="s">
        <v>3695</v>
      </c>
      <c r="C467" s="2996">
        <v>84.73</v>
      </c>
      <c r="D467" s="2993" t="s">
        <v>4487</v>
      </c>
      <c r="E467" s="2996">
        <v>2541900</v>
      </c>
      <c r="F467" s="2993">
        <f t="shared" ref="F467:F468" si="91">E467/C467</f>
        <v>30000</v>
      </c>
    </row>
    <row r="468" spans="1:6" s="2993" customFormat="1">
      <c r="A468" s="3202"/>
      <c r="B468" s="2991" t="s">
        <v>3696</v>
      </c>
      <c r="C468" s="2996">
        <v>84.16</v>
      </c>
      <c r="D468" s="2993" t="s">
        <v>3252</v>
      </c>
      <c r="E468" s="2996">
        <v>2524800</v>
      </c>
      <c r="F468" s="2993">
        <f t="shared" si="91"/>
        <v>30000</v>
      </c>
    </row>
    <row r="469" spans="1:6" s="2993" customFormat="1">
      <c r="A469" s="3202"/>
      <c r="B469" s="2991" t="s">
        <v>3697</v>
      </c>
      <c r="C469" s="2994">
        <v>45.51</v>
      </c>
      <c r="D469" s="2993" t="s">
        <v>3254</v>
      </c>
      <c r="E469" s="3002">
        <v>420000</v>
      </c>
    </row>
    <row r="470" spans="1:6" s="2993" customFormat="1">
      <c r="A470" s="3202"/>
      <c r="B470" s="2991" t="s">
        <v>3698</v>
      </c>
      <c r="C470" s="2994">
        <v>45.51</v>
      </c>
      <c r="D470" s="2993" t="s">
        <v>3254</v>
      </c>
      <c r="E470" s="3002">
        <v>420000</v>
      </c>
    </row>
    <row r="471" spans="1:6" s="2993" customFormat="1">
      <c r="A471" s="3202">
        <v>96</v>
      </c>
      <c r="B471" s="2991" t="s">
        <v>3699</v>
      </c>
      <c r="C471" s="2994">
        <v>138.38999999999999</v>
      </c>
      <c r="D471" s="2993" t="s">
        <v>3257</v>
      </c>
      <c r="E471" s="3002">
        <v>8788872</v>
      </c>
    </row>
    <row r="472" spans="1:6" s="2993" customFormat="1">
      <c r="A472" s="3202"/>
      <c r="B472" s="2991" t="s">
        <v>3700</v>
      </c>
      <c r="C472" s="2994">
        <v>86.55</v>
      </c>
      <c r="D472" s="2993" t="s">
        <v>4487</v>
      </c>
      <c r="E472" s="3002">
        <v>2596500</v>
      </c>
      <c r="F472" s="2993">
        <f t="shared" ref="F472:F473" si="92">E472/C472</f>
        <v>30000</v>
      </c>
    </row>
    <row r="473" spans="1:6" s="2997" customFormat="1">
      <c r="A473" s="3202"/>
      <c r="B473" s="2991" t="s">
        <v>3701</v>
      </c>
      <c r="C473" s="2994">
        <v>84.46</v>
      </c>
      <c r="D473" s="2993" t="s">
        <v>3252</v>
      </c>
      <c r="E473" s="3002">
        <v>2533800</v>
      </c>
      <c r="F473" s="2993">
        <f t="shared" si="92"/>
        <v>30000.000000000004</v>
      </c>
    </row>
    <row r="474" spans="1:6" s="2993" customFormat="1">
      <c r="A474" s="3202"/>
      <c r="B474" s="2991" t="s">
        <v>3702</v>
      </c>
      <c r="C474" s="2994">
        <v>45.51</v>
      </c>
      <c r="D474" s="2993" t="s">
        <v>3254</v>
      </c>
      <c r="E474" s="3002">
        <v>420000</v>
      </c>
    </row>
    <row r="475" spans="1:6" s="2993" customFormat="1">
      <c r="A475" s="3202"/>
      <c r="B475" s="2991" t="s">
        <v>3703</v>
      </c>
      <c r="C475" s="2994">
        <v>45.51</v>
      </c>
      <c r="D475" s="2993" t="s">
        <v>3235</v>
      </c>
      <c r="E475" s="3002">
        <v>420000</v>
      </c>
    </row>
    <row r="476" spans="1:6" s="2993" customFormat="1">
      <c r="A476" s="3202">
        <v>97</v>
      </c>
      <c r="B476" s="2991" t="s">
        <v>3704</v>
      </c>
      <c r="C476" s="2994">
        <v>138.38999999999999</v>
      </c>
      <c r="D476" s="2993" t="s">
        <v>3238</v>
      </c>
      <c r="E476" s="3002">
        <v>8788872</v>
      </c>
    </row>
    <row r="477" spans="1:6" s="2993" customFormat="1">
      <c r="A477" s="3202"/>
      <c r="B477" s="2991" t="s">
        <v>3705</v>
      </c>
      <c r="C477" s="2994">
        <v>86.71</v>
      </c>
      <c r="D477" s="2993" t="s">
        <v>4487</v>
      </c>
      <c r="E477" s="3002">
        <v>2601300</v>
      </c>
      <c r="F477" s="2993">
        <f t="shared" ref="F477:F478" si="93">E477/C477</f>
        <v>30000.000000000004</v>
      </c>
    </row>
    <row r="478" spans="1:6" s="2993" customFormat="1">
      <c r="A478" s="3202"/>
      <c r="B478" s="2991" t="s">
        <v>3706</v>
      </c>
      <c r="C478" s="2994">
        <v>85.18</v>
      </c>
      <c r="D478" s="2993" t="s">
        <v>3241</v>
      </c>
      <c r="E478" s="3002">
        <v>2555400</v>
      </c>
      <c r="F478" s="2993">
        <f t="shared" si="93"/>
        <v>29999.999999999996</v>
      </c>
    </row>
    <row r="479" spans="1:6" s="2993" customFormat="1">
      <c r="A479" s="3202"/>
      <c r="B479" s="2991" t="s">
        <v>3707</v>
      </c>
      <c r="C479" s="2994">
        <v>45.51</v>
      </c>
      <c r="D479" s="2993" t="s">
        <v>3235</v>
      </c>
      <c r="E479" s="3002">
        <v>420000</v>
      </c>
    </row>
    <row r="480" spans="1:6" s="2993" customFormat="1">
      <c r="A480" s="3202"/>
      <c r="B480" s="2991" t="s">
        <v>3708</v>
      </c>
      <c r="C480" s="2994">
        <v>45.51</v>
      </c>
      <c r="D480" s="2993" t="s">
        <v>3235</v>
      </c>
      <c r="E480" s="3002">
        <v>420000</v>
      </c>
    </row>
    <row r="481" spans="1:6" s="2993" customFormat="1">
      <c r="A481" s="3202">
        <v>98</v>
      </c>
      <c r="B481" s="2991" t="s">
        <v>3709</v>
      </c>
      <c r="C481" s="2994">
        <v>138.38999999999999</v>
      </c>
      <c r="D481" s="2993" t="s">
        <v>3238</v>
      </c>
      <c r="E481" s="3002">
        <v>8788872</v>
      </c>
    </row>
    <row r="482" spans="1:6" s="2993" customFormat="1">
      <c r="A482" s="3202"/>
      <c r="B482" s="2991" t="s">
        <v>3710</v>
      </c>
      <c r="C482" s="2994">
        <v>86.71</v>
      </c>
      <c r="D482" s="2993" t="s">
        <v>4487</v>
      </c>
      <c r="E482" s="3002">
        <v>2601300</v>
      </c>
      <c r="F482" s="2993">
        <f t="shared" ref="F482:F483" si="94">E482/C482</f>
        <v>30000.000000000004</v>
      </c>
    </row>
    <row r="483" spans="1:6" s="2993" customFormat="1">
      <c r="A483" s="3202"/>
      <c r="B483" s="2991" t="s">
        <v>3711</v>
      </c>
      <c r="C483" s="2994">
        <v>85.18</v>
      </c>
      <c r="D483" s="2993" t="s">
        <v>3252</v>
      </c>
      <c r="E483" s="3002">
        <v>2555400</v>
      </c>
      <c r="F483" s="2993">
        <f t="shared" si="94"/>
        <v>29999.999999999996</v>
      </c>
    </row>
    <row r="484" spans="1:6" s="2993" customFormat="1">
      <c r="A484" s="3202"/>
      <c r="B484" s="2991" t="s">
        <v>3712</v>
      </c>
      <c r="C484" s="2994">
        <v>45.51</v>
      </c>
      <c r="D484" s="2993" t="s">
        <v>3254</v>
      </c>
      <c r="E484" s="3002">
        <v>420000</v>
      </c>
    </row>
    <row r="485" spans="1:6" s="2993" customFormat="1">
      <c r="A485" s="3202"/>
      <c r="B485" s="2991" t="s">
        <v>3713</v>
      </c>
      <c r="C485" s="2994">
        <v>45.51</v>
      </c>
      <c r="D485" s="2993" t="s">
        <v>3254</v>
      </c>
      <c r="E485" s="3002">
        <v>420000</v>
      </c>
    </row>
    <row r="486" spans="1:6" s="2993" customFormat="1">
      <c r="A486" s="3202">
        <v>99</v>
      </c>
      <c r="B486" s="2991" t="s">
        <v>3714</v>
      </c>
      <c r="C486" s="2994">
        <v>134.03</v>
      </c>
      <c r="D486" s="2993" t="s">
        <v>3257</v>
      </c>
      <c r="E486" s="3002">
        <v>8308668</v>
      </c>
    </row>
    <row r="487" spans="1:6" s="2993" customFormat="1">
      <c r="A487" s="3202"/>
      <c r="B487" s="2991" t="s">
        <v>3715</v>
      </c>
      <c r="C487" s="2994">
        <v>84.18</v>
      </c>
      <c r="D487" s="2993" t="s">
        <v>4487</v>
      </c>
      <c r="E487" s="3002">
        <v>2525400</v>
      </c>
      <c r="F487" s="2993">
        <f t="shared" ref="F487:F488" si="95">E487/C487</f>
        <v>29999.999999999996</v>
      </c>
    </row>
    <row r="488" spans="1:6" s="2993" customFormat="1">
      <c r="A488" s="3202"/>
      <c r="B488" s="2991" t="s">
        <v>3716</v>
      </c>
      <c r="C488" s="2994">
        <v>83.36</v>
      </c>
      <c r="D488" s="2993" t="s">
        <v>3252</v>
      </c>
      <c r="E488" s="3002">
        <v>2500800</v>
      </c>
      <c r="F488" s="2993">
        <f t="shared" si="95"/>
        <v>30000</v>
      </c>
    </row>
    <row r="489" spans="1:6" s="2993" customFormat="1">
      <c r="A489" s="3202"/>
      <c r="B489" s="2991" t="s">
        <v>3717</v>
      </c>
      <c r="C489" s="2994">
        <v>45.51</v>
      </c>
      <c r="D489" s="2993" t="s">
        <v>3254</v>
      </c>
      <c r="E489" s="3002">
        <v>420000</v>
      </c>
    </row>
    <row r="490" spans="1:6" s="2993" customFormat="1">
      <c r="A490" s="3202"/>
      <c r="B490" s="2991" t="s">
        <v>3718</v>
      </c>
      <c r="C490" s="2994">
        <v>45.51</v>
      </c>
      <c r="D490" s="2993" t="s">
        <v>3254</v>
      </c>
      <c r="E490" s="3002">
        <v>420000</v>
      </c>
    </row>
    <row r="491" spans="1:6" s="2993" customFormat="1">
      <c r="A491" s="3202">
        <v>100</v>
      </c>
      <c r="B491" s="2991" t="s">
        <v>3719</v>
      </c>
      <c r="C491" s="2994">
        <v>134.03</v>
      </c>
      <c r="D491" s="2993" t="s">
        <v>3257</v>
      </c>
      <c r="E491" s="3002">
        <v>7516979</v>
      </c>
    </row>
    <row r="492" spans="1:6" s="2993" customFormat="1">
      <c r="A492" s="3202"/>
      <c r="B492" s="2991" t="s">
        <v>3720</v>
      </c>
      <c r="C492" s="2994">
        <v>84.33</v>
      </c>
      <c r="D492" s="2993" t="s">
        <v>4487</v>
      </c>
      <c r="E492" s="3002">
        <v>2529900</v>
      </c>
      <c r="F492" s="2993">
        <f t="shared" ref="F492:F493" si="96">E492/C492</f>
        <v>30000</v>
      </c>
    </row>
    <row r="493" spans="1:6" s="2993" customFormat="1">
      <c r="A493" s="3202"/>
      <c r="B493" s="2991" t="s">
        <v>3721</v>
      </c>
      <c r="C493" s="2994">
        <v>84.08</v>
      </c>
      <c r="D493" s="2993" t="s">
        <v>3252</v>
      </c>
      <c r="E493" s="3002">
        <v>2522400</v>
      </c>
      <c r="F493" s="2993">
        <f t="shared" si="96"/>
        <v>30000</v>
      </c>
    </row>
    <row r="494" spans="1:6" s="2993" customFormat="1">
      <c r="A494" s="3202"/>
      <c r="B494" s="2991" t="s">
        <v>3722</v>
      </c>
      <c r="C494" s="2994">
        <v>45.51</v>
      </c>
      <c r="D494" s="2993" t="s">
        <v>3254</v>
      </c>
      <c r="E494" s="3002">
        <v>420000</v>
      </c>
    </row>
    <row r="495" spans="1:6" s="2993" customFormat="1">
      <c r="A495" s="3202"/>
      <c r="B495" s="2991" t="s">
        <v>3723</v>
      </c>
      <c r="C495" s="2994">
        <v>45.51</v>
      </c>
      <c r="D495" s="2993" t="s">
        <v>3254</v>
      </c>
      <c r="E495" s="3002">
        <v>420000</v>
      </c>
    </row>
    <row r="496" spans="1:6" s="2993" customFormat="1">
      <c r="A496" s="3202">
        <v>101</v>
      </c>
      <c r="B496" s="2991" t="s">
        <v>3724</v>
      </c>
      <c r="C496" s="2994">
        <v>134.03</v>
      </c>
      <c r="D496" s="2993" t="s">
        <v>3257</v>
      </c>
      <c r="E496" s="3002">
        <v>7516979</v>
      </c>
    </row>
    <row r="497" spans="1:6" s="2993" customFormat="1">
      <c r="A497" s="3202"/>
      <c r="B497" s="2991" t="s">
        <v>3725</v>
      </c>
      <c r="C497" s="2994">
        <v>84.33</v>
      </c>
      <c r="D497" s="2993" t="s">
        <v>4487</v>
      </c>
      <c r="E497" s="3002">
        <v>2529900</v>
      </c>
      <c r="F497" s="2993">
        <f t="shared" ref="F497:F498" si="97">E497/C497</f>
        <v>30000</v>
      </c>
    </row>
    <row r="498" spans="1:6" s="2993" customFormat="1">
      <c r="A498" s="3202"/>
      <c r="B498" s="2991" t="s">
        <v>3726</v>
      </c>
      <c r="C498" s="2994">
        <v>84.08</v>
      </c>
      <c r="D498" s="2993" t="s">
        <v>3379</v>
      </c>
      <c r="E498" s="3002">
        <v>2522400</v>
      </c>
      <c r="F498" s="2993">
        <f t="shared" si="97"/>
        <v>30000</v>
      </c>
    </row>
    <row r="499" spans="1:6" s="2993" customFormat="1">
      <c r="A499" s="3202"/>
      <c r="B499" s="2991" t="s">
        <v>3727</v>
      </c>
      <c r="C499" s="2994">
        <v>45.51</v>
      </c>
      <c r="D499" s="2993" t="s">
        <v>3381</v>
      </c>
      <c r="E499" s="3002">
        <v>420000</v>
      </c>
    </row>
    <row r="500" spans="1:6" s="2993" customFormat="1">
      <c r="A500" s="3202"/>
      <c r="B500" s="2991" t="s">
        <v>3728</v>
      </c>
      <c r="C500" s="2994">
        <v>45.51</v>
      </c>
      <c r="D500" s="2993" t="s">
        <v>3381</v>
      </c>
      <c r="E500" s="3002">
        <v>420000</v>
      </c>
    </row>
    <row r="501" spans="1:6" s="2993" customFormat="1">
      <c r="A501" s="3202">
        <v>102</v>
      </c>
      <c r="B501" s="2991" t="s">
        <v>3729</v>
      </c>
      <c r="C501" s="2994">
        <v>134.22</v>
      </c>
      <c r="D501" s="2993" t="s">
        <v>3384</v>
      </c>
      <c r="E501" s="3002">
        <v>7910959</v>
      </c>
    </row>
    <row r="502" spans="1:6" s="2993" customFormat="1">
      <c r="A502" s="3202"/>
      <c r="B502" s="2991" t="s">
        <v>3730</v>
      </c>
      <c r="C502" s="2994">
        <v>84.59</v>
      </c>
      <c r="D502" s="2993" t="s">
        <v>4487</v>
      </c>
      <c r="E502" s="3002">
        <v>2537700</v>
      </c>
      <c r="F502" s="2993">
        <f t="shared" ref="F502:F503" si="98">E502/C502</f>
        <v>30000</v>
      </c>
    </row>
    <row r="503" spans="1:6" s="2993" customFormat="1">
      <c r="A503" s="3202"/>
      <c r="B503" s="2991" t="s">
        <v>3731</v>
      </c>
      <c r="C503" s="2994">
        <v>84.08</v>
      </c>
      <c r="D503" s="2993" t="s">
        <v>3241</v>
      </c>
      <c r="E503" s="3002">
        <v>2522400</v>
      </c>
      <c r="F503" s="2993">
        <f t="shared" si="98"/>
        <v>30000</v>
      </c>
    </row>
    <row r="504" spans="1:6" s="2993" customFormat="1">
      <c r="A504" s="3202"/>
      <c r="B504" s="2991" t="s">
        <v>3732</v>
      </c>
      <c r="C504" s="2994">
        <v>45.51</v>
      </c>
      <c r="D504" s="2993" t="s">
        <v>3235</v>
      </c>
      <c r="E504" s="3002">
        <v>420000</v>
      </c>
    </row>
    <row r="505" spans="1:6" s="2993" customFormat="1">
      <c r="A505" s="3202"/>
      <c r="B505" s="2991" t="s">
        <v>3733</v>
      </c>
      <c r="C505" s="2994">
        <v>45.51</v>
      </c>
      <c r="D505" s="2993" t="s">
        <v>3235</v>
      </c>
      <c r="E505" s="3002">
        <v>420000</v>
      </c>
    </row>
    <row r="506" spans="1:6" s="2993" customFormat="1">
      <c r="A506" s="3202">
        <v>103</v>
      </c>
      <c r="B506" s="2991" t="s">
        <v>3734</v>
      </c>
      <c r="C506" s="2994">
        <v>134.03</v>
      </c>
      <c r="D506" s="2993" t="s">
        <v>3238</v>
      </c>
      <c r="E506" s="3002">
        <v>7684783</v>
      </c>
    </row>
    <row r="507" spans="1:6" s="2993" customFormat="1">
      <c r="A507" s="3202"/>
      <c r="B507" s="2991" t="s">
        <v>3735</v>
      </c>
      <c r="C507" s="2994">
        <v>84.33</v>
      </c>
      <c r="D507" s="2993" t="s">
        <v>4487</v>
      </c>
      <c r="E507" s="3002">
        <v>2529900</v>
      </c>
      <c r="F507" s="2993">
        <f t="shared" ref="F507:F508" si="99">E507/C507</f>
        <v>30000</v>
      </c>
    </row>
    <row r="508" spans="1:6" s="2993" customFormat="1">
      <c r="A508" s="3202"/>
      <c r="B508" s="2991" t="s">
        <v>3736</v>
      </c>
      <c r="C508" s="2994">
        <v>84.08</v>
      </c>
      <c r="D508" s="2993" t="s">
        <v>3241</v>
      </c>
      <c r="E508" s="3002">
        <v>2522400</v>
      </c>
      <c r="F508" s="2993">
        <f t="shared" si="99"/>
        <v>30000</v>
      </c>
    </row>
    <row r="509" spans="1:6" s="2993" customFormat="1">
      <c r="A509" s="3202"/>
      <c r="B509" s="2991" t="s">
        <v>3737</v>
      </c>
      <c r="C509" s="2994">
        <v>45.51</v>
      </c>
      <c r="D509" s="2993" t="s">
        <v>3235</v>
      </c>
      <c r="E509" s="3002">
        <v>420000</v>
      </c>
    </row>
    <row r="510" spans="1:6" s="2993" customFormat="1">
      <c r="A510" s="3202"/>
      <c r="B510" s="2991" t="s">
        <v>3738</v>
      </c>
      <c r="C510" s="2994">
        <v>45.51</v>
      </c>
      <c r="D510" s="2993" t="s">
        <v>3235</v>
      </c>
      <c r="E510" s="3002">
        <v>420000</v>
      </c>
    </row>
    <row r="511" spans="1:6" s="2993" customFormat="1">
      <c r="A511" s="3202">
        <v>104</v>
      </c>
      <c r="B511" s="2991" t="s">
        <v>3739</v>
      </c>
      <c r="C511" s="2994">
        <v>134.03</v>
      </c>
      <c r="D511" s="2993" t="s">
        <v>3238</v>
      </c>
      <c r="E511" s="3002">
        <v>7684783</v>
      </c>
    </row>
    <row r="512" spans="1:6" s="2993" customFormat="1">
      <c r="A512" s="3202"/>
      <c r="B512" s="2991" t="s">
        <v>3740</v>
      </c>
      <c r="C512" s="2994">
        <v>84.33</v>
      </c>
      <c r="D512" s="2993" t="s">
        <v>4487</v>
      </c>
      <c r="E512" s="3002">
        <v>2529900</v>
      </c>
      <c r="F512" s="2993">
        <f t="shared" ref="F512:F513" si="100">E512/C512</f>
        <v>30000</v>
      </c>
    </row>
    <row r="513" spans="1:6" s="2993" customFormat="1">
      <c r="A513" s="3202"/>
      <c r="B513" s="2991" t="s">
        <v>3741</v>
      </c>
      <c r="C513" s="2994">
        <v>84.08</v>
      </c>
      <c r="D513" s="2993" t="s">
        <v>3241</v>
      </c>
      <c r="E513" s="3002">
        <v>2522400</v>
      </c>
      <c r="F513" s="2993">
        <f t="shared" si="100"/>
        <v>30000</v>
      </c>
    </row>
    <row r="514" spans="1:6" s="2993" customFormat="1">
      <c r="A514" s="3202"/>
      <c r="B514" s="2991" t="s">
        <v>3742</v>
      </c>
      <c r="C514" s="2994">
        <v>45.51</v>
      </c>
      <c r="D514" s="2993" t="s">
        <v>3235</v>
      </c>
      <c r="E514" s="3002">
        <v>420000</v>
      </c>
    </row>
    <row r="515" spans="1:6" s="2993" customFormat="1">
      <c r="A515" s="3202"/>
      <c r="B515" s="2991" t="s">
        <v>3743</v>
      </c>
      <c r="C515" s="2994">
        <v>45.51</v>
      </c>
      <c r="D515" s="2993" t="s">
        <v>3235</v>
      </c>
      <c r="E515" s="3002">
        <v>420000</v>
      </c>
    </row>
    <row r="516" spans="1:6" s="2993" customFormat="1">
      <c r="A516" s="3202">
        <v>105</v>
      </c>
      <c r="B516" s="2991" t="s">
        <v>3744</v>
      </c>
      <c r="C516" s="2994">
        <v>134.22</v>
      </c>
      <c r="D516" s="2993" t="s">
        <v>3238</v>
      </c>
      <c r="E516" s="3002">
        <v>8079009</v>
      </c>
    </row>
    <row r="517" spans="1:6" s="2993" customFormat="1">
      <c r="A517" s="3202"/>
      <c r="B517" s="2991" t="s">
        <v>3745</v>
      </c>
      <c r="C517" s="2994">
        <v>84.59</v>
      </c>
      <c r="D517" s="2993" t="s">
        <v>4487</v>
      </c>
      <c r="E517" s="3002">
        <v>2537700</v>
      </c>
      <c r="F517" s="2993">
        <f t="shared" ref="F517:F518" si="101">E517/C517</f>
        <v>30000</v>
      </c>
    </row>
    <row r="518" spans="1:6" s="2993" customFormat="1">
      <c r="A518" s="3202"/>
      <c r="B518" s="2991" t="s">
        <v>3746</v>
      </c>
      <c r="C518" s="2994">
        <v>84.08</v>
      </c>
      <c r="D518" s="2993" t="s">
        <v>3241</v>
      </c>
      <c r="E518" s="3002">
        <v>2522400</v>
      </c>
      <c r="F518" s="2993">
        <f t="shared" si="101"/>
        <v>30000</v>
      </c>
    </row>
    <row r="519" spans="1:6" s="2993" customFormat="1">
      <c r="A519" s="3202"/>
      <c r="B519" s="2991" t="s">
        <v>3747</v>
      </c>
      <c r="C519" s="2994">
        <v>45.51</v>
      </c>
      <c r="D519" s="2993" t="s">
        <v>3235</v>
      </c>
      <c r="E519" s="3002">
        <v>420000</v>
      </c>
    </row>
    <row r="520" spans="1:6" s="2993" customFormat="1">
      <c r="A520" s="3202"/>
      <c r="B520" s="2991" t="s">
        <v>3748</v>
      </c>
      <c r="C520" s="2994">
        <v>45.51</v>
      </c>
      <c r="D520" s="2993" t="s">
        <v>3235</v>
      </c>
      <c r="E520" s="3002">
        <v>420000</v>
      </c>
    </row>
    <row r="521" spans="1:6" s="2993" customFormat="1">
      <c r="A521" s="3202">
        <v>106</v>
      </c>
      <c r="B521" s="2991" t="s">
        <v>3749</v>
      </c>
      <c r="C521" s="2994">
        <v>134.36000000000001</v>
      </c>
      <c r="D521" s="2993" t="s">
        <v>3238</v>
      </c>
      <c r="E521" s="3002">
        <v>7919210</v>
      </c>
    </row>
    <row r="522" spans="1:6" s="2993" customFormat="1">
      <c r="A522" s="3202"/>
      <c r="B522" s="2991" t="s">
        <v>3750</v>
      </c>
      <c r="C522" s="2995">
        <v>84.7</v>
      </c>
      <c r="D522" s="2993" t="s">
        <v>4487</v>
      </c>
      <c r="E522" s="2995">
        <v>2541000</v>
      </c>
      <c r="F522" s="2993">
        <f t="shared" ref="F522:F523" si="102">E522/C522</f>
        <v>30000</v>
      </c>
    </row>
    <row r="523" spans="1:6" s="2993" customFormat="1">
      <c r="A523" s="3202"/>
      <c r="B523" s="2991" t="s">
        <v>3751</v>
      </c>
      <c r="C523" s="2994">
        <v>84.15</v>
      </c>
      <c r="D523" s="2993" t="s">
        <v>3252</v>
      </c>
      <c r="E523" s="3002">
        <v>2524500</v>
      </c>
      <c r="F523" s="2993">
        <f t="shared" si="102"/>
        <v>29999.999999999996</v>
      </c>
    </row>
    <row r="524" spans="1:6" s="2993" customFormat="1">
      <c r="A524" s="3202"/>
      <c r="B524" s="2991" t="s">
        <v>3752</v>
      </c>
      <c r="C524" s="2994">
        <v>45.51</v>
      </c>
      <c r="D524" s="2993" t="s">
        <v>3254</v>
      </c>
      <c r="E524" s="3002">
        <v>420000</v>
      </c>
    </row>
    <row r="525" spans="1:6" s="2993" customFormat="1">
      <c r="A525" s="3202"/>
      <c r="B525" s="2991" t="s">
        <v>3753</v>
      </c>
      <c r="C525" s="2994">
        <v>45.51</v>
      </c>
      <c r="D525" s="2993" t="s">
        <v>3254</v>
      </c>
      <c r="E525" s="3002">
        <v>420000</v>
      </c>
    </row>
    <row r="526" spans="1:6" s="2993" customFormat="1">
      <c r="A526" s="3202">
        <v>107</v>
      </c>
      <c r="B526" s="2991" t="s">
        <v>3754</v>
      </c>
      <c r="C526" s="2994">
        <v>134.16999999999999</v>
      </c>
      <c r="D526" s="2993" t="s">
        <v>3257</v>
      </c>
      <c r="E526" s="3002">
        <v>7692826</v>
      </c>
    </row>
    <row r="527" spans="1:6" s="2993" customFormat="1">
      <c r="A527" s="3202"/>
      <c r="B527" s="2991" t="s">
        <v>3755</v>
      </c>
      <c r="C527" s="2995">
        <v>84.42</v>
      </c>
      <c r="D527" s="2993" t="s">
        <v>4487</v>
      </c>
      <c r="E527" s="2995">
        <v>2532600</v>
      </c>
      <c r="F527" s="2993">
        <f t="shared" ref="F527:F528" si="103">E527/C527</f>
        <v>30000</v>
      </c>
    </row>
    <row r="528" spans="1:6" s="2993" customFormat="1">
      <c r="A528" s="3202"/>
      <c r="B528" s="2991" t="s">
        <v>3756</v>
      </c>
      <c r="C528" s="2994">
        <v>84.15</v>
      </c>
      <c r="D528" s="2993" t="s">
        <v>3252</v>
      </c>
      <c r="E528" s="3002">
        <v>2524500</v>
      </c>
      <c r="F528" s="2993">
        <f t="shared" si="103"/>
        <v>29999.999999999996</v>
      </c>
    </row>
    <row r="529" spans="1:6" s="2993" customFormat="1">
      <c r="A529" s="3202"/>
      <c r="B529" s="2991" t="s">
        <v>3757</v>
      </c>
      <c r="C529" s="2994">
        <v>45.51</v>
      </c>
      <c r="D529" s="2993" t="s">
        <v>3254</v>
      </c>
      <c r="E529" s="3002">
        <v>420000</v>
      </c>
    </row>
    <row r="530" spans="1:6" s="2993" customFormat="1">
      <c r="A530" s="3202"/>
      <c r="B530" s="2991" t="s">
        <v>3758</v>
      </c>
      <c r="C530" s="2994">
        <v>45.51</v>
      </c>
      <c r="D530" s="2993" t="s">
        <v>3254</v>
      </c>
      <c r="E530" s="3002">
        <v>420000</v>
      </c>
    </row>
    <row r="531" spans="1:6" s="2993" customFormat="1">
      <c r="A531" s="3202">
        <v>108</v>
      </c>
      <c r="B531" s="2991" t="s">
        <v>3759</v>
      </c>
      <c r="C531" s="2995">
        <v>134.36000000000001</v>
      </c>
      <c r="D531" s="2993" t="s">
        <v>3257</v>
      </c>
      <c r="E531" s="2995">
        <v>8087437</v>
      </c>
    </row>
    <row r="532" spans="1:6" s="2993" customFormat="1">
      <c r="A532" s="3202"/>
      <c r="B532" s="2991" t="s">
        <v>3760</v>
      </c>
      <c r="C532" s="2994">
        <v>84.7</v>
      </c>
      <c r="D532" s="2993" t="s">
        <v>4487</v>
      </c>
      <c r="E532" s="3002">
        <v>2541000</v>
      </c>
      <c r="F532" s="2993">
        <f t="shared" ref="F532:F533" si="104">E532/C532</f>
        <v>30000</v>
      </c>
    </row>
    <row r="533" spans="1:6" s="2993" customFormat="1">
      <c r="A533" s="3202"/>
      <c r="B533" s="2991" t="s">
        <v>3761</v>
      </c>
      <c r="C533" s="2995">
        <v>84.15</v>
      </c>
      <c r="D533" s="2993" t="s">
        <v>3252</v>
      </c>
      <c r="E533" s="2995">
        <v>2524500</v>
      </c>
      <c r="F533" s="2993">
        <f t="shared" si="104"/>
        <v>29999.999999999996</v>
      </c>
    </row>
    <row r="534" spans="1:6" s="2993" customFormat="1">
      <c r="A534" s="3202"/>
      <c r="B534" s="2991" t="s">
        <v>3762</v>
      </c>
      <c r="C534" s="2994">
        <v>45.51</v>
      </c>
      <c r="D534" s="2993" t="s">
        <v>3254</v>
      </c>
      <c r="E534" s="3002">
        <v>420000</v>
      </c>
    </row>
    <row r="535" spans="1:6" s="2993" customFormat="1">
      <c r="A535" s="3202"/>
      <c r="B535" s="2991" t="s">
        <v>3763</v>
      </c>
      <c r="C535" s="2994">
        <v>45.51</v>
      </c>
      <c r="D535" s="2993" t="s">
        <v>3254</v>
      </c>
      <c r="E535" s="3002">
        <v>420000</v>
      </c>
    </row>
    <row r="536" spans="1:6" s="2993" customFormat="1">
      <c r="A536" s="3202">
        <v>109</v>
      </c>
      <c r="B536" s="2991" t="s">
        <v>3764</v>
      </c>
      <c r="C536" s="2994">
        <v>134.18</v>
      </c>
      <c r="D536" s="2993" t="s">
        <v>3257</v>
      </c>
      <c r="E536" s="3002">
        <v>8521503</v>
      </c>
    </row>
    <row r="537" spans="1:6" s="2993" customFormat="1">
      <c r="A537" s="3202"/>
      <c r="B537" s="2991" t="s">
        <v>3765</v>
      </c>
      <c r="C537" s="2995">
        <v>84.28</v>
      </c>
      <c r="D537" s="2993" t="s">
        <v>4487</v>
      </c>
      <c r="E537" s="2995">
        <v>2528400</v>
      </c>
      <c r="F537" s="2993">
        <f t="shared" ref="F537:F538" si="105">E537/C537</f>
        <v>30000</v>
      </c>
    </row>
    <row r="538" spans="1:6" s="2993" customFormat="1">
      <c r="A538" s="3202"/>
      <c r="B538" s="2991" t="s">
        <v>3766</v>
      </c>
      <c r="C538" s="2994">
        <v>83.43</v>
      </c>
      <c r="D538" s="2993" t="s">
        <v>3252</v>
      </c>
      <c r="E538" s="3002">
        <v>2502900</v>
      </c>
      <c r="F538" s="2993">
        <f t="shared" si="105"/>
        <v>29999.999999999996</v>
      </c>
    </row>
    <row r="539" spans="1:6" s="2993" customFormat="1">
      <c r="A539" s="3202"/>
      <c r="B539" s="2991" t="s">
        <v>3767</v>
      </c>
      <c r="C539" s="2994">
        <v>45.51</v>
      </c>
      <c r="D539" s="2993" t="s">
        <v>3254</v>
      </c>
      <c r="E539" s="3002">
        <v>420000</v>
      </c>
    </row>
    <row r="540" spans="1:6" s="2993" customFormat="1">
      <c r="A540" s="3202"/>
      <c r="B540" s="2991" t="s">
        <v>3768</v>
      </c>
      <c r="C540" s="2994">
        <v>45.51</v>
      </c>
      <c r="D540" s="2993" t="s">
        <v>3254</v>
      </c>
      <c r="E540" s="3002">
        <v>420000</v>
      </c>
    </row>
    <row r="541" spans="1:6" s="2993" customFormat="1">
      <c r="A541" s="3202">
        <v>110</v>
      </c>
      <c r="B541" s="2991" t="s">
        <v>3769</v>
      </c>
      <c r="C541" s="2994">
        <v>134.16999999999999</v>
      </c>
      <c r="D541" s="2993" t="s">
        <v>3257</v>
      </c>
      <c r="E541" s="3002">
        <v>7897602</v>
      </c>
    </row>
    <row r="542" spans="1:6" s="2993" customFormat="1">
      <c r="A542" s="3202"/>
      <c r="B542" s="2991" t="s">
        <v>3770</v>
      </c>
      <c r="C542" s="2995">
        <v>84.42</v>
      </c>
      <c r="D542" s="2993" t="s">
        <v>4487</v>
      </c>
      <c r="E542" s="2995">
        <v>2532600</v>
      </c>
      <c r="F542" s="2993">
        <f t="shared" ref="F542:F543" si="106">E542/C542</f>
        <v>30000</v>
      </c>
    </row>
    <row r="543" spans="1:6" s="2993" customFormat="1">
      <c r="A543" s="3202"/>
      <c r="B543" s="2991" t="s">
        <v>3771</v>
      </c>
      <c r="C543" s="2994">
        <v>84.15</v>
      </c>
      <c r="D543" s="2993" t="s">
        <v>3252</v>
      </c>
      <c r="E543" s="3002">
        <v>2524500</v>
      </c>
      <c r="F543" s="2993">
        <f t="shared" si="106"/>
        <v>29999.999999999996</v>
      </c>
    </row>
    <row r="544" spans="1:6" s="2993" customFormat="1">
      <c r="A544" s="3202"/>
      <c r="B544" s="2991" t="s">
        <v>3772</v>
      </c>
      <c r="C544" s="2994">
        <v>45.51</v>
      </c>
      <c r="D544" s="2993" t="s">
        <v>3254</v>
      </c>
      <c r="E544" s="3002">
        <v>420000</v>
      </c>
    </row>
    <row r="545" spans="1:6" s="2993" customFormat="1">
      <c r="A545" s="3202"/>
      <c r="B545" s="2991" t="s">
        <v>3773</v>
      </c>
      <c r="C545" s="2994">
        <v>45.51</v>
      </c>
      <c r="D545" s="2993" t="s">
        <v>3254</v>
      </c>
      <c r="E545" s="3002">
        <v>420000</v>
      </c>
    </row>
    <row r="546" spans="1:6" s="2993" customFormat="1">
      <c r="A546" s="3202">
        <v>111</v>
      </c>
      <c r="B546" s="2991" t="s">
        <v>3774</v>
      </c>
      <c r="C546" s="2995">
        <v>134.36000000000001</v>
      </c>
      <c r="D546" s="2993" t="s">
        <v>3257</v>
      </c>
      <c r="E546" s="2995">
        <v>8027795</v>
      </c>
    </row>
    <row r="547" spans="1:6" s="2993" customFormat="1">
      <c r="A547" s="3202"/>
      <c r="B547" s="2991" t="s">
        <v>3775</v>
      </c>
      <c r="C547" s="2994">
        <v>84.7</v>
      </c>
      <c r="D547" s="2993" t="s">
        <v>4487</v>
      </c>
      <c r="E547" s="3002">
        <v>2541000</v>
      </c>
      <c r="F547" s="2993">
        <f t="shared" ref="F547:F548" si="107">E547/C547</f>
        <v>30000</v>
      </c>
    </row>
    <row r="548" spans="1:6" s="2993" customFormat="1">
      <c r="A548" s="3202"/>
      <c r="B548" s="2991" t="s">
        <v>3776</v>
      </c>
      <c r="C548" s="2995">
        <v>84.15</v>
      </c>
      <c r="D548" s="2993" t="s">
        <v>3252</v>
      </c>
      <c r="E548" s="2995">
        <v>2524500</v>
      </c>
      <c r="F548" s="2993">
        <f t="shared" si="107"/>
        <v>29999.999999999996</v>
      </c>
    </row>
    <row r="549" spans="1:6" s="2993" customFormat="1">
      <c r="A549" s="3202"/>
      <c r="B549" s="2991" t="s">
        <v>3777</v>
      </c>
      <c r="C549" s="2994">
        <v>45.51</v>
      </c>
      <c r="D549" s="2993" t="s">
        <v>3254</v>
      </c>
      <c r="E549" s="3002">
        <v>420000</v>
      </c>
    </row>
    <row r="550" spans="1:6" s="2993" customFormat="1">
      <c r="A550" s="3202"/>
      <c r="B550" s="2991" t="s">
        <v>3778</v>
      </c>
      <c r="C550" s="2994">
        <v>45.51</v>
      </c>
      <c r="D550" s="2993" t="s">
        <v>3254</v>
      </c>
      <c r="E550" s="3002">
        <v>420000</v>
      </c>
    </row>
    <row r="551" spans="1:6" s="2993" customFormat="1">
      <c r="A551" s="3202">
        <v>112</v>
      </c>
      <c r="B551" s="2991" t="s">
        <v>3779</v>
      </c>
      <c r="C551" s="2994">
        <v>134.07</v>
      </c>
      <c r="D551" s="2993" t="s">
        <v>3257</v>
      </c>
      <c r="E551" s="3002">
        <v>8514518</v>
      </c>
    </row>
    <row r="552" spans="1:6" s="2993" customFormat="1">
      <c r="A552" s="3202"/>
      <c r="B552" s="2991" t="s">
        <v>3780</v>
      </c>
      <c r="C552" s="2995">
        <v>84.2</v>
      </c>
      <c r="D552" s="2993" t="s">
        <v>4487</v>
      </c>
      <c r="E552" s="2995">
        <v>2526000</v>
      </c>
      <c r="F552" s="2993">
        <f t="shared" ref="F552:F553" si="108">E552/C552</f>
        <v>30000</v>
      </c>
    </row>
    <row r="553" spans="1:6" s="2993" customFormat="1">
      <c r="A553" s="3202"/>
      <c r="B553" s="2991" t="s">
        <v>3781</v>
      </c>
      <c r="C553" s="2994">
        <v>83.37</v>
      </c>
      <c r="D553" s="2993" t="s">
        <v>3252</v>
      </c>
      <c r="E553" s="3002">
        <v>2501100</v>
      </c>
      <c r="F553" s="2993">
        <f t="shared" si="108"/>
        <v>30000</v>
      </c>
    </row>
    <row r="554" spans="1:6" s="2993" customFormat="1">
      <c r="A554" s="3202"/>
      <c r="B554" s="2991" t="s">
        <v>3782</v>
      </c>
      <c r="C554" s="2994">
        <v>45.51</v>
      </c>
      <c r="D554" s="2993" t="s">
        <v>3254</v>
      </c>
      <c r="E554" s="3002">
        <v>420000</v>
      </c>
    </row>
    <row r="555" spans="1:6" s="2993" customFormat="1">
      <c r="A555" s="3202"/>
      <c r="B555" s="2991" t="s">
        <v>3783</v>
      </c>
      <c r="C555" s="2994">
        <v>45.51</v>
      </c>
      <c r="D555" s="2993" t="s">
        <v>3254</v>
      </c>
      <c r="E555" s="3002">
        <v>420000</v>
      </c>
    </row>
    <row r="556" spans="1:6" s="2993" customFormat="1">
      <c r="A556" s="3202">
        <v>113</v>
      </c>
      <c r="B556" s="2991" t="s">
        <v>3784</v>
      </c>
      <c r="C556" s="2995">
        <v>134.07</v>
      </c>
      <c r="D556" s="2993" t="s">
        <v>3257</v>
      </c>
      <c r="E556" s="2995">
        <v>7694253</v>
      </c>
    </row>
    <row r="557" spans="1:6" s="2993" customFormat="1">
      <c r="A557" s="3202"/>
      <c r="B557" s="2991" t="s">
        <v>3785</v>
      </c>
      <c r="C557" s="2994">
        <v>84.35</v>
      </c>
      <c r="D557" s="2993" t="s">
        <v>4487</v>
      </c>
      <c r="E557" s="3002">
        <v>2530500</v>
      </c>
      <c r="F557" s="2993">
        <f t="shared" ref="F557:F558" si="109">E557/C557</f>
        <v>30000.000000000004</v>
      </c>
    </row>
    <row r="558" spans="1:6" s="2993" customFormat="1">
      <c r="A558" s="3202"/>
      <c r="B558" s="2991" t="s">
        <v>3786</v>
      </c>
      <c r="C558" s="2995">
        <v>84.09</v>
      </c>
      <c r="D558" s="2993" t="s">
        <v>3252</v>
      </c>
      <c r="E558" s="2995">
        <v>2522700</v>
      </c>
      <c r="F558" s="2993">
        <f t="shared" si="109"/>
        <v>30000</v>
      </c>
    </row>
    <row r="559" spans="1:6" s="2993" customFormat="1">
      <c r="A559" s="3202"/>
      <c r="B559" s="2991" t="s">
        <v>3787</v>
      </c>
      <c r="C559" s="2994">
        <v>45.51</v>
      </c>
      <c r="D559" s="2993" t="s">
        <v>3254</v>
      </c>
      <c r="E559" s="3002">
        <v>420000</v>
      </c>
    </row>
    <row r="560" spans="1:6" s="2993" customFormat="1">
      <c r="A560" s="3202"/>
      <c r="B560" s="2991" t="s">
        <v>3788</v>
      </c>
      <c r="C560" s="2994">
        <v>45.51</v>
      </c>
      <c r="D560" s="2993" t="s">
        <v>3254</v>
      </c>
      <c r="E560" s="3002">
        <v>420000</v>
      </c>
    </row>
    <row r="561" spans="1:6" s="2993" customFormat="1">
      <c r="A561" s="3202">
        <v>114</v>
      </c>
      <c r="B561" s="2991" t="s">
        <v>3789</v>
      </c>
      <c r="C561" s="2994">
        <v>134.07</v>
      </c>
      <c r="D561" s="2993" t="s">
        <v>3257</v>
      </c>
      <c r="E561" s="3002">
        <v>7694253</v>
      </c>
    </row>
    <row r="562" spans="1:6" s="2993" customFormat="1">
      <c r="A562" s="3202"/>
      <c r="B562" s="2991" t="s">
        <v>3790</v>
      </c>
      <c r="C562" s="2995">
        <v>84.35</v>
      </c>
      <c r="D562" s="2993" t="s">
        <v>4487</v>
      </c>
      <c r="E562" s="2995">
        <v>2530500</v>
      </c>
      <c r="F562" s="2993">
        <f t="shared" ref="F562:F563" si="110">E562/C562</f>
        <v>30000.000000000004</v>
      </c>
    </row>
    <row r="563" spans="1:6" s="2993" customFormat="1">
      <c r="A563" s="3202"/>
      <c r="B563" s="2991" t="s">
        <v>3791</v>
      </c>
      <c r="C563" s="2994">
        <v>84.09</v>
      </c>
      <c r="D563" s="2993" t="s">
        <v>3252</v>
      </c>
      <c r="E563" s="3002">
        <v>2522700</v>
      </c>
      <c r="F563" s="2993">
        <f t="shared" si="110"/>
        <v>30000</v>
      </c>
    </row>
    <row r="564" spans="1:6" s="2993" customFormat="1">
      <c r="A564" s="3202"/>
      <c r="B564" s="2991" t="s">
        <v>3792</v>
      </c>
      <c r="C564" s="2994">
        <v>45.51</v>
      </c>
      <c r="D564" s="2993" t="s">
        <v>3254</v>
      </c>
      <c r="E564" s="3002">
        <v>420000</v>
      </c>
    </row>
    <row r="565" spans="1:6" s="2993" customFormat="1">
      <c r="A565" s="3202"/>
      <c r="B565" s="2991" t="s">
        <v>3793</v>
      </c>
      <c r="C565" s="2994">
        <v>45.51</v>
      </c>
      <c r="D565" s="2993" t="s">
        <v>3254</v>
      </c>
      <c r="E565" s="3002">
        <v>420000</v>
      </c>
    </row>
    <row r="566" spans="1:6" s="2993" customFormat="1">
      <c r="A566" s="3202">
        <v>115</v>
      </c>
      <c r="B566" s="2991" t="s">
        <v>3794</v>
      </c>
      <c r="C566" s="2995">
        <v>134.26</v>
      </c>
      <c r="D566" s="2993" t="s">
        <v>3257</v>
      </c>
      <c r="E566" s="2995">
        <v>7824055</v>
      </c>
    </row>
    <row r="567" spans="1:6" s="2993" customFormat="1">
      <c r="A567" s="3202"/>
      <c r="B567" s="2991" t="s">
        <v>3795</v>
      </c>
      <c r="C567" s="2994">
        <v>84.61</v>
      </c>
      <c r="D567" s="2993" t="s">
        <v>4487</v>
      </c>
      <c r="E567" s="3002">
        <v>2538300</v>
      </c>
      <c r="F567" s="2993">
        <f t="shared" ref="F567:F568" si="111">E567/C567</f>
        <v>30000</v>
      </c>
    </row>
    <row r="568" spans="1:6" s="2993" customFormat="1">
      <c r="A568" s="3202"/>
      <c r="B568" s="2991" t="s">
        <v>3796</v>
      </c>
      <c r="C568" s="2995">
        <v>84.09</v>
      </c>
      <c r="D568" s="2993" t="s">
        <v>3252</v>
      </c>
      <c r="E568" s="2995">
        <v>2522700</v>
      </c>
      <c r="F568" s="2993">
        <f t="shared" si="111"/>
        <v>30000</v>
      </c>
    </row>
    <row r="569" spans="1:6" s="2993" customFormat="1">
      <c r="A569" s="3202"/>
      <c r="B569" s="2991" t="s">
        <v>3797</v>
      </c>
      <c r="C569" s="2994">
        <v>45.51</v>
      </c>
      <c r="D569" s="2993" t="s">
        <v>3254</v>
      </c>
      <c r="E569" s="3002">
        <v>420000</v>
      </c>
    </row>
    <row r="570" spans="1:6" s="2993" customFormat="1">
      <c r="A570" s="3202"/>
      <c r="B570" s="2991" t="s">
        <v>3798</v>
      </c>
      <c r="C570" s="2994">
        <v>45.51</v>
      </c>
      <c r="D570" s="2993" t="s">
        <v>3254</v>
      </c>
      <c r="E570" s="3002">
        <v>420000</v>
      </c>
    </row>
    <row r="571" spans="1:6" s="2993" customFormat="1">
      <c r="A571" s="3202">
        <v>116</v>
      </c>
      <c r="B571" s="2991" t="s">
        <v>3799</v>
      </c>
      <c r="C571" s="2995">
        <v>134.07</v>
      </c>
      <c r="D571" s="2993" t="s">
        <v>3257</v>
      </c>
      <c r="E571" s="2995">
        <v>7891720</v>
      </c>
    </row>
    <row r="572" spans="1:6" s="2993" customFormat="1">
      <c r="A572" s="3202"/>
      <c r="B572" s="2991" t="s">
        <v>3800</v>
      </c>
      <c r="C572" s="2994">
        <v>84.35</v>
      </c>
      <c r="D572" s="2993" t="s">
        <v>4487</v>
      </c>
      <c r="E572" s="3002">
        <v>2530500</v>
      </c>
      <c r="F572" s="2993">
        <f t="shared" ref="F572:F573" si="112">E572/C572</f>
        <v>30000.000000000004</v>
      </c>
    </row>
    <row r="573" spans="1:6" s="2993" customFormat="1">
      <c r="A573" s="3202"/>
      <c r="B573" s="2991" t="s">
        <v>3801</v>
      </c>
      <c r="C573" s="2995">
        <v>84.09</v>
      </c>
      <c r="D573" s="2993" t="s">
        <v>3252</v>
      </c>
      <c r="E573" s="2995">
        <v>2522700</v>
      </c>
      <c r="F573" s="2993">
        <f t="shared" si="112"/>
        <v>30000</v>
      </c>
    </row>
    <row r="574" spans="1:6" s="2993" customFormat="1">
      <c r="A574" s="3202"/>
      <c r="B574" s="2991" t="s">
        <v>3802</v>
      </c>
      <c r="C574" s="2994">
        <v>45.51</v>
      </c>
      <c r="D574" s="2993" t="s">
        <v>3254</v>
      </c>
      <c r="E574" s="3002">
        <v>420000</v>
      </c>
    </row>
    <row r="575" spans="1:6" s="2993" customFormat="1">
      <c r="A575" s="3202"/>
      <c r="B575" s="2991" t="s">
        <v>3803</v>
      </c>
      <c r="C575" s="2994">
        <v>45.51</v>
      </c>
      <c r="D575" s="2993" t="s">
        <v>3254</v>
      </c>
      <c r="E575" s="3002">
        <v>420000</v>
      </c>
    </row>
    <row r="576" spans="1:6" s="2993" customFormat="1">
      <c r="A576" s="3202">
        <v>117</v>
      </c>
      <c r="B576" s="2991" t="s">
        <v>3804</v>
      </c>
      <c r="C576" s="2994">
        <v>134.07</v>
      </c>
      <c r="D576" s="2993" t="s">
        <v>3257</v>
      </c>
      <c r="E576" s="3002">
        <v>7891720</v>
      </c>
    </row>
    <row r="577" spans="1:6" s="2993" customFormat="1">
      <c r="A577" s="3202"/>
      <c r="B577" s="2991" t="s">
        <v>3805</v>
      </c>
      <c r="C577" s="2995">
        <v>84.35</v>
      </c>
      <c r="D577" s="2993" t="s">
        <v>4487</v>
      </c>
      <c r="E577" s="2995">
        <v>2530500</v>
      </c>
      <c r="F577" s="2993">
        <f t="shared" ref="F577:F578" si="113">E577/C577</f>
        <v>30000.000000000004</v>
      </c>
    </row>
    <row r="578" spans="1:6" s="2993" customFormat="1">
      <c r="A578" s="3202"/>
      <c r="B578" s="2991" t="s">
        <v>3806</v>
      </c>
      <c r="C578" s="2994">
        <v>84.09</v>
      </c>
      <c r="D578" s="2993" t="s">
        <v>3252</v>
      </c>
      <c r="E578" s="3002">
        <v>2522700</v>
      </c>
      <c r="F578" s="2993">
        <f t="shared" si="113"/>
        <v>30000</v>
      </c>
    </row>
    <row r="579" spans="1:6" s="2993" customFormat="1">
      <c r="A579" s="3202"/>
      <c r="B579" s="2991" t="s">
        <v>3807</v>
      </c>
      <c r="C579" s="2994">
        <v>45.51</v>
      </c>
      <c r="D579" s="2993" t="s">
        <v>3254</v>
      </c>
      <c r="E579" s="3002">
        <v>420000</v>
      </c>
    </row>
    <row r="580" spans="1:6" s="2993" customFormat="1">
      <c r="A580" s="3202"/>
      <c r="B580" s="2991" t="s">
        <v>3808</v>
      </c>
      <c r="C580" s="2994">
        <v>45.51</v>
      </c>
      <c r="D580" s="2993" t="s">
        <v>3254</v>
      </c>
      <c r="E580" s="3002">
        <v>420000</v>
      </c>
    </row>
    <row r="581" spans="1:6" s="2993" customFormat="1">
      <c r="A581" s="3202">
        <v>118</v>
      </c>
      <c r="B581" s="2991" t="s">
        <v>3809</v>
      </c>
      <c r="C581" s="2995">
        <v>134.26</v>
      </c>
      <c r="D581" s="2993" t="s">
        <v>3257</v>
      </c>
      <c r="E581" s="2995">
        <v>8021811</v>
      </c>
    </row>
    <row r="582" spans="1:6" s="2993" customFormat="1">
      <c r="A582" s="3202"/>
      <c r="B582" s="2991" t="s">
        <v>3810</v>
      </c>
      <c r="C582" s="2994">
        <v>84.61</v>
      </c>
      <c r="D582" s="2993" t="s">
        <v>4487</v>
      </c>
      <c r="E582" s="3002">
        <v>2538300</v>
      </c>
      <c r="F582" s="2993">
        <f t="shared" ref="F582:F583" si="114">E582/C582</f>
        <v>30000</v>
      </c>
    </row>
    <row r="583" spans="1:6" s="2993" customFormat="1">
      <c r="A583" s="3202"/>
      <c r="B583" s="2991" t="s">
        <v>3811</v>
      </c>
      <c r="C583" s="2995">
        <v>84.09</v>
      </c>
      <c r="D583" s="2993" t="s">
        <v>3252</v>
      </c>
      <c r="E583" s="2995">
        <v>2522700</v>
      </c>
      <c r="F583" s="2993">
        <f t="shared" si="114"/>
        <v>30000</v>
      </c>
    </row>
    <row r="584" spans="1:6" s="2993" customFormat="1">
      <c r="A584" s="3202"/>
      <c r="B584" s="2991" t="s">
        <v>3812</v>
      </c>
      <c r="C584" s="2994">
        <v>45.51</v>
      </c>
      <c r="D584" s="2993" t="s">
        <v>3254</v>
      </c>
      <c r="E584" s="3002">
        <v>420000</v>
      </c>
    </row>
    <row r="585" spans="1:6" s="2993" customFormat="1">
      <c r="A585" s="3202"/>
      <c r="B585" s="2991" t="s">
        <v>3813</v>
      </c>
      <c r="C585" s="2994">
        <v>45.51</v>
      </c>
      <c r="D585" s="2993" t="s">
        <v>3254</v>
      </c>
      <c r="E585" s="3002">
        <v>420000</v>
      </c>
    </row>
    <row r="586" spans="1:6" s="2993" customFormat="1">
      <c r="A586" s="3202">
        <v>119</v>
      </c>
      <c r="B586" s="2991" t="s">
        <v>3814</v>
      </c>
      <c r="C586" s="2994">
        <v>134.02000000000001</v>
      </c>
      <c r="D586" s="2993" t="s">
        <v>3257</v>
      </c>
      <c r="E586" s="3002">
        <v>8511342</v>
      </c>
    </row>
    <row r="587" spans="1:6" s="2993" customFormat="1">
      <c r="A587" s="3202"/>
      <c r="B587" s="2991" t="s">
        <v>3815</v>
      </c>
      <c r="C587" s="2995">
        <v>84.18</v>
      </c>
      <c r="D587" s="2993" t="s">
        <v>4487</v>
      </c>
      <c r="E587" s="2995">
        <v>2525400</v>
      </c>
      <c r="F587" s="2993">
        <f t="shared" ref="F587:F588" si="115">E587/C587</f>
        <v>29999.999999999996</v>
      </c>
    </row>
    <row r="588" spans="1:6" s="2993" customFormat="1">
      <c r="A588" s="3202"/>
      <c r="B588" s="2991" t="s">
        <v>3816</v>
      </c>
      <c r="C588" s="2994">
        <v>83.36</v>
      </c>
      <c r="D588" s="2993" t="s">
        <v>3379</v>
      </c>
      <c r="E588" s="3002">
        <v>2500800</v>
      </c>
      <c r="F588" s="2993">
        <f t="shared" si="115"/>
        <v>30000</v>
      </c>
    </row>
    <row r="589" spans="1:6" s="2993" customFormat="1">
      <c r="A589" s="3202"/>
      <c r="B589" s="2991" t="s">
        <v>3817</v>
      </c>
      <c r="C589" s="2994">
        <v>45.51</v>
      </c>
      <c r="D589" s="2993" t="s">
        <v>3381</v>
      </c>
      <c r="E589" s="3002">
        <v>420000</v>
      </c>
    </row>
    <row r="590" spans="1:6" s="2993" customFormat="1">
      <c r="A590" s="3202"/>
      <c r="B590" s="2991" t="s">
        <v>3818</v>
      </c>
      <c r="C590" s="2994">
        <v>45.51</v>
      </c>
      <c r="D590" s="2993" t="s">
        <v>3381</v>
      </c>
      <c r="E590" s="3002">
        <v>420000</v>
      </c>
    </row>
    <row r="591" spans="1:6" s="2993" customFormat="1">
      <c r="A591" s="3202">
        <v>120</v>
      </c>
      <c r="B591" s="2991" t="s">
        <v>3819</v>
      </c>
      <c r="C591" s="2995">
        <v>134.02000000000001</v>
      </c>
      <c r="D591" s="2993" t="s">
        <v>3384</v>
      </c>
      <c r="E591" s="2995">
        <v>7691338</v>
      </c>
    </row>
    <row r="592" spans="1:6" s="2993" customFormat="1">
      <c r="A592" s="3202"/>
      <c r="B592" s="2991" t="s">
        <v>3820</v>
      </c>
      <c r="C592" s="2994">
        <v>84.33</v>
      </c>
      <c r="D592" s="2993" t="s">
        <v>4487</v>
      </c>
      <c r="E592" s="3002">
        <v>2529900</v>
      </c>
      <c r="F592" s="2993">
        <f t="shared" ref="F592:F593" si="116">E592/C592</f>
        <v>30000</v>
      </c>
    </row>
    <row r="593" spans="1:6" s="2993" customFormat="1">
      <c r="A593" s="3202"/>
      <c r="B593" s="2991" t="s">
        <v>3821</v>
      </c>
      <c r="C593" s="2995">
        <v>84.08</v>
      </c>
      <c r="D593" s="2993" t="s">
        <v>3252</v>
      </c>
      <c r="E593" s="2995">
        <v>2522400</v>
      </c>
      <c r="F593" s="2993">
        <f t="shared" si="116"/>
        <v>30000</v>
      </c>
    </row>
    <row r="594" spans="1:6" s="2993" customFormat="1">
      <c r="A594" s="3202"/>
      <c r="B594" s="2991" t="s">
        <v>3822</v>
      </c>
      <c r="C594" s="2994">
        <v>45.51</v>
      </c>
      <c r="D594" s="2993" t="s">
        <v>3254</v>
      </c>
      <c r="E594" s="3002">
        <v>420000</v>
      </c>
    </row>
    <row r="595" spans="1:6" s="2993" customFormat="1">
      <c r="A595" s="3202"/>
      <c r="B595" s="2991" t="s">
        <v>3823</v>
      </c>
      <c r="C595" s="2994">
        <v>45.51</v>
      </c>
      <c r="D595" s="2993" t="s">
        <v>3254</v>
      </c>
      <c r="E595" s="3002">
        <v>420000</v>
      </c>
    </row>
    <row r="596" spans="1:6" s="2993" customFormat="1">
      <c r="A596" s="3202">
        <v>121</v>
      </c>
      <c r="B596" s="2991" t="s">
        <v>3824</v>
      </c>
      <c r="C596" s="2994">
        <v>134.02000000000001</v>
      </c>
      <c r="D596" s="2993" t="s">
        <v>3257</v>
      </c>
      <c r="E596" s="3002">
        <v>7691338</v>
      </c>
    </row>
    <row r="597" spans="1:6" s="2993" customFormat="1">
      <c r="A597" s="3202"/>
      <c r="B597" s="2991" t="s">
        <v>3825</v>
      </c>
      <c r="C597" s="2995">
        <v>84.33</v>
      </c>
      <c r="D597" s="2993" t="s">
        <v>4487</v>
      </c>
      <c r="E597" s="2995">
        <v>2529900</v>
      </c>
      <c r="F597" s="2993">
        <f t="shared" ref="F597:F598" si="117">E597/C597</f>
        <v>30000</v>
      </c>
    </row>
    <row r="598" spans="1:6" s="2997" customFormat="1">
      <c r="A598" s="3202"/>
      <c r="B598" s="2991" t="s">
        <v>3826</v>
      </c>
      <c r="C598" s="2994">
        <v>84.08</v>
      </c>
      <c r="D598" s="2993" t="s">
        <v>3241</v>
      </c>
      <c r="E598" s="3002">
        <v>2522400</v>
      </c>
      <c r="F598" s="2993">
        <f t="shared" si="117"/>
        <v>30000</v>
      </c>
    </row>
    <row r="599" spans="1:6" s="2993" customFormat="1">
      <c r="A599" s="3202"/>
      <c r="B599" s="2991" t="s">
        <v>3827</v>
      </c>
      <c r="C599" s="2994">
        <v>45.51</v>
      </c>
      <c r="D599" s="2993" t="s">
        <v>3381</v>
      </c>
      <c r="E599" s="3002">
        <v>420000</v>
      </c>
    </row>
    <row r="600" spans="1:6" s="2993" customFormat="1">
      <c r="A600" s="3202"/>
      <c r="B600" s="2991" t="s">
        <v>3828</v>
      </c>
      <c r="C600" s="2994">
        <v>45.51</v>
      </c>
      <c r="D600" s="2993" t="s">
        <v>3381</v>
      </c>
      <c r="E600" s="3002">
        <v>420000</v>
      </c>
    </row>
    <row r="601" spans="1:6" s="2993" customFormat="1">
      <c r="A601" s="3202">
        <v>122</v>
      </c>
      <c r="B601" s="2991" t="s">
        <v>3829</v>
      </c>
      <c r="C601" s="2994">
        <v>134.02000000000001</v>
      </c>
      <c r="D601" s="2993" t="s">
        <v>3384</v>
      </c>
      <c r="E601" s="3002">
        <v>8511342</v>
      </c>
    </row>
    <row r="602" spans="1:6" s="2993" customFormat="1">
      <c r="A602" s="3202"/>
      <c r="B602" s="2991" t="s">
        <v>3830</v>
      </c>
      <c r="C602" s="2995">
        <v>84.18</v>
      </c>
      <c r="D602" s="2993" t="s">
        <v>4487</v>
      </c>
      <c r="E602" s="2995">
        <v>2525400</v>
      </c>
      <c r="F602" s="2993">
        <f t="shared" ref="F602:F603" si="118">E602/C602</f>
        <v>29999.999999999996</v>
      </c>
    </row>
    <row r="603" spans="1:6" s="2993" customFormat="1">
      <c r="A603" s="3202"/>
      <c r="B603" s="2991" t="s">
        <v>3831</v>
      </c>
      <c r="C603" s="2994">
        <v>83.36</v>
      </c>
      <c r="D603" s="2993" t="s">
        <v>3379</v>
      </c>
      <c r="E603" s="3002">
        <v>2500800</v>
      </c>
      <c r="F603" s="2993">
        <f t="shared" si="118"/>
        <v>30000</v>
      </c>
    </row>
    <row r="604" spans="1:6" s="2993" customFormat="1">
      <c r="A604" s="3202"/>
      <c r="B604" s="2991" t="s">
        <v>3832</v>
      </c>
      <c r="C604" s="2994">
        <v>45.51</v>
      </c>
      <c r="D604" s="2993" t="s">
        <v>3381</v>
      </c>
      <c r="E604" s="3002">
        <v>420000</v>
      </c>
    </row>
    <row r="605" spans="1:6" s="2993" customFormat="1">
      <c r="A605" s="3202"/>
      <c r="B605" s="2991" t="s">
        <v>3833</v>
      </c>
      <c r="C605" s="2994">
        <v>45.51</v>
      </c>
      <c r="D605" s="2993" t="s">
        <v>3381</v>
      </c>
      <c r="E605" s="3002">
        <v>420000</v>
      </c>
    </row>
    <row r="606" spans="1:6" s="2993" customFormat="1">
      <c r="A606" s="3202">
        <v>123</v>
      </c>
      <c r="B606" s="2991" t="s">
        <v>3834</v>
      </c>
      <c r="C606" s="2994">
        <v>134.02000000000001</v>
      </c>
      <c r="D606" s="2993" t="s">
        <v>3384</v>
      </c>
      <c r="E606" s="3002">
        <v>7967708</v>
      </c>
    </row>
    <row r="607" spans="1:6" s="2993" customFormat="1">
      <c r="A607" s="3202"/>
      <c r="B607" s="2991" t="s">
        <v>3835</v>
      </c>
      <c r="C607" s="2995">
        <v>84.33</v>
      </c>
      <c r="D607" s="2993" t="s">
        <v>4487</v>
      </c>
      <c r="E607" s="2995">
        <v>2529900</v>
      </c>
      <c r="F607" s="2993">
        <f t="shared" ref="F607:F608" si="119">E607/C607</f>
        <v>30000</v>
      </c>
    </row>
    <row r="608" spans="1:6" s="2993" customFormat="1">
      <c r="A608" s="3202"/>
      <c r="B608" s="2991" t="s">
        <v>3836</v>
      </c>
      <c r="C608" s="2994">
        <v>84.08</v>
      </c>
      <c r="D608" s="2993" t="s">
        <v>3379</v>
      </c>
      <c r="E608" s="3002">
        <v>2522400</v>
      </c>
      <c r="F608" s="2993">
        <f t="shared" si="119"/>
        <v>30000</v>
      </c>
    </row>
    <row r="609" spans="1:6" s="2993" customFormat="1">
      <c r="A609" s="3202"/>
      <c r="B609" s="2991" t="s">
        <v>3837</v>
      </c>
      <c r="C609" s="2994">
        <v>45.51</v>
      </c>
      <c r="D609" s="2993" t="s">
        <v>3381</v>
      </c>
      <c r="E609" s="3002">
        <v>420000</v>
      </c>
    </row>
    <row r="610" spans="1:6" s="2993" customFormat="1">
      <c r="A610" s="3202"/>
      <c r="B610" s="2991" t="s">
        <v>3838</v>
      </c>
      <c r="C610" s="2994">
        <v>45.51</v>
      </c>
      <c r="D610" s="2993" t="s">
        <v>3381</v>
      </c>
      <c r="E610" s="3002">
        <v>420000</v>
      </c>
    </row>
    <row r="611" spans="1:6" s="2993" customFormat="1">
      <c r="A611" s="3202">
        <v>124</v>
      </c>
      <c r="B611" s="2991" t="s">
        <v>3839</v>
      </c>
      <c r="C611" s="2996">
        <v>223.12</v>
      </c>
      <c r="D611" s="2993" t="s">
        <v>3384</v>
      </c>
      <c r="E611" s="2996">
        <v>14169905</v>
      </c>
    </row>
    <row r="612" spans="1:6" s="2993" customFormat="1">
      <c r="A612" s="3202"/>
      <c r="B612" s="2991" t="s">
        <v>3840</v>
      </c>
      <c r="C612" s="2996">
        <v>292.07</v>
      </c>
      <c r="D612" s="2993" t="s">
        <v>4487</v>
      </c>
      <c r="E612" s="2996">
        <v>8762100</v>
      </c>
      <c r="F612" s="2993">
        <f t="shared" ref="F612:F613" si="120">E612/C612</f>
        <v>30000</v>
      </c>
    </row>
    <row r="613" spans="1:6" s="2993" customFormat="1">
      <c r="A613" s="3202"/>
      <c r="B613" s="2991" t="s">
        <v>3841</v>
      </c>
      <c r="C613" s="2992">
        <v>70.25</v>
      </c>
      <c r="D613" s="2993" t="s">
        <v>3252</v>
      </c>
      <c r="E613" s="2992">
        <v>2107500</v>
      </c>
      <c r="F613" s="2993">
        <f t="shared" si="120"/>
        <v>30000</v>
      </c>
    </row>
    <row r="614" spans="1:6" s="2993" customFormat="1">
      <c r="A614" s="3202"/>
      <c r="B614" s="2991" t="s">
        <v>3842</v>
      </c>
      <c r="C614" s="2994">
        <v>45.51</v>
      </c>
      <c r="D614" s="2993" t="s">
        <v>3254</v>
      </c>
      <c r="E614" s="3002">
        <v>420000</v>
      </c>
    </row>
    <row r="615" spans="1:6" s="2993" customFormat="1">
      <c r="A615" s="3202"/>
      <c r="B615" s="2991" t="s">
        <v>3843</v>
      </c>
      <c r="C615" s="2994">
        <v>45.51</v>
      </c>
      <c r="D615" s="2993" t="s">
        <v>3254</v>
      </c>
      <c r="E615" s="3002">
        <v>420000</v>
      </c>
    </row>
    <row r="616" spans="1:6" s="2993" customFormat="1">
      <c r="A616" s="3202">
        <v>125</v>
      </c>
      <c r="B616" s="2991" t="s">
        <v>3844</v>
      </c>
      <c r="C616" s="2996">
        <v>223.02</v>
      </c>
      <c r="D616" s="2993" t="s">
        <v>3257</v>
      </c>
      <c r="E616" s="2996">
        <v>14163554</v>
      </c>
    </row>
    <row r="617" spans="1:6" s="2993" customFormat="1">
      <c r="A617" s="3202"/>
      <c r="B617" s="2991" t="s">
        <v>3845</v>
      </c>
      <c r="C617" s="2996">
        <v>292.10000000000002</v>
      </c>
      <c r="D617" s="2993" t="s">
        <v>4487</v>
      </c>
      <c r="E617" s="2996">
        <v>8763000</v>
      </c>
      <c r="F617" s="2993">
        <f t="shared" ref="F617:F618" si="121">E617/C617</f>
        <v>29999.999999999996</v>
      </c>
    </row>
    <row r="618" spans="1:6" s="2993" customFormat="1">
      <c r="A618" s="3202"/>
      <c r="B618" s="2991" t="s">
        <v>3846</v>
      </c>
      <c r="C618" s="2996">
        <v>70.25</v>
      </c>
      <c r="D618" s="2993" t="s">
        <v>3252</v>
      </c>
      <c r="E618" s="2996">
        <v>2107500</v>
      </c>
      <c r="F618" s="2993">
        <f t="shared" si="121"/>
        <v>30000</v>
      </c>
    </row>
    <row r="619" spans="1:6" s="2993" customFormat="1">
      <c r="A619" s="3202"/>
      <c r="B619" s="2991" t="s">
        <v>3847</v>
      </c>
      <c r="C619" s="2994">
        <v>45.51</v>
      </c>
      <c r="D619" s="2993" t="s">
        <v>3254</v>
      </c>
      <c r="E619" s="3002">
        <v>420000</v>
      </c>
    </row>
    <row r="620" spans="1:6" s="2993" customFormat="1">
      <c r="A620" s="3202"/>
      <c r="B620" s="2991" t="s">
        <v>3848</v>
      </c>
      <c r="C620" s="2994">
        <v>45.51</v>
      </c>
      <c r="D620" s="2993" t="s">
        <v>3254</v>
      </c>
      <c r="E620" s="3002">
        <v>420000</v>
      </c>
    </row>
    <row r="621" spans="1:6" s="2993" customFormat="1">
      <c r="A621" s="3202">
        <v>126</v>
      </c>
      <c r="B621" s="2991" t="s">
        <v>3849</v>
      </c>
      <c r="C621" s="2998">
        <v>223.12</v>
      </c>
      <c r="D621" s="2993" t="s">
        <v>3257</v>
      </c>
      <c r="E621" s="2991">
        <v>14169905</v>
      </c>
    </row>
    <row r="622" spans="1:6" s="2993" customFormat="1">
      <c r="A622" s="3202"/>
      <c r="B622" s="2991" t="s">
        <v>3850</v>
      </c>
      <c r="C622" s="2998">
        <v>292.07</v>
      </c>
      <c r="D622" s="2993" t="s">
        <v>4487</v>
      </c>
      <c r="E622" s="2991">
        <v>8762100</v>
      </c>
      <c r="F622" s="2993">
        <f t="shared" ref="F622:F623" si="122">E622/C622</f>
        <v>30000</v>
      </c>
    </row>
    <row r="623" spans="1:6" s="2993" customFormat="1">
      <c r="A623" s="3202"/>
      <c r="B623" s="2991" t="s">
        <v>3851</v>
      </c>
      <c r="C623" s="2992">
        <v>70.25</v>
      </c>
      <c r="D623" s="2993" t="s">
        <v>3252</v>
      </c>
      <c r="E623" s="2992">
        <v>2107500</v>
      </c>
      <c r="F623" s="2993">
        <f t="shared" si="122"/>
        <v>30000</v>
      </c>
    </row>
    <row r="624" spans="1:6" s="2993" customFormat="1">
      <c r="A624" s="3202"/>
      <c r="B624" s="2991" t="s">
        <v>3852</v>
      </c>
      <c r="C624" s="2994">
        <v>45.51</v>
      </c>
      <c r="D624" s="2993" t="s">
        <v>3254</v>
      </c>
      <c r="E624" s="3002">
        <v>420000</v>
      </c>
    </row>
    <row r="625" spans="1:6" s="2993" customFormat="1">
      <c r="A625" s="3202"/>
      <c r="B625" s="2991" t="s">
        <v>3853</v>
      </c>
      <c r="C625" s="2994">
        <v>45.51</v>
      </c>
      <c r="D625" s="2993" t="s">
        <v>3235</v>
      </c>
      <c r="E625" s="3002">
        <v>420000</v>
      </c>
    </row>
    <row r="626" spans="1:6" s="2993" customFormat="1">
      <c r="A626" s="3202">
        <v>127</v>
      </c>
      <c r="B626" s="2991" t="s">
        <v>3854</v>
      </c>
      <c r="C626" s="2992">
        <v>223.02</v>
      </c>
      <c r="D626" s="2993" t="s">
        <v>3238</v>
      </c>
      <c r="E626" s="2995">
        <v>14163554</v>
      </c>
    </row>
    <row r="627" spans="1:6" s="2993" customFormat="1">
      <c r="A627" s="3202"/>
      <c r="B627" s="2991" t="s">
        <v>3855</v>
      </c>
      <c r="C627" s="2992">
        <v>292.10000000000002</v>
      </c>
      <c r="D627" s="2993" t="s">
        <v>4487</v>
      </c>
      <c r="E627" s="2995">
        <v>8763000</v>
      </c>
      <c r="F627" s="2993">
        <f t="shared" ref="F627:F628" si="123">E627/C627</f>
        <v>29999.999999999996</v>
      </c>
    </row>
    <row r="628" spans="1:6" s="2993" customFormat="1">
      <c r="A628" s="3202"/>
      <c r="B628" s="2991" t="s">
        <v>3856</v>
      </c>
      <c r="C628" s="2992">
        <v>70.25</v>
      </c>
      <c r="D628" s="2993" t="s">
        <v>3241</v>
      </c>
      <c r="E628" s="2992">
        <v>2107500</v>
      </c>
      <c r="F628" s="2993">
        <f t="shared" si="123"/>
        <v>30000</v>
      </c>
    </row>
    <row r="629" spans="1:6" s="2993" customFormat="1">
      <c r="A629" s="3202"/>
      <c r="B629" s="2991" t="s">
        <v>3857</v>
      </c>
      <c r="C629" s="2994">
        <v>45.51</v>
      </c>
      <c r="D629" s="2993" t="s">
        <v>3235</v>
      </c>
      <c r="E629" s="3002">
        <v>420000</v>
      </c>
    </row>
    <row r="630" spans="1:6" s="2993" customFormat="1">
      <c r="A630" s="3202"/>
      <c r="B630" s="2991" t="s">
        <v>3858</v>
      </c>
      <c r="C630" s="2994">
        <v>45.51</v>
      </c>
      <c r="D630" s="2993" t="s">
        <v>3235</v>
      </c>
      <c r="E630" s="3002">
        <v>420000</v>
      </c>
    </row>
    <row r="631" spans="1:6" s="2993" customFormat="1">
      <c r="A631" s="3202">
        <v>128</v>
      </c>
      <c r="B631" s="2991" t="s">
        <v>3859</v>
      </c>
      <c r="C631" s="2994">
        <v>134.21</v>
      </c>
      <c r="D631" s="2993" t="s">
        <v>3238</v>
      </c>
      <c r="E631" s="3002">
        <v>7900219</v>
      </c>
    </row>
    <row r="632" spans="1:6" s="2993" customFormat="1">
      <c r="A632" s="3202"/>
      <c r="B632" s="2991" t="s">
        <v>3860</v>
      </c>
      <c r="C632" s="2995">
        <v>84.6</v>
      </c>
      <c r="D632" s="2993" t="s">
        <v>4487</v>
      </c>
      <c r="E632" s="2995">
        <v>2538000</v>
      </c>
      <c r="F632" s="2993">
        <f t="shared" ref="F632:F633" si="124">E632/C632</f>
        <v>30000.000000000004</v>
      </c>
    </row>
    <row r="633" spans="1:6" s="2993" customFormat="1">
      <c r="A633" s="3202"/>
      <c r="B633" s="2991" t="s">
        <v>3861</v>
      </c>
      <c r="C633" s="2994">
        <v>84.08</v>
      </c>
      <c r="D633" s="2993" t="s">
        <v>3241</v>
      </c>
      <c r="E633" s="3002">
        <v>2522400</v>
      </c>
      <c r="F633" s="2993">
        <f t="shared" si="124"/>
        <v>30000</v>
      </c>
    </row>
    <row r="634" spans="1:6" s="2993" customFormat="1">
      <c r="A634" s="3202"/>
      <c r="B634" s="2991" t="s">
        <v>3862</v>
      </c>
      <c r="C634" s="2994">
        <v>45.51</v>
      </c>
      <c r="D634" s="2993" t="s">
        <v>3235</v>
      </c>
      <c r="E634" s="3002">
        <v>420000</v>
      </c>
    </row>
    <row r="635" spans="1:6" s="2993" customFormat="1">
      <c r="A635" s="3202"/>
      <c r="B635" s="2991" t="s">
        <v>3863</v>
      </c>
      <c r="C635" s="2994">
        <v>45.51</v>
      </c>
      <c r="D635" s="2993" t="s">
        <v>3235</v>
      </c>
      <c r="E635" s="3002">
        <v>420000</v>
      </c>
    </row>
    <row r="636" spans="1:6" s="2993" customFormat="1">
      <c r="A636" s="3202">
        <v>129</v>
      </c>
      <c r="B636" s="2991" t="s">
        <v>3864</v>
      </c>
      <c r="C636" s="2994">
        <v>134.02000000000001</v>
      </c>
      <c r="D636" s="2993" t="s">
        <v>3238</v>
      </c>
      <c r="E636" s="3002">
        <v>7888745</v>
      </c>
    </row>
    <row r="637" spans="1:6" s="2993" customFormat="1">
      <c r="A637" s="3202"/>
      <c r="B637" s="2991" t="s">
        <v>3865</v>
      </c>
      <c r="C637" s="2994">
        <v>84.33</v>
      </c>
      <c r="D637" s="2993" t="s">
        <v>4487</v>
      </c>
      <c r="E637" s="3002">
        <v>2529900</v>
      </c>
      <c r="F637" s="2993">
        <f t="shared" ref="F637:F638" si="125">E637/C637</f>
        <v>30000</v>
      </c>
    </row>
    <row r="638" spans="1:6" s="2993" customFormat="1">
      <c r="A638" s="3202"/>
      <c r="B638" s="2991" t="s">
        <v>3866</v>
      </c>
      <c r="C638" s="2994">
        <v>84.08</v>
      </c>
      <c r="D638" s="2993" t="s">
        <v>3241</v>
      </c>
      <c r="E638" s="3002">
        <v>2522400</v>
      </c>
      <c r="F638" s="2993">
        <f t="shared" si="125"/>
        <v>30000</v>
      </c>
    </row>
    <row r="639" spans="1:6" s="2993" customFormat="1">
      <c r="A639" s="3202"/>
      <c r="B639" s="2991" t="s">
        <v>3867</v>
      </c>
      <c r="C639" s="2994">
        <v>45.51</v>
      </c>
      <c r="D639" s="2993" t="s">
        <v>3235</v>
      </c>
      <c r="E639" s="3002">
        <v>420000</v>
      </c>
    </row>
    <row r="640" spans="1:6" s="2993" customFormat="1">
      <c r="A640" s="3202"/>
      <c r="B640" s="2991" t="s">
        <v>3868</v>
      </c>
      <c r="C640" s="2994">
        <v>45.51</v>
      </c>
      <c r="D640" s="2993" t="s">
        <v>3235</v>
      </c>
      <c r="E640" s="3002">
        <v>420000</v>
      </c>
    </row>
    <row r="641" spans="1:6" s="2993" customFormat="1">
      <c r="A641" s="3202">
        <v>130</v>
      </c>
      <c r="B641" s="2991" t="s">
        <v>3869</v>
      </c>
      <c r="C641" s="2994">
        <v>134.02000000000001</v>
      </c>
      <c r="D641" s="2993" t="s">
        <v>3238</v>
      </c>
      <c r="E641" s="3002">
        <v>7888745</v>
      </c>
    </row>
    <row r="642" spans="1:6" s="2993" customFormat="1">
      <c r="A642" s="3202"/>
      <c r="B642" s="2991" t="s">
        <v>3870</v>
      </c>
      <c r="C642" s="2994">
        <v>84.33</v>
      </c>
      <c r="D642" s="2993" t="s">
        <v>4487</v>
      </c>
      <c r="E642" s="3002">
        <v>2529900</v>
      </c>
      <c r="F642" s="2993">
        <f t="shared" ref="F642:F643" si="126">E642/C642</f>
        <v>30000</v>
      </c>
    </row>
    <row r="643" spans="1:6" s="2993" customFormat="1">
      <c r="A643" s="3202"/>
      <c r="B643" s="2991" t="s">
        <v>3871</v>
      </c>
      <c r="C643" s="2994">
        <v>84.08</v>
      </c>
      <c r="D643" s="2993" t="s">
        <v>3241</v>
      </c>
      <c r="E643" s="3002">
        <v>2522400</v>
      </c>
      <c r="F643" s="2993">
        <f t="shared" si="126"/>
        <v>30000</v>
      </c>
    </row>
    <row r="644" spans="1:6" s="2993" customFormat="1">
      <c r="A644" s="3202"/>
      <c r="B644" s="2991" t="s">
        <v>3872</v>
      </c>
      <c r="C644" s="2994">
        <v>45.51</v>
      </c>
      <c r="D644" s="2993" t="s">
        <v>3235</v>
      </c>
      <c r="E644" s="3002">
        <v>420000</v>
      </c>
    </row>
    <row r="645" spans="1:6" s="2993" customFormat="1">
      <c r="A645" s="3202"/>
      <c r="B645" s="2991" t="s">
        <v>3873</v>
      </c>
      <c r="C645" s="2994">
        <v>45.51</v>
      </c>
      <c r="D645" s="2993" t="s">
        <v>3235</v>
      </c>
      <c r="E645" s="3002">
        <v>420000</v>
      </c>
    </row>
    <row r="646" spans="1:6" s="2993" customFormat="1">
      <c r="A646" s="3202">
        <v>131</v>
      </c>
      <c r="B646" s="2991" t="s">
        <v>3874</v>
      </c>
      <c r="C646" s="2994">
        <v>134.21</v>
      </c>
      <c r="D646" s="2993" t="s">
        <v>3238</v>
      </c>
      <c r="E646" s="3002">
        <v>8018840</v>
      </c>
    </row>
    <row r="647" spans="1:6" s="2993" customFormat="1">
      <c r="A647" s="3202"/>
      <c r="B647" s="2991" t="s">
        <v>3875</v>
      </c>
      <c r="C647" s="2994">
        <v>84.6</v>
      </c>
      <c r="D647" s="2993" t="s">
        <v>4487</v>
      </c>
      <c r="E647" s="3002">
        <v>2538000</v>
      </c>
      <c r="F647" s="2993">
        <f t="shared" ref="F647:F648" si="127">E647/C647</f>
        <v>30000.000000000004</v>
      </c>
    </row>
    <row r="648" spans="1:6" s="2993" customFormat="1">
      <c r="A648" s="3202"/>
      <c r="B648" s="2991" t="s">
        <v>3876</v>
      </c>
      <c r="C648" s="2994">
        <v>84.08</v>
      </c>
      <c r="D648" s="2993" t="s">
        <v>3241</v>
      </c>
      <c r="E648" s="3002">
        <v>2522400</v>
      </c>
      <c r="F648" s="2993">
        <f t="shared" si="127"/>
        <v>30000</v>
      </c>
    </row>
    <row r="649" spans="1:6" s="2993" customFormat="1">
      <c r="A649" s="3202"/>
      <c r="B649" s="2991" t="s">
        <v>3877</v>
      </c>
      <c r="C649" s="2994">
        <v>45.51</v>
      </c>
      <c r="D649" s="2993" t="s">
        <v>3235</v>
      </c>
      <c r="E649" s="3002">
        <v>420000</v>
      </c>
    </row>
    <row r="650" spans="1:6" s="2993" customFormat="1">
      <c r="A650" s="3202"/>
      <c r="B650" s="2991" t="s">
        <v>3878</v>
      </c>
      <c r="C650" s="2994">
        <v>45.51</v>
      </c>
      <c r="D650" s="2993" t="s">
        <v>3235</v>
      </c>
      <c r="E650" s="3002">
        <v>420000</v>
      </c>
    </row>
    <row r="651" spans="1:6" s="2993" customFormat="1">
      <c r="A651" s="3202">
        <v>132</v>
      </c>
      <c r="B651" s="2991" t="s">
        <v>3879</v>
      </c>
      <c r="C651" s="2996">
        <v>134.02000000000001</v>
      </c>
      <c r="D651" s="2993" t="s">
        <v>3238</v>
      </c>
      <c r="E651" s="2996">
        <v>7888745</v>
      </c>
    </row>
    <row r="652" spans="1:6" s="2993" customFormat="1">
      <c r="A652" s="3202"/>
      <c r="B652" s="2991" t="s">
        <v>3880</v>
      </c>
      <c r="C652" s="2996">
        <v>84.33</v>
      </c>
      <c r="D652" s="2993" t="s">
        <v>4487</v>
      </c>
      <c r="E652" s="3002">
        <v>2529900</v>
      </c>
      <c r="F652" s="2993">
        <f t="shared" ref="F652:F653" si="128">E652/C652</f>
        <v>30000</v>
      </c>
    </row>
    <row r="653" spans="1:6" s="2993" customFormat="1">
      <c r="A653" s="3202"/>
      <c r="B653" s="2991" t="s">
        <v>3881</v>
      </c>
      <c r="C653" s="2996">
        <v>84.08</v>
      </c>
      <c r="D653" s="2993" t="s">
        <v>3241</v>
      </c>
      <c r="E653" s="2996">
        <v>2522400</v>
      </c>
      <c r="F653" s="2993">
        <f t="shared" si="128"/>
        <v>30000</v>
      </c>
    </row>
    <row r="654" spans="1:6" s="2993" customFormat="1">
      <c r="A654" s="3202"/>
      <c r="B654" s="2991" t="s">
        <v>3882</v>
      </c>
      <c r="C654" s="2994">
        <v>45.51</v>
      </c>
      <c r="D654" s="2993" t="s">
        <v>3235</v>
      </c>
      <c r="E654" s="3002">
        <v>420000</v>
      </c>
    </row>
    <row r="655" spans="1:6" s="2993" customFormat="1">
      <c r="A655" s="3202"/>
      <c r="B655" s="2991" t="s">
        <v>3883</v>
      </c>
      <c r="C655" s="2994">
        <v>45.51</v>
      </c>
      <c r="D655" s="2993" t="s">
        <v>3235</v>
      </c>
      <c r="E655" s="3002">
        <v>420000</v>
      </c>
    </row>
    <row r="656" spans="1:6" s="2993" customFormat="1">
      <c r="A656" s="3202">
        <v>133</v>
      </c>
      <c r="B656" s="2991" t="s">
        <v>3884</v>
      </c>
      <c r="C656" s="2996">
        <v>134.02000000000001</v>
      </c>
      <c r="D656" s="2993" t="s">
        <v>3238</v>
      </c>
      <c r="E656" s="2996">
        <v>7888745</v>
      </c>
    </row>
    <row r="657" spans="1:6" s="2993" customFormat="1">
      <c r="A657" s="3202"/>
      <c r="B657" s="2991" t="s">
        <v>3885</v>
      </c>
      <c r="C657" s="2996">
        <v>84.33</v>
      </c>
      <c r="D657" s="2993" t="s">
        <v>4487</v>
      </c>
      <c r="E657" s="3002">
        <v>2529900</v>
      </c>
      <c r="F657" s="2993">
        <f t="shared" ref="F657:F658" si="129">E657/C657</f>
        <v>30000</v>
      </c>
    </row>
    <row r="658" spans="1:6" s="2993" customFormat="1">
      <c r="A658" s="3202"/>
      <c r="B658" s="2991" t="s">
        <v>3886</v>
      </c>
      <c r="C658" s="2996">
        <v>84.08</v>
      </c>
      <c r="D658" s="2993" t="s">
        <v>3241</v>
      </c>
      <c r="E658" s="2996">
        <v>2522400</v>
      </c>
      <c r="F658" s="2993">
        <f t="shared" si="129"/>
        <v>30000</v>
      </c>
    </row>
    <row r="659" spans="1:6" s="2993" customFormat="1">
      <c r="A659" s="3202"/>
      <c r="B659" s="2991" t="s">
        <v>3887</v>
      </c>
      <c r="C659" s="2994">
        <v>45.51</v>
      </c>
      <c r="D659" s="2993" t="s">
        <v>3235</v>
      </c>
      <c r="E659" s="3002">
        <v>420000</v>
      </c>
    </row>
    <row r="660" spans="1:6" s="2993" customFormat="1">
      <c r="A660" s="3202"/>
      <c r="B660" s="2991" t="s">
        <v>3888</v>
      </c>
      <c r="C660" s="2994">
        <v>45.51</v>
      </c>
      <c r="D660" s="2993" t="s">
        <v>3235</v>
      </c>
      <c r="E660" s="3002">
        <v>420000</v>
      </c>
    </row>
    <row r="661" spans="1:6" s="2993" customFormat="1">
      <c r="A661" s="3202">
        <v>134</v>
      </c>
      <c r="B661" s="2991" t="s">
        <v>3889</v>
      </c>
      <c r="C661" s="2996">
        <v>134.21</v>
      </c>
      <c r="D661" s="2993" t="s">
        <v>3238</v>
      </c>
      <c r="E661" s="2996">
        <v>8018840</v>
      </c>
    </row>
    <row r="662" spans="1:6" s="2993" customFormat="1">
      <c r="A662" s="3202"/>
      <c r="B662" s="2991" t="s">
        <v>3890</v>
      </c>
      <c r="C662" s="2994">
        <v>84.6</v>
      </c>
      <c r="D662" s="2993" t="s">
        <v>4487</v>
      </c>
      <c r="E662" s="3002">
        <v>2538000</v>
      </c>
      <c r="F662" s="2993">
        <f t="shared" ref="F662:F663" si="130">E662/C662</f>
        <v>30000.000000000004</v>
      </c>
    </row>
    <row r="663" spans="1:6" s="2993" customFormat="1">
      <c r="A663" s="3202"/>
      <c r="B663" s="2991" t="s">
        <v>3891</v>
      </c>
      <c r="C663" s="2996">
        <v>84.08</v>
      </c>
      <c r="D663" s="2993" t="s">
        <v>3241</v>
      </c>
      <c r="E663" s="2996">
        <v>2522400</v>
      </c>
      <c r="F663" s="2993">
        <f t="shared" si="130"/>
        <v>30000</v>
      </c>
    </row>
    <row r="664" spans="1:6" s="2993" customFormat="1">
      <c r="A664" s="3202"/>
      <c r="B664" s="2991" t="s">
        <v>3892</v>
      </c>
      <c r="C664" s="2994">
        <v>45.51</v>
      </c>
      <c r="D664" s="2993" t="s">
        <v>3235</v>
      </c>
      <c r="E664" s="3002">
        <v>420000</v>
      </c>
    </row>
    <row r="665" spans="1:6" s="2993" customFormat="1">
      <c r="A665" s="3202"/>
      <c r="B665" s="2991" t="s">
        <v>3893</v>
      </c>
      <c r="C665" s="2994">
        <v>45.51</v>
      </c>
      <c r="D665" s="2993" t="s">
        <v>3235</v>
      </c>
      <c r="E665" s="3002">
        <v>420000</v>
      </c>
    </row>
    <row r="666" spans="1:6" s="2993" customFormat="1">
      <c r="A666" s="3202">
        <v>135</v>
      </c>
      <c r="B666" s="2991" t="s">
        <v>3894</v>
      </c>
      <c r="C666" s="2994">
        <v>134.34</v>
      </c>
      <c r="D666" s="2993" t="s">
        <v>3238</v>
      </c>
      <c r="E666" s="3002">
        <v>8531665</v>
      </c>
    </row>
    <row r="667" spans="1:6" s="2993" customFormat="1">
      <c r="A667" s="3202"/>
      <c r="B667" s="2991" t="s">
        <v>3895</v>
      </c>
      <c r="C667" s="2994">
        <v>84.39</v>
      </c>
      <c r="D667" s="2993" t="s">
        <v>4487</v>
      </c>
      <c r="E667" s="3002">
        <v>2531700</v>
      </c>
      <c r="F667" s="2993">
        <f t="shared" ref="F667:F668" si="131">E667/C667</f>
        <v>30000</v>
      </c>
    </row>
    <row r="668" spans="1:6" s="2993" customFormat="1">
      <c r="A668" s="3202"/>
      <c r="B668" s="2991" t="s">
        <v>3896</v>
      </c>
      <c r="C668" s="2994">
        <v>83.46</v>
      </c>
      <c r="D668" s="2993" t="s">
        <v>3241</v>
      </c>
      <c r="E668" s="3002">
        <v>2503800</v>
      </c>
      <c r="F668" s="2993">
        <f t="shared" si="131"/>
        <v>30000.000000000004</v>
      </c>
    </row>
    <row r="669" spans="1:6" s="2993" customFormat="1">
      <c r="A669" s="3202"/>
      <c r="B669" s="2991" t="s">
        <v>3897</v>
      </c>
      <c r="C669" s="2994">
        <v>45.51</v>
      </c>
      <c r="D669" s="2993" t="s">
        <v>3235</v>
      </c>
      <c r="E669" s="3002">
        <v>420000</v>
      </c>
    </row>
    <row r="670" spans="1:6" s="2993" customFormat="1">
      <c r="A670" s="3202"/>
      <c r="B670" s="2991" t="s">
        <v>3898</v>
      </c>
      <c r="C670" s="2994">
        <v>45.51</v>
      </c>
      <c r="D670" s="2993" t="s">
        <v>3235</v>
      </c>
      <c r="E670" s="3002">
        <v>420000</v>
      </c>
    </row>
    <row r="671" spans="1:6" s="2993" customFormat="1">
      <c r="A671" s="3202">
        <v>136</v>
      </c>
      <c r="B671" s="2991" t="s">
        <v>3899</v>
      </c>
      <c r="C671" s="2996">
        <v>134.34</v>
      </c>
      <c r="D671" s="2993" t="s">
        <v>3238</v>
      </c>
      <c r="E671" s="2996">
        <v>7907678</v>
      </c>
    </row>
    <row r="672" spans="1:6" s="2993" customFormat="1">
      <c r="A672" s="3202"/>
      <c r="B672" s="2991" t="s">
        <v>3900</v>
      </c>
      <c r="C672" s="2996">
        <v>84.53</v>
      </c>
      <c r="D672" s="2993" t="s">
        <v>4487</v>
      </c>
      <c r="E672" s="2996">
        <v>2535900</v>
      </c>
      <c r="F672" s="2993">
        <f t="shared" ref="F672:F673" si="132">E672/C672</f>
        <v>30000</v>
      </c>
    </row>
    <row r="673" spans="1:6" s="2993" customFormat="1">
      <c r="A673" s="3202"/>
      <c r="B673" s="2991" t="s">
        <v>3901</v>
      </c>
      <c r="C673" s="2996">
        <v>84.18</v>
      </c>
      <c r="D673" s="2993" t="s">
        <v>3241</v>
      </c>
      <c r="E673" s="2996">
        <v>2525400</v>
      </c>
      <c r="F673" s="2993">
        <f t="shared" si="132"/>
        <v>29999.999999999996</v>
      </c>
    </row>
    <row r="674" spans="1:6" s="2993" customFormat="1">
      <c r="A674" s="3202"/>
      <c r="B674" s="2991" t="s">
        <v>3902</v>
      </c>
      <c r="C674" s="2994">
        <v>45.51</v>
      </c>
      <c r="D674" s="2993" t="s">
        <v>3235</v>
      </c>
      <c r="E674" s="3002">
        <v>420000</v>
      </c>
    </row>
    <row r="675" spans="1:6" s="2993" customFormat="1">
      <c r="A675" s="3202"/>
      <c r="B675" s="2991" t="s">
        <v>3903</v>
      </c>
      <c r="C675" s="2994">
        <v>45.51</v>
      </c>
      <c r="D675" s="2993" t="s">
        <v>3235</v>
      </c>
      <c r="E675" s="3002">
        <v>420000</v>
      </c>
    </row>
    <row r="676" spans="1:6" s="2993" customFormat="1">
      <c r="A676" s="3202">
        <v>137</v>
      </c>
      <c r="B676" s="2991" t="s">
        <v>3904</v>
      </c>
      <c r="C676" s="2996">
        <v>134.54</v>
      </c>
      <c r="D676" s="2993" t="s">
        <v>3238</v>
      </c>
      <c r="E676" s="2996">
        <v>8038511</v>
      </c>
    </row>
    <row r="677" spans="1:6" s="2993" customFormat="1">
      <c r="A677" s="3202"/>
      <c r="B677" s="2991" t="s">
        <v>3905</v>
      </c>
      <c r="C677" s="2996">
        <v>84.8</v>
      </c>
      <c r="D677" s="2993" t="s">
        <v>4487</v>
      </c>
      <c r="E677" s="2996">
        <v>2544000</v>
      </c>
      <c r="F677" s="2993">
        <f t="shared" ref="F677:F678" si="133">E677/C677</f>
        <v>30000</v>
      </c>
    </row>
    <row r="678" spans="1:6" s="2993" customFormat="1">
      <c r="A678" s="3202"/>
      <c r="B678" s="2991" t="s">
        <v>3906</v>
      </c>
      <c r="C678" s="2996">
        <v>84.18</v>
      </c>
      <c r="D678" s="2993" t="s">
        <v>3241</v>
      </c>
      <c r="E678" s="2996">
        <v>2525400</v>
      </c>
      <c r="F678" s="2993">
        <f t="shared" si="133"/>
        <v>29999.999999999996</v>
      </c>
    </row>
    <row r="679" spans="1:6" s="2993" customFormat="1">
      <c r="A679" s="3202"/>
      <c r="B679" s="2991" t="s">
        <v>3907</v>
      </c>
      <c r="C679" s="2994">
        <v>45.51</v>
      </c>
      <c r="D679" s="2993" t="s">
        <v>3235</v>
      </c>
      <c r="E679" s="3002">
        <v>420000</v>
      </c>
    </row>
    <row r="680" spans="1:6" s="2993" customFormat="1">
      <c r="A680" s="3202"/>
      <c r="B680" s="2991" t="s">
        <v>3908</v>
      </c>
      <c r="C680" s="2994">
        <v>45.51</v>
      </c>
      <c r="D680" s="2993" t="s">
        <v>3235</v>
      </c>
      <c r="E680" s="3002">
        <v>420000</v>
      </c>
    </row>
    <row r="681" spans="1:6" s="2993" customFormat="1">
      <c r="A681" s="3202">
        <v>138</v>
      </c>
      <c r="B681" s="2991" t="s">
        <v>3909</v>
      </c>
      <c r="C681" s="2994">
        <v>134.29</v>
      </c>
      <c r="D681" s="2993" t="s">
        <v>3238</v>
      </c>
      <c r="E681" s="3002">
        <v>7706916</v>
      </c>
    </row>
    <row r="682" spans="1:6" s="2993" customFormat="1">
      <c r="A682" s="3202"/>
      <c r="B682" s="2991" t="s">
        <v>3910</v>
      </c>
      <c r="C682" s="2994">
        <v>84.51</v>
      </c>
      <c r="D682" s="2993" t="s">
        <v>4487</v>
      </c>
      <c r="E682" s="3002">
        <v>2535300</v>
      </c>
      <c r="F682" s="2993">
        <f t="shared" ref="F682:F683" si="134">E682/C682</f>
        <v>30000</v>
      </c>
    </row>
    <row r="683" spans="1:6" s="2993" customFormat="1">
      <c r="A683" s="3202"/>
      <c r="B683" s="2991" t="s">
        <v>3911</v>
      </c>
      <c r="C683" s="2994">
        <v>84.18</v>
      </c>
      <c r="D683" s="2993" t="s">
        <v>3241</v>
      </c>
      <c r="E683" s="3002">
        <f>30000*C683</f>
        <v>2525400</v>
      </c>
      <c r="F683" s="2993">
        <f t="shared" si="134"/>
        <v>29999.999999999996</v>
      </c>
    </row>
    <row r="684" spans="1:6" s="2993" customFormat="1">
      <c r="A684" s="3202"/>
      <c r="B684" s="2991" t="s">
        <v>3912</v>
      </c>
      <c r="C684" s="2994">
        <v>45.51</v>
      </c>
      <c r="D684" s="2993" t="s">
        <v>3235</v>
      </c>
      <c r="E684" s="3002">
        <v>420000</v>
      </c>
    </row>
    <row r="685" spans="1:6" s="2993" customFormat="1">
      <c r="A685" s="3202"/>
      <c r="B685" s="2991" t="s">
        <v>3913</v>
      </c>
      <c r="C685" s="2994">
        <v>45.51</v>
      </c>
      <c r="D685" s="2993" t="s">
        <v>3235</v>
      </c>
      <c r="E685" s="3002">
        <v>420000</v>
      </c>
    </row>
    <row r="686" spans="1:6" s="2993" customFormat="1">
      <c r="A686" s="3202">
        <v>139</v>
      </c>
      <c r="B686" s="2991" t="s">
        <v>3914</v>
      </c>
      <c r="C686" s="2994">
        <v>134.49</v>
      </c>
      <c r="D686" s="2993" t="s">
        <v>3238</v>
      </c>
      <c r="E686" s="3002">
        <v>7837459</v>
      </c>
    </row>
    <row r="687" spans="1:6" s="2993" customFormat="1">
      <c r="A687" s="3202"/>
      <c r="B687" s="2991" t="s">
        <v>3915</v>
      </c>
      <c r="C687" s="2994">
        <v>84.78</v>
      </c>
      <c r="D687" s="2993" t="s">
        <v>4487</v>
      </c>
      <c r="E687" s="3002">
        <v>2543400</v>
      </c>
      <c r="F687" s="2993">
        <f t="shared" ref="F687:F688" si="135">E687/C687</f>
        <v>30000</v>
      </c>
    </row>
    <row r="688" spans="1:6" s="2993" customFormat="1">
      <c r="A688" s="3202"/>
      <c r="B688" s="2991" t="s">
        <v>3916</v>
      </c>
      <c r="C688" s="2994">
        <v>84.18</v>
      </c>
      <c r="D688" s="2993" t="s">
        <v>3241</v>
      </c>
      <c r="E688" s="3002">
        <v>2525400</v>
      </c>
      <c r="F688" s="2993">
        <f t="shared" si="135"/>
        <v>29999.999999999996</v>
      </c>
    </row>
    <row r="689" spans="1:6" s="2993" customFormat="1">
      <c r="A689" s="3202"/>
      <c r="B689" s="2991" t="s">
        <v>3917</v>
      </c>
      <c r="C689" s="2994">
        <v>45.51</v>
      </c>
      <c r="D689" s="2993" t="s">
        <v>3235</v>
      </c>
      <c r="E689" s="3002">
        <v>420000</v>
      </c>
    </row>
    <row r="690" spans="1:6" s="2993" customFormat="1">
      <c r="A690" s="3202"/>
      <c r="B690" s="2991" t="s">
        <v>3918</v>
      </c>
      <c r="C690" s="2994">
        <v>45.51</v>
      </c>
      <c r="D690" s="2993" t="s">
        <v>3235</v>
      </c>
      <c r="E690" s="3002">
        <v>420000</v>
      </c>
    </row>
    <row r="691" spans="1:6" s="2993" customFormat="1">
      <c r="A691" s="3202">
        <v>140</v>
      </c>
      <c r="B691" s="2991" t="s">
        <v>3919</v>
      </c>
      <c r="C691" s="2996">
        <v>134.11000000000001</v>
      </c>
      <c r="D691" s="2993" t="s">
        <v>3238</v>
      </c>
      <c r="E691" s="2996">
        <v>8517058</v>
      </c>
    </row>
    <row r="692" spans="1:6" s="2993" customFormat="1">
      <c r="A692" s="3202"/>
      <c r="B692" s="2991" t="s">
        <v>3920</v>
      </c>
      <c r="C692" s="2996">
        <v>84.23</v>
      </c>
      <c r="D692" s="2993" t="s">
        <v>4487</v>
      </c>
      <c r="E692" s="2996">
        <v>2526900</v>
      </c>
      <c r="F692" s="2993">
        <f t="shared" ref="F692:F693" si="136">E692/C692</f>
        <v>30000</v>
      </c>
    </row>
    <row r="693" spans="1:6" s="2993" customFormat="1">
      <c r="A693" s="3202"/>
      <c r="B693" s="2991" t="s">
        <v>3921</v>
      </c>
      <c r="C693" s="2996">
        <v>83.38</v>
      </c>
      <c r="D693" s="2993" t="s">
        <v>3241</v>
      </c>
      <c r="E693" s="2996">
        <v>2501400</v>
      </c>
      <c r="F693" s="2993">
        <f t="shared" si="136"/>
        <v>30000</v>
      </c>
    </row>
    <row r="694" spans="1:6" s="2993" customFormat="1">
      <c r="A694" s="3202"/>
      <c r="B694" s="2991" t="s">
        <v>3922</v>
      </c>
      <c r="C694" s="2994">
        <v>45.51</v>
      </c>
      <c r="D694" s="2993" t="s">
        <v>3235</v>
      </c>
      <c r="E694" s="2996">
        <v>420000</v>
      </c>
    </row>
    <row r="695" spans="1:6" s="2993" customFormat="1">
      <c r="A695" s="3202"/>
      <c r="B695" s="2991" t="s">
        <v>3923</v>
      </c>
      <c r="C695" s="2994">
        <v>45.51</v>
      </c>
      <c r="D695" s="2993" t="s">
        <v>3235</v>
      </c>
      <c r="E695" s="2996">
        <v>420000</v>
      </c>
    </row>
    <row r="696" spans="1:6" s="2993" customFormat="1">
      <c r="A696" s="3202">
        <v>141</v>
      </c>
      <c r="B696" s="2991" t="s">
        <v>3924</v>
      </c>
      <c r="C696" s="2996">
        <v>134.11000000000001</v>
      </c>
      <c r="D696" s="2993" t="s">
        <v>3238</v>
      </c>
      <c r="E696" s="2996">
        <v>7696563</v>
      </c>
    </row>
    <row r="697" spans="1:6" s="2993" customFormat="1">
      <c r="A697" s="3202"/>
      <c r="B697" s="2991" t="s">
        <v>3920</v>
      </c>
      <c r="C697" s="2996">
        <v>84.38</v>
      </c>
      <c r="D697" s="2993" t="s">
        <v>4487</v>
      </c>
      <c r="E697" s="2996">
        <v>2531400</v>
      </c>
      <c r="F697" s="2993">
        <f t="shared" ref="F697:F698" si="137">E697/C697</f>
        <v>30000</v>
      </c>
    </row>
    <row r="698" spans="1:6" s="2993" customFormat="1">
      <c r="A698" s="3202"/>
      <c r="B698" s="2991" t="s">
        <v>3925</v>
      </c>
      <c r="C698" s="2996">
        <v>84.1</v>
      </c>
      <c r="D698" s="2993" t="s">
        <v>3241</v>
      </c>
      <c r="E698" s="2996">
        <v>2523000</v>
      </c>
      <c r="F698" s="2993">
        <f t="shared" si="137"/>
        <v>30000.000000000004</v>
      </c>
    </row>
    <row r="699" spans="1:6" s="2993" customFormat="1">
      <c r="A699" s="3202"/>
      <c r="B699" s="2991" t="s">
        <v>3926</v>
      </c>
      <c r="C699" s="2994">
        <v>45.51</v>
      </c>
      <c r="D699" s="2993" t="s">
        <v>3235</v>
      </c>
      <c r="E699" s="2996">
        <v>420000</v>
      </c>
    </row>
    <row r="700" spans="1:6" s="2993" customFormat="1">
      <c r="A700" s="3202"/>
      <c r="B700" s="2991" t="s">
        <v>3927</v>
      </c>
      <c r="C700" s="2994">
        <v>45.51</v>
      </c>
      <c r="D700" s="2993" t="s">
        <v>3235</v>
      </c>
      <c r="E700" s="2996">
        <v>420000</v>
      </c>
    </row>
    <row r="701" spans="1:6" s="2993" customFormat="1">
      <c r="A701" s="3202">
        <v>142</v>
      </c>
      <c r="B701" s="2991" t="s">
        <v>3928</v>
      </c>
      <c r="C701" s="2996">
        <v>134.11000000000001</v>
      </c>
      <c r="D701" s="2993" t="s">
        <v>3238</v>
      </c>
      <c r="E701" s="2996">
        <v>7696563</v>
      </c>
    </row>
    <row r="702" spans="1:6" s="2993" customFormat="1">
      <c r="A702" s="3202"/>
      <c r="B702" s="2991" t="s">
        <v>3929</v>
      </c>
      <c r="C702" s="2996">
        <v>84.38</v>
      </c>
      <c r="D702" s="2993" t="s">
        <v>4487</v>
      </c>
      <c r="E702" s="2996">
        <v>2531400</v>
      </c>
      <c r="F702" s="2993">
        <f t="shared" ref="F702:F703" si="138">E702/C702</f>
        <v>30000</v>
      </c>
    </row>
    <row r="703" spans="1:6" s="2993" customFormat="1">
      <c r="A703" s="3202"/>
      <c r="B703" s="2991" t="s">
        <v>3930</v>
      </c>
      <c r="C703" s="2996">
        <v>84.1</v>
      </c>
      <c r="D703" s="2993" t="s">
        <v>3241</v>
      </c>
      <c r="E703" s="2996">
        <v>2523000</v>
      </c>
      <c r="F703" s="2993">
        <f t="shared" si="138"/>
        <v>30000.000000000004</v>
      </c>
    </row>
    <row r="704" spans="1:6" s="2993" customFormat="1">
      <c r="A704" s="3202"/>
      <c r="B704" s="2991" t="s">
        <v>3931</v>
      </c>
      <c r="C704" s="2994">
        <v>45.51</v>
      </c>
      <c r="D704" s="2993" t="s">
        <v>3235</v>
      </c>
      <c r="E704" s="2996">
        <v>420000</v>
      </c>
    </row>
    <row r="705" spans="1:6" s="2993" customFormat="1">
      <c r="A705" s="3202"/>
      <c r="B705" s="2991" t="s">
        <v>3932</v>
      </c>
      <c r="C705" s="2994">
        <v>45.51</v>
      </c>
      <c r="D705" s="2993" t="s">
        <v>3235</v>
      </c>
      <c r="E705" s="2996">
        <v>420000</v>
      </c>
    </row>
    <row r="706" spans="1:6" s="2993" customFormat="1">
      <c r="A706" s="3202">
        <v>143</v>
      </c>
      <c r="B706" s="2991" t="s">
        <v>3933</v>
      </c>
      <c r="C706" s="2996">
        <v>134.30000000000001</v>
      </c>
      <c r="D706" s="2993" t="s">
        <v>3238</v>
      </c>
      <c r="E706" s="2996">
        <v>7826386</v>
      </c>
    </row>
    <row r="707" spans="1:6" s="2993" customFormat="1">
      <c r="A707" s="3202"/>
      <c r="B707" s="2991" t="s">
        <v>3934</v>
      </c>
      <c r="C707" s="2996">
        <v>84.64</v>
      </c>
      <c r="D707" s="2993" t="s">
        <v>4487</v>
      </c>
      <c r="E707" s="2996">
        <v>2539200</v>
      </c>
      <c r="F707" s="2993">
        <f t="shared" ref="F707:F708" si="139">E707/C707</f>
        <v>30000</v>
      </c>
    </row>
    <row r="708" spans="1:6" s="2993" customFormat="1">
      <c r="A708" s="3202"/>
      <c r="B708" s="2991" t="s">
        <v>3935</v>
      </c>
      <c r="C708" s="2996">
        <v>84.1</v>
      </c>
      <c r="D708" s="2993" t="s">
        <v>3241</v>
      </c>
      <c r="E708" s="2996">
        <v>2523000</v>
      </c>
      <c r="F708" s="2993">
        <f t="shared" si="139"/>
        <v>30000.000000000004</v>
      </c>
    </row>
    <row r="709" spans="1:6" s="2993" customFormat="1">
      <c r="A709" s="3202"/>
      <c r="B709" s="2991" t="s">
        <v>3936</v>
      </c>
      <c r="C709" s="2994">
        <v>45.51</v>
      </c>
      <c r="D709" s="2993" t="s">
        <v>3235</v>
      </c>
      <c r="E709" s="2996">
        <v>420000</v>
      </c>
    </row>
    <row r="710" spans="1:6" s="2993" customFormat="1">
      <c r="A710" s="3202"/>
      <c r="B710" s="2991" t="s">
        <v>3937</v>
      </c>
      <c r="C710" s="2994">
        <v>45.51</v>
      </c>
      <c r="D710" s="2993" t="s">
        <v>3235</v>
      </c>
      <c r="E710" s="2996">
        <v>420000</v>
      </c>
    </row>
    <row r="711" spans="1:6" s="2993" customFormat="1">
      <c r="A711" s="3202">
        <v>144</v>
      </c>
      <c r="B711" s="2991" t="s">
        <v>3938</v>
      </c>
      <c r="C711" s="2996">
        <v>134.11000000000001</v>
      </c>
      <c r="D711" s="2993" t="s">
        <v>3238</v>
      </c>
      <c r="E711" s="2996">
        <v>7999892</v>
      </c>
    </row>
    <row r="712" spans="1:6" s="2993" customFormat="1">
      <c r="A712" s="3202"/>
      <c r="B712" s="2991" t="s">
        <v>3939</v>
      </c>
      <c r="C712" s="2996">
        <v>84.38</v>
      </c>
      <c r="D712" s="2993" t="s">
        <v>4487</v>
      </c>
      <c r="E712" s="2996">
        <v>2531400</v>
      </c>
      <c r="F712" s="2993">
        <f t="shared" ref="F712:F713" si="140">E712/C712</f>
        <v>30000</v>
      </c>
    </row>
    <row r="713" spans="1:6" s="2993" customFormat="1">
      <c r="A713" s="3202"/>
      <c r="B713" s="2991" t="s">
        <v>3940</v>
      </c>
      <c r="C713" s="2996">
        <v>84.1</v>
      </c>
      <c r="D713" s="2993" t="s">
        <v>3241</v>
      </c>
      <c r="E713" s="2996">
        <v>2523000</v>
      </c>
      <c r="F713" s="2993">
        <f t="shared" si="140"/>
        <v>30000.000000000004</v>
      </c>
    </row>
    <row r="714" spans="1:6" s="2993" customFormat="1">
      <c r="A714" s="3202"/>
      <c r="B714" s="2991" t="s">
        <v>3941</v>
      </c>
      <c r="C714" s="2994">
        <v>45.51</v>
      </c>
      <c r="D714" s="2993" t="s">
        <v>3235</v>
      </c>
      <c r="E714" s="3002">
        <v>420000</v>
      </c>
    </row>
    <row r="715" spans="1:6" s="2993" customFormat="1">
      <c r="A715" s="3202"/>
      <c r="B715" s="2991" t="s">
        <v>3942</v>
      </c>
      <c r="C715" s="2994">
        <v>45.51</v>
      </c>
      <c r="D715" s="2993" t="s">
        <v>3235</v>
      </c>
      <c r="E715" s="3002">
        <v>420000</v>
      </c>
    </row>
    <row r="716" spans="1:6" s="2993" customFormat="1">
      <c r="A716" s="3202">
        <v>145</v>
      </c>
      <c r="B716" s="2991" t="s">
        <v>3943</v>
      </c>
      <c r="C716" s="2996">
        <v>134.11000000000001</v>
      </c>
      <c r="D716" s="2993" t="s">
        <v>3238</v>
      </c>
      <c r="E716" s="2996">
        <v>7999892</v>
      </c>
    </row>
    <row r="717" spans="1:6" s="2993" customFormat="1">
      <c r="A717" s="3202"/>
      <c r="B717" s="2991" t="s">
        <v>3944</v>
      </c>
      <c r="C717" s="2996">
        <v>84.38</v>
      </c>
      <c r="D717" s="2993" t="s">
        <v>4487</v>
      </c>
      <c r="E717" s="2996">
        <v>2531400</v>
      </c>
      <c r="F717" s="2993">
        <f t="shared" ref="F717:F718" si="141">E717/C717</f>
        <v>30000</v>
      </c>
    </row>
    <row r="718" spans="1:6" s="2993" customFormat="1">
      <c r="A718" s="3202"/>
      <c r="B718" s="2991" t="s">
        <v>3945</v>
      </c>
      <c r="C718" s="2996">
        <v>84.1</v>
      </c>
      <c r="D718" s="2993" t="s">
        <v>3241</v>
      </c>
      <c r="E718" s="2996">
        <v>2523000</v>
      </c>
      <c r="F718" s="2993">
        <f t="shared" si="141"/>
        <v>30000.000000000004</v>
      </c>
    </row>
    <row r="719" spans="1:6" s="2993" customFormat="1">
      <c r="A719" s="3202"/>
      <c r="B719" s="2991" t="s">
        <v>3946</v>
      </c>
      <c r="C719" s="2994">
        <v>45.51</v>
      </c>
      <c r="D719" s="2993" t="s">
        <v>3235</v>
      </c>
      <c r="E719" s="3002">
        <v>420000</v>
      </c>
    </row>
    <row r="720" spans="1:6" s="2993" customFormat="1">
      <c r="A720" s="3202"/>
      <c r="B720" s="2991" t="s">
        <v>3947</v>
      </c>
      <c r="C720" s="2994">
        <v>45.51</v>
      </c>
      <c r="D720" s="2993" t="s">
        <v>3235</v>
      </c>
      <c r="E720" s="3002">
        <v>420000</v>
      </c>
    </row>
    <row r="721" spans="1:6" s="2993" customFormat="1">
      <c r="A721" s="3202">
        <v>146</v>
      </c>
      <c r="B721" s="2991" t="s">
        <v>3948</v>
      </c>
      <c r="C721" s="2996">
        <v>138.52000000000001</v>
      </c>
      <c r="D721" s="2993" t="s">
        <v>3238</v>
      </c>
      <c r="E721" s="2996">
        <v>8797128</v>
      </c>
    </row>
    <row r="722" spans="1:6" s="2993" customFormat="1">
      <c r="A722" s="3202"/>
      <c r="B722" s="2991" t="s">
        <v>3949</v>
      </c>
      <c r="C722" s="2996">
        <v>86.56</v>
      </c>
      <c r="D722" s="2993" t="s">
        <v>4487</v>
      </c>
      <c r="E722" s="2996">
        <v>2596800</v>
      </c>
      <c r="F722" s="2993">
        <f t="shared" ref="F722:F723" si="142">E722/C722</f>
        <v>30000</v>
      </c>
    </row>
    <row r="723" spans="1:6" s="2993" customFormat="1">
      <c r="A723" s="3202"/>
      <c r="B723" s="2991" t="s">
        <v>3950</v>
      </c>
      <c r="C723" s="2996">
        <v>85.07</v>
      </c>
      <c r="D723" s="2993" t="s">
        <v>3241</v>
      </c>
      <c r="E723" s="2996">
        <v>2552100</v>
      </c>
      <c r="F723" s="2993">
        <f t="shared" si="142"/>
        <v>30000.000000000004</v>
      </c>
    </row>
    <row r="724" spans="1:6" s="2993" customFormat="1">
      <c r="A724" s="3202"/>
      <c r="B724" s="2991" t="s">
        <v>3951</v>
      </c>
      <c r="C724" s="2994">
        <v>45.51</v>
      </c>
      <c r="D724" s="2993" t="s">
        <v>3235</v>
      </c>
      <c r="E724" s="3002">
        <v>420000</v>
      </c>
    </row>
    <row r="725" spans="1:6" s="2993" customFormat="1">
      <c r="A725" s="3202"/>
      <c r="B725" s="2991" t="s">
        <v>3952</v>
      </c>
      <c r="C725" s="2994">
        <v>45.51</v>
      </c>
      <c r="D725" s="2993" t="s">
        <v>3235</v>
      </c>
      <c r="E725" s="3002">
        <v>420000</v>
      </c>
    </row>
    <row r="726" spans="1:6" s="2993" customFormat="1">
      <c r="A726" s="3202">
        <v>147</v>
      </c>
      <c r="B726" s="2991" t="s">
        <v>3953</v>
      </c>
      <c r="C726" s="2996">
        <v>138.52000000000001</v>
      </c>
      <c r="D726" s="2993" t="s">
        <v>3238</v>
      </c>
      <c r="E726" s="2996">
        <v>8797128</v>
      </c>
    </row>
    <row r="727" spans="1:6" s="2993" customFormat="1">
      <c r="A727" s="3202"/>
      <c r="B727" s="2991" t="s">
        <v>3954</v>
      </c>
      <c r="C727" s="2996">
        <v>86.56</v>
      </c>
      <c r="D727" s="2993" t="s">
        <v>4487</v>
      </c>
      <c r="E727" s="2996">
        <v>2596800</v>
      </c>
      <c r="F727" s="2993">
        <f t="shared" ref="F727:F728" si="143">E727/C727</f>
        <v>30000</v>
      </c>
    </row>
    <row r="728" spans="1:6" s="2993" customFormat="1">
      <c r="A728" s="3202"/>
      <c r="B728" s="2991" t="s">
        <v>3955</v>
      </c>
      <c r="C728" s="2996">
        <v>85.07</v>
      </c>
      <c r="D728" s="2993" t="s">
        <v>3241</v>
      </c>
      <c r="E728" s="2996">
        <v>2552100</v>
      </c>
      <c r="F728" s="2993">
        <f t="shared" si="143"/>
        <v>30000.000000000004</v>
      </c>
    </row>
    <row r="729" spans="1:6" s="2993" customFormat="1">
      <c r="A729" s="3202"/>
      <c r="B729" s="2991" t="s">
        <v>3956</v>
      </c>
      <c r="C729" s="2994">
        <v>45.51</v>
      </c>
      <c r="D729" s="2993" t="s">
        <v>3235</v>
      </c>
      <c r="E729" s="3002">
        <v>420000</v>
      </c>
    </row>
    <row r="730" spans="1:6" s="2993" customFormat="1">
      <c r="A730" s="3202"/>
      <c r="B730" s="2991" t="s">
        <v>3957</v>
      </c>
      <c r="C730" s="2994">
        <v>45.51</v>
      </c>
      <c r="D730" s="2993" t="s">
        <v>3235</v>
      </c>
      <c r="E730" s="3002">
        <v>420000</v>
      </c>
    </row>
    <row r="731" spans="1:6" s="2993" customFormat="1">
      <c r="A731" s="3202">
        <v>148</v>
      </c>
      <c r="B731" s="2991" t="s">
        <v>3958</v>
      </c>
      <c r="C731" s="2994">
        <v>134.29</v>
      </c>
      <c r="D731" s="2993" t="s">
        <v>3238</v>
      </c>
      <c r="E731" s="3002">
        <v>8324774</v>
      </c>
    </row>
    <row r="732" spans="1:6" s="2993" customFormat="1">
      <c r="A732" s="3202"/>
      <c r="B732" s="2991" t="s">
        <v>3959</v>
      </c>
      <c r="C732" s="2994">
        <v>84.35</v>
      </c>
      <c r="D732" s="2993" t="s">
        <v>4487</v>
      </c>
      <c r="E732" s="3002">
        <v>2530500</v>
      </c>
      <c r="F732" s="2993">
        <f t="shared" ref="F732:F733" si="144">E732/C732</f>
        <v>30000.000000000004</v>
      </c>
    </row>
    <row r="733" spans="1:6" s="2993" customFormat="1">
      <c r="A733" s="3202"/>
      <c r="B733" s="2991" t="s">
        <v>3960</v>
      </c>
      <c r="C733" s="2994">
        <v>83.45</v>
      </c>
      <c r="D733" s="2993" t="s">
        <v>3241</v>
      </c>
      <c r="E733" s="3002">
        <v>2503500</v>
      </c>
      <c r="F733" s="2993">
        <f t="shared" si="144"/>
        <v>30000</v>
      </c>
    </row>
    <row r="734" spans="1:6" s="2993" customFormat="1">
      <c r="A734" s="3202"/>
      <c r="B734" s="2991" t="s">
        <v>3961</v>
      </c>
      <c r="C734" s="2994">
        <v>45.51</v>
      </c>
      <c r="D734" s="2993" t="s">
        <v>3235</v>
      </c>
      <c r="E734" s="3002">
        <v>420000</v>
      </c>
    </row>
    <row r="735" spans="1:6" s="2993" customFormat="1">
      <c r="A735" s="3202"/>
      <c r="B735" s="2991" t="s">
        <v>3962</v>
      </c>
      <c r="C735" s="2994">
        <v>45.51</v>
      </c>
      <c r="D735" s="2993" t="s">
        <v>3235</v>
      </c>
      <c r="E735" s="3002">
        <v>420000</v>
      </c>
    </row>
    <row r="736" spans="1:6" s="2993" customFormat="1">
      <c r="A736" s="3202">
        <v>149</v>
      </c>
      <c r="B736" s="2991" t="s">
        <v>3963</v>
      </c>
      <c r="C736" s="2994">
        <v>134.28</v>
      </c>
      <c r="D736" s="2993" t="s">
        <v>3238</v>
      </c>
      <c r="E736" s="3002">
        <v>7531087</v>
      </c>
    </row>
    <row r="737" spans="1:6" s="2993" customFormat="1">
      <c r="A737" s="3202"/>
      <c r="B737" s="2991" t="s">
        <v>3964</v>
      </c>
      <c r="C737" s="2994">
        <v>84.49</v>
      </c>
      <c r="D737" s="2993" t="s">
        <v>4487</v>
      </c>
      <c r="E737" s="3002">
        <v>2534700</v>
      </c>
      <c r="F737" s="2993">
        <f t="shared" ref="F737:F738" si="145">E737/C737</f>
        <v>30000</v>
      </c>
    </row>
    <row r="738" spans="1:6" s="2993" customFormat="1">
      <c r="A738" s="3202"/>
      <c r="B738" s="2991" t="s">
        <v>3965</v>
      </c>
      <c r="C738" s="2994">
        <v>84.17</v>
      </c>
      <c r="D738" s="2993" t="s">
        <v>3241</v>
      </c>
      <c r="E738" s="3002">
        <v>2525100</v>
      </c>
      <c r="F738" s="2993">
        <f t="shared" si="145"/>
        <v>30000</v>
      </c>
    </row>
    <row r="739" spans="1:6" s="2993" customFormat="1">
      <c r="A739" s="3202"/>
      <c r="B739" s="2991" t="s">
        <v>3966</v>
      </c>
      <c r="C739" s="2994">
        <v>45.51</v>
      </c>
      <c r="D739" s="2993" t="s">
        <v>3235</v>
      </c>
      <c r="E739" s="3002">
        <v>420000</v>
      </c>
    </row>
    <row r="740" spans="1:6" s="2993" customFormat="1">
      <c r="A740" s="3202"/>
      <c r="B740" s="2991" t="s">
        <v>3967</v>
      </c>
      <c r="C740" s="2994">
        <v>45.51</v>
      </c>
      <c r="D740" s="2993" t="s">
        <v>3235</v>
      </c>
      <c r="E740" s="3002">
        <v>420000</v>
      </c>
    </row>
    <row r="741" spans="1:6" s="2993" customFormat="1">
      <c r="A741" s="3202">
        <v>150</v>
      </c>
      <c r="B741" s="2991" t="s">
        <v>3968</v>
      </c>
      <c r="C741" s="2994">
        <v>134.47</v>
      </c>
      <c r="D741" s="2993" t="s">
        <v>3238</v>
      </c>
      <c r="E741" s="3002">
        <v>7925703</v>
      </c>
    </row>
    <row r="742" spans="1:6" s="2993" customFormat="1">
      <c r="A742" s="3202"/>
      <c r="B742" s="2991" t="s">
        <v>3969</v>
      </c>
      <c r="C742" s="2994">
        <v>84.77</v>
      </c>
      <c r="D742" s="2993" t="s">
        <v>4487</v>
      </c>
      <c r="E742" s="3002">
        <v>2543100</v>
      </c>
      <c r="F742" s="2993">
        <f t="shared" ref="F742:F743" si="146">E742/C742</f>
        <v>30000</v>
      </c>
    </row>
    <row r="743" spans="1:6" s="2993" customFormat="1">
      <c r="A743" s="3202"/>
      <c r="B743" s="2991" t="s">
        <v>3970</v>
      </c>
      <c r="C743" s="2994">
        <v>84.17</v>
      </c>
      <c r="D743" s="2993" t="s">
        <v>3241</v>
      </c>
      <c r="E743" s="3002">
        <v>2525100</v>
      </c>
      <c r="F743" s="2993">
        <f t="shared" si="146"/>
        <v>30000</v>
      </c>
    </row>
    <row r="744" spans="1:6" s="2993" customFormat="1">
      <c r="A744" s="3202"/>
      <c r="B744" s="2991" t="s">
        <v>3971</v>
      </c>
      <c r="C744" s="2994">
        <v>45.51</v>
      </c>
      <c r="D744" s="2993" t="s">
        <v>3235</v>
      </c>
      <c r="E744" s="3002">
        <v>420000</v>
      </c>
    </row>
    <row r="745" spans="1:6" s="2993" customFormat="1">
      <c r="A745" s="3202"/>
      <c r="B745" s="2991" t="s">
        <v>3972</v>
      </c>
      <c r="C745" s="2994">
        <v>45.51</v>
      </c>
      <c r="D745" s="2993" t="s">
        <v>3235</v>
      </c>
      <c r="E745" s="3002">
        <v>420000</v>
      </c>
    </row>
    <row r="746" spans="1:6" s="2993" customFormat="1">
      <c r="A746" s="3202">
        <v>151</v>
      </c>
      <c r="B746" s="2991" t="s">
        <v>3973</v>
      </c>
      <c r="C746" s="2994">
        <v>134.29</v>
      </c>
      <c r="D746" s="2993" t="s">
        <v>3238</v>
      </c>
      <c r="E746" s="3002">
        <v>8492545</v>
      </c>
    </row>
    <row r="747" spans="1:6" s="2993" customFormat="1">
      <c r="A747" s="3202"/>
      <c r="B747" s="2991" t="s">
        <v>3974</v>
      </c>
      <c r="C747" s="2994">
        <v>84.35</v>
      </c>
      <c r="D747" s="2993" t="s">
        <v>4487</v>
      </c>
      <c r="E747" s="3002">
        <v>2530500</v>
      </c>
      <c r="F747" s="2993">
        <f t="shared" ref="F747:F748" si="147">E747/C747</f>
        <v>30000.000000000004</v>
      </c>
    </row>
    <row r="748" spans="1:6" s="2993" customFormat="1">
      <c r="A748" s="3202"/>
      <c r="B748" s="2991" t="s">
        <v>3975</v>
      </c>
      <c r="C748" s="2994">
        <v>83.45</v>
      </c>
      <c r="D748" s="2993" t="s">
        <v>3241</v>
      </c>
      <c r="E748" s="3002">
        <v>2503500</v>
      </c>
      <c r="F748" s="2993">
        <f t="shared" si="147"/>
        <v>30000</v>
      </c>
    </row>
    <row r="749" spans="1:6" s="2993" customFormat="1">
      <c r="A749" s="3202"/>
      <c r="B749" s="2991" t="s">
        <v>3976</v>
      </c>
      <c r="C749" s="2994">
        <v>45.51</v>
      </c>
      <c r="D749" s="2993" t="s">
        <v>3235</v>
      </c>
      <c r="E749" s="3002">
        <v>420000</v>
      </c>
    </row>
    <row r="750" spans="1:6" s="2993" customFormat="1">
      <c r="A750" s="3202"/>
      <c r="B750" s="2991" t="s">
        <v>3977</v>
      </c>
      <c r="C750" s="2994">
        <v>45.51</v>
      </c>
      <c r="D750" s="2993" t="s">
        <v>3235</v>
      </c>
      <c r="E750" s="3002">
        <v>420000</v>
      </c>
    </row>
    <row r="751" spans="1:6" s="2993" customFormat="1">
      <c r="A751" s="3202">
        <v>152</v>
      </c>
      <c r="B751" s="2991" t="s">
        <v>3978</v>
      </c>
      <c r="C751" s="2994">
        <v>134.28</v>
      </c>
      <c r="D751" s="2993" t="s">
        <v>3238</v>
      </c>
      <c r="E751" s="3002">
        <v>7699179</v>
      </c>
    </row>
    <row r="752" spans="1:6" s="2993" customFormat="1">
      <c r="A752" s="3202"/>
      <c r="B752" s="2991" t="s">
        <v>3979</v>
      </c>
      <c r="C752" s="2994">
        <v>84.49</v>
      </c>
      <c r="D752" s="2993" t="s">
        <v>4487</v>
      </c>
      <c r="E752" s="3002">
        <v>2534700</v>
      </c>
      <c r="F752" s="2993">
        <f t="shared" ref="F752:F753" si="148">E752/C752</f>
        <v>30000</v>
      </c>
    </row>
    <row r="753" spans="1:6" s="2993" customFormat="1">
      <c r="A753" s="3202"/>
      <c r="B753" s="2991" t="s">
        <v>3980</v>
      </c>
      <c r="C753" s="2994">
        <v>84.17</v>
      </c>
      <c r="D753" s="2993" t="s">
        <v>3252</v>
      </c>
      <c r="E753" s="3002">
        <v>2525100</v>
      </c>
      <c r="F753" s="2993">
        <f t="shared" si="148"/>
        <v>30000</v>
      </c>
    </row>
    <row r="754" spans="1:6" s="2993" customFormat="1">
      <c r="A754" s="3202"/>
      <c r="B754" s="2991" t="s">
        <v>3981</v>
      </c>
      <c r="C754" s="2994">
        <v>45.51</v>
      </c>
      <c r="D754" s="2993" t="s">
        <v>3254</v>
      </c>
      <c r="E754" s="3002">
        <v>420000</v>
      </c>
    </row>
    <row r="755" spans="1:6" s="2993" customFormat="1">
      <c r="A755" s="3202"/>
      <c r="B755" s="2991" t="s">
        <v>3982</v>
      </c>
      <c r="C755" s="2994">
        <v>45.51</v>
      </c>
      <c r="D755" s="2993" t="s">
        <v>3254</v>
      </c>
      <c r="E755" s="3002">
        <v>420000</v>
      </c>
    </row>
    <row r="756" spans="1:6" s="2993" customFormat="1">
      <c r="A756" s="3202">
        <v>153</v>
      </c>
      <c r="B756" s="2991" t="s">
        <v>3983</v>
      </c>
      <c r="C756" s="2994">
        <v>134.47</v>
      </c>
      <c r="D756" s="2993" t="s">
        <v>3257</v>
      </c>
      <c r="E756" s="3002">
        <v>8094049</v>
      </c>
    </row>
    <row r="757" spans="1:6" s="2993" customFormat="1">
      <c r="A757" s="3202"/>
      <c r="B757" s="2991" t="s">
        <v>3984</v>
      </c>
      <c r="C757" s="2994">
        <v>84.77</v>
      </c>
      <c r="D757" s="2993" t="s">
        <v>4487</v>
      </c>
      <c r="E757" s="3002">
        <v>2543100</v>
      </c>
      <c r="F757" s="2993">
        <f t="shared" ref="F757:F758" si="149">E757/C757</f>
        <v>30000</v>
      </c>
    </row>
    <row r="758" spans="1:6" s="2993" customFormat="1">
      <c r="A758" s="3202"/>
      <c r="B758" s="2991" t="s">
        <v>3985</v>
      </c>
      <c r="C758" s="2994">
        <v>84.17</v>
      </c>
      <c r="D758" s="2993" t="s">
        <v>3252</v>
      </c>
      <c r="E758" s="3002">
        <v>2525100</v>
      </c>
      <c r="F758" s="2993">
        <f t="shared" si="149"/>
        <v>30000</v>
      </c>
    </row>
    <row r="759" spans="1:6" s="2993" customFormat="1">
      <c r="A759" s="3202"/>
      <c r="B759" s="2991" t="s">
        <v>3986</v>
      </c>
      <c r="C759" s="2994">
        <v>45.51</v>
      </c>
      <c r="D759" s="2993" t="s">
        <v>3254</v>
      </c>
      <c r="E759" s="3002">
        <v>420000</v>
      </c>
    </row>
    <row r="760" spans="1:6" s="2993" customFormat="1">
      <c r="A760" s="3202"/>
      <c r="B760" s="2991" t="s">
        <v>3987</v>
      </c>
      <c r="C760" s="2994">
        <v>45.51</v>
      </c>
      <c r="D760" s="2993" t="s">
        <v>3254</v>
      </c>
      <c r="E760" s="3002">
        <v>420000</v>
      </c>
    </row>
    <row r="761" spans="1:6" s="2993" customFormat="1">
      <c r="A761" s="3202">
        <v>154</v>
      </c>
      <c r="B761" s="2991" t="s">
        <v>3988</v>
      </c>
      <c r="C761" s="2996">
        <v>134.11000000000001</v>
      </c>
      <c r="D761" s="2993" t="s">
        <v>3257</v>
      </c>
      <c r="E761" s="2996">
        <v>8517058</v>
      </c>
    </row>
    <row r="762" spans="1:6" s="2993" customFormat="1">
      <c r="A762" s="3202"/>
      <c r="B762" s="2991" t="s">
        <v>3989</v>
      </c>
      <c r="C762" s="2996">
        <v>84.23</v>
      </c>
      <c r="D762" s="2993" t="s">
        <v>4487</v>
      </c>
      <c r="E762" s="2996">
        <v>2526900</v>
      </c>
      <c r="F762" s="2993">
        <f t="shared" ref="F762:F763" si="150">E762/C762</f>
        <v>30000</v>
      </c>
    </row>
    <row r="763" spans="1:6" s="2993" customFormat="1">
      <c r="A763" s="3202"/>
      <c r="B763" s="2991" t="s">
        <v>3990</v>
      </c>
      <c r="C763" s="2996">
        <v>83.38</v>
      </c>
      <c r="D763" s="2993" t="s">
        <v>3252</v>
      </c>
      <c r="E763" s="2996">
        <v>2501400</v>
      </c>
      <c r="F763" s="2993">
        <f t="shared" si="150"/>
        <v>30000</v>
      </c>
    </row>
    <row r="764" spans="1:6" s="2993" customFormat="1">
      <c r="A764" s="3202"/>
      <c r="B764" s="2991" t="s">
        <v>3991</v>
      </c>
      <c r="C764" s="2994">
        <v>45.51</v>
      </c>
      <c r="D764" s="2993" t="s">
        <v>3254</v>
      </c>
      <c r="E764" s="2996">
        <v>420000</v>
      </c>
    </row>
    <row r="765" spans="1:6" s="2993" customFormat="1">
      <c r="A765" s="3202"/>
      <c r="B765" s="2991" t="s">
        <v>3992</v>
      </c>
      <c r="C765" s="2994">
        <v>45.51</v>
      </c>
      <c r="D765" s="2993" t="s">
        <v>3254</v>
      </c>
      <c r="E765" s="2996">
        <v>420000</v>
      </c>
    </row>
    <row r="766" spans="1:6" s="2993" customFormat="1">
      <c r="A766" s="3202">
        <v>155</v>
      </c>
      <c r="B766" s="2991" t="s">
        <v>3993</v>
      </c>
      <c r="C766" s="2996">
        <v>134.11000000000001</v>
      </c>
      <c r="D766" s="2993" t="s">
        <v>3257</v>
      </c>
      <c r="E766" s="2996">
        <v>7696563</v>
      </c>
    </row>
    <row r="767" spans="1:6" s="2993" customFormat="1">
      <c r="A767" s="3202"/>
      <c r="B767" s="2991" t="s">
        <v>3989</v>
      </c>
      <c r="C767" s="2996">
        <v>84.38</v>
      </c>
      <c r="D767" s="2993" t="s">
        <v>4487</v>
      </c>
      <c r="E767" s="2996">
        <v>2531400</v>
      </c>
      <c r="F767" s="2993">
        <f t="shared" ref="F767:F768" si="151">E767/C767</f>
        <v>30000</v>
      </c>
    </row>
    <row r="768" spans="1:6" s="2993" customFormat="1">
      <c r="A768" s="3202"/>
      <c r="B768" s="2991" t="s">
        <v>3994</v>
      </c>
      <c r="C768" s="2996">
        <v>84.1</v>
      </c>
      <c r="D768" s="2993" t="s">
        <v>3252</v>
      </c>
      <c r="E768" s="2996">
        <v>2523000</v>
      </c>
      <c r="F768" s="2993">
        <f t="shared" si="151"/>
        <v>30000.000000000004</v>
      </c>
    </row>
    <row r="769" spans="1:6" s="2993" customFormat="1">
      <c r="A769" s="3202"/>
      <c r="B769" s="2991" t="s">
        <v>3995</v>
      </c>
      <c r="C769" s="2994">
        <v>45.51</v>
      </c>
      <c r="D769" s="2993" t="s">
        <v>3254</v>
      </c>
      <c r="E769" s="2996">
        <v>420000</v>
      </c>
    </row>
    <row r="770" spans="1:6" s="2993" customFormat="1">
      <c r="A770" s="3202"/>
      <c r="B770" s="2991" t="s">
        <v>3996</v>
      </c>
      <c r="C770" s="2994">
        <v>45.51</v>
      </c>
      <c r="D770" s="2993" t="s">
        <v>3254</v>
      </c>
      <c r="E770" s="2996">
        <v>420000</v>
      </c>
    </row>
    <row r="771" spans="1:6" s="2993" customFormat="1">
      <c r="A771" s="3202">
        <v>156</v>
      </c>
      <c r="B771" s="2991" t="s">
        <v>3997</v>
      </c>
      <c r="C771" s="2996">
        <v>134.11000000000001</v>
      </c>
      <c r="D771" s="2993" t="s">
        <v>3257</v>
      </c>
      <c r="E771" s="2996">
        <v>7696563</v>
      </c>
    </row>
    <row r="772" spans="1:6" s="2993" customFormat="1">
      <c r="A772" s="3202"/>
      <c r="B772" s="2991" t="s">
        <v>3998</v>
      </c>
      <c r="C772" s="2996">
        <v>84.38</v>
      </c>
      <c r="D772" s="2993" t="s">
        <v>4487</v>
      </c>
      <c r="E772" s="2996">
        <v>2531400</v>
      </c>
      <c r="F772" s="2993">
        <f t="shared" ref="F772:F773" si="152">E772/C772</f>
        <v>30000</v>
      </c>
    </row>
    <row r="773" spans="1:6" s="2993" customFormat="1">
      <c r="A773" s="3202"/>
      <c r="B773" s="2991" t="s">
        <v>3999</v>
      </c>
      <c r="C773" s="2996">
        <v>84.1</v>
      </c>
      <c r="D773" s="2993" t="s">
        <v>3252</v>
      </c>
      <c r="E773" s="2996">
        <v>2523000</v>
      </c>
      <c r="F773" s="2993">
        <f t="shared" si="152"/>
        <v>30000.000000000004</v>
      </c>
    </row>
    <row r="774" spans="1:6" s="2993" customFormat="1">
      <c r="A774" s="3202"/>
      <c r="B774" s="2991" t="s">
        <v>4000</v>
      </c>
      <c r="C774" s="2994">
        <v>45.51</v>
      </c>
      <c r="D774" s="2993" t="s">
        <v>3254</v>
      </c>
      <c r="E774" s="2996">
        <v>420000</v>
      </c>
    </row>
    <row r="775" spans="1:6" s="2993" customFormat="1">
      <c r="A775" s="3202"/>
      <c r="B775" s="2991" t="s">
        <v>4001</v>
      </c>
      <c r="C775" s="2994">
        <v>45.51</v>
      </c>
      <c r="D775" s="2993" t="s">
        <v>3254</v>
      </c>
      <c r="E775" s="2996">
        <v>420000</v>
      </c>
    </row>
    <row r="776" spans="1:6" s="2993" customFormat="1">
      <c r="A776" s="3202">
        <v>157</v>
      </c>
      <c r="B776" s="2991" t="s">
        <v>4002</v>
      </c>
      <c r="C776" s="2996">
        <v>134.30000000000001</v>
      </c>
      <c r="D776" s="2993" t="s">
        <v>3257</v>
      </c>
      <c r="E776" s="2996">
        <v>7826386</v>
      </c>
    </row>
    <row r="777" spans="1:6" s="2993" customFormat="1">
      <c r="A777" s="3202"/>
      <c r="B777" s="2991" t="s">
        <v>4003</v>
      </c>
      <c r="C777" s="2996">
        <v>84.64</v>
      </c>
      <c r="D777" s="2993" t="s">
        <v>4487</v>
      </c>
      <c r="E777" s="2996">
        <v>2539200</v>
      </c>
      <c r="F777" s="2993">
        <f t="shared" ref="F777:F778" si="153">E777/C777</f>
        <v>30000</v>
      </c>
    </row>
    <row r="778" spans="1:6" s="2993" customFormat="1">
      <c r="A778" s="3202"/>
      <c r="B778" s="2991" t="s">
        <v>4004</v>
      </c>
      <c r="C778" s="2996">
        <v>84.1</v>
      </c>
      <c r="D778" s="2993" t="s">
        <v>3252</v>
      </c>
      <c r="E778" s="2996">
        <v>2523000</v>
      </c>
      <c r="F778" s="2993">
        <f t="shared" si="153"/>
        <v>30000.000000000004</v>
      </c>
    </row>
    <row r="779" spans="1:6" s="2993" customFormat="1">
      <c r="A779" s="3202"/>
      <c r="B779" s="2991" t="s">
        <v>4005</v>
      </c>
      <c r="C779" s="2994">
        <v>45.51</v>
      </c>
      <c r="D779" s="2993" t="s">
        <v>3254</v>
      </c>
      <c r="E779" s="2996">
        <v>420000</v>
      </c>
    </row>
    <row r="780" spans="1:6" s="2993" customFormat="1">
      <c r="A780" s="3202"/>
      <c r="B780" s="2991" t="s">
        <v>4006</v>
      </c>
      <c r="C780" s="2994">
        <v>45.51</v>
      </c>
      <c r="D780" s="2993" t="s">
        <v>3254</v>
      </c>
      <c r="E780" s="2996">
        <v>420000</v>
      </c>
    </row>
    <row r="781" spans="1:6" s="2993" customFormat="1">
      <c r="A781" s="3202">
        <v>158</v>
      </c>
      <c r="B781" s="2991" t="s">
        <v>4007</v>
      </c>
      <c r="C781" s="2996">
        <v>134.11000000000001</v>
      </c>
      <c r="D781" s="2993" t="s">
        <v>3257</v>
      </c>
      <c r="E781" s="2996">
        <v>8517058</v>
      </c>
    </row>
    <row r="782" spans="1:6" s="2993" customFormat="1">
      <c r="A782" s="3202"/>
      <c r="B782" s="2991" t="s">
        <v>4008</v>
      </c>
      <c r="C782" s="2996">
        <v>84.23</v>
      </c>
      <c r="D782" s="2993" t="s">
        <v>4487</v>
      </c>
      <c r="E782" s="2996">
        <v>2526900</v>
      </c>
      <c r="F782" s="2993">
        <f t="shared" ref="F782:F783" si="154">E782/C782</f>
        <v>30000</v>
      </c>
    </row>
    <row r="783" spans="1:6" s="2993" customFormat="1">
      <c r="A783" s="3202"/>
      <c r="B783" s="2991" t="s">
        <v>4009</v>
      </c>
      <c r="C783" s="2996">
        <v>83.38</v>
      </c>
      <c r="D783" s="2993" t="s">
        <v>3252</v>
      </c>
      <c r="E783" s="2996">
        <v>2501400</v>
      </c>
      <c r="F783" s="2993">
        <f t="shared" si="154"/>
        <v>30000</v>
      </c>
    </row>
    <row r="784" spans="1:6" s="2993" customFormat="1">
      <c r="A784" s="3202"/>
      <c r="B784" s="2991" t="s">
        <v>4010</v>
      </c>
      <c r="C784" s="2994">
        <v>45.51</v>
      </c>
      <c r="D784" s="2993" t="s">
        <v>3254</v>
      </c>
      <c r="E784" s="3002">
        <v>420000</v>
      </c>
    </row>
    <row r="785" spans="1:6" s="2993" customFormat="1">
      <c r="A785" s="3202"/>
      <c r="B785" s="2991" t="s">
        <v>4011</v>
      </c>
      <c r="C785" s="2994">
        <v>45.51</v>
      </c>
      <c r="D785" s="2993" t="s">
        <v>3254</v>
      </c>
      <c r="E785" s="3002">
        <v>420000</v>
      </c>
    </row>
    <row r="786" spans="1:6" s="2993" customFormat="1">
      <c r="A786" s="3202">
        <v>159</v>
      </c>
      <c r="B786" s="2991" t="s">
        <v>4012</v>
      </c>
      <c r="C786" s="2996">
        <v>134.11000000000001</v>
      </c>
      <c r="D786" s="2993" t="s">
        <v>3257</v>
      </c>
      <c r="E786" s="2996">
        <v>7894084</v>
      </c>
    </row>
    <row r="787" spans="1:6" s="2993" customFormat="1">
      <c r="A787" s="3202"/>
      <c r="B787" s="2991" t="s">
        <v>4013</v>
      </c>
      <c r="C787" s="2996">
        <v>84.38</v>
      </c>
      <c r="D787" s="2993" t="s">
        <v>4487</v>
      </c>
      <c r="E787" s="2996">
        <v>2531400</v>
      </c>
      <c r="F787" s="2993">
        <f t="shared" ref="F787:F788" si="155">E787/C787</f>
        <v>30000</v>
      </c>
    </row>
    <row r="788" spans="1:6" s="2993" customFormat="1">
      <c r="A788" s="3202"/>
      <c r="B788" s="2991" t="s">
        <v>4014</v>
      </c>
      <c r="C788" s="2996">
        <v>84.1</v>
      </c>
      <c r="D788" s="2993" t="s">
        <v>3252</v>
      </c>
      <c r="E788" s="2996">
        <v>2523000</v>
      </c>
      <c r="F788" s="2993">
        <f t="shared" si="155"/>
        <v>30000.000000000004</v>
      </c>
    </row>
    <row r="789" spans="1:6" s="2993" customFormat="1">
      <c r="A789" s="3202"/>
      <c r="B789" s="2991" t="s">
        <v>4015</v>
      </c>
      <c r="C789" s="2994">
        <v>45.51</v>
      </c>
      <c r="D789" s="2993" t="s">
        <v>3254</v>
      </c>
      <c r="E789" s="3002">
        <v>420000</v>
      </c>
    </row>
    <row r="790" spans="1:6" s="2993" customFormat="1">
      <c r="A790" s="3202"/>
      <c r="B790" s="2991" t="s">
        <v>4016</v>
      </c>
      <c r="C790" s="2994">
        <v>45.51</v>
      </c>
      <c r="D790" s="2993" t="s">
        <v>3254</v>
      </c>
      <c r="E790" s="3002">
        <v>420000</v>
      </c>
    </row>
    <row r="791" spans="1:6" s="2993" customFormat="1">
      <c r="A791" s="3202">
        <v>160</v>
      </c>
      <c r="B791" s="2991" t="s">
        <v>4017</v>
      </c>
      <c r="C791" s="2996">
        <v>134.11000000000001</v>
      </c>
      <c r="D791" s="2993" t="s">
        <v>3257</v>
      </c>
      <c r="E791" s="2996">
        <v>7894084</v>
      </c>
    </row>
    <row r="792" spans="1:6" s="2993" customFormat="1">
      <c r="A792" s="3202"/>
      <c r="B792" s="2991" t="s">
        <v>4018</v>
      </c>
      <c r="C792" s="2996">
        <v>84.38</v>
      </c>
      <c r="D792" s="2993" t="s">
        <v>4487</v>
      </c>
      <c r="E792" s="2996">
        <v>2531400</v>
      </c>
      <c r="F792" s="2993">
        <f t="shared" ref="F792:F793" si="156">E792/C792</f>
        <v>30000</v>
      </c>
    </row>
    <row r="793" spans="1:6" s="2993" customFormat="1">
      <c r="A793" s="3202"/>
      <c r="B793" s="2991" t="s">
        <v>4019</v>
      </c>
      <c r="C793" s="2996">
        <v>84.1</v>
      </c>
      <c r="D793" s="2993" t="s">
        <v>3252</v>
      </c>
      <c r="E793" s="2996">
        <v>2523000</v>
      </c>
      <c r="F793" s="2993">
        <f t="shared" si="156"/>
        <v>30000.000000000004</v>
      </c>
    </row>
    <row r="794" spans="1:6" s="2993" customFormat="1">
      <c r="A794" s="3202"/>
      <c r="B794" s="2991" t="s">
        <v>4020</v>
      </c>
      <c r="C794" s="2994">
        <v>45.51</v>
      </c>
      <c r="D794" s="2993" t="s">
        <v>3254</v>
      </c>
      <c r="E794" s="3002">
        <v>420000</v>
      </c>
    </row>
    <row r="795" spans="1:6" s="2993" customFormat="1">
      <c r="A795" s="3202"/>
      <c r="B795" s="2991" t="s">
        <v>4021</v>
      </c>
      <c r="C795" s="2994">
        <v>45.51</v>
      </c>
      <c r="D795" s="2993" t="s">
        <v>3254</v>
      </c>
      <c r="E795" s="3002">
        <v>420000</v>
      </c>
    </row>
    <row r="796" spans="1:6" s="2993" customFormat="1">
      <c r="A796" s="3202">
        <v>161</v>
      </c>
      <c r="B796" s="2991" t="s">
        <v>4022</v>
      </c>
      <c r="C796" s="2996">
        <v>134.30000000000001</v>
      </c>
      <c r="D796" s="2993" t="s">
        <v>3257</v>
      </c>
      <c r="E796" s="2996">
        <v>8024196</v>
      </c>
    </row>
    <row r="797" spans="1:6" s="2993" customFormat="1">
      <c r="A797" s="3202"/>
      <c r="B797" s="2991" t="s">
        <v>4023</v>
      </c>
      <c r="C797" s="2996">
        <v>84.64</v>
      </c>
      <c r="D797" s="2993" t="s">
        <v>4487</v>
      </c>
      <c r="E797" s="2996">
        <v>2539200</v>
      </c>
      <c r="F797" s="2993">
        <f t="shared" ref="F797:F798" si="157">E797/C797</f>
        <v>30000</v>
      </c>
    </row>
    <row r="798" spans="1:6" s="2993" customFormat="1">
      <c r="A798" s="3202"/>
      <c r="B798" s="2991" t="s">
        <v>4024</v>
      </c>
      <c r="C798" s="2996">
        <v>84.1</v>
      </c>
      <c r="D798" s="2993" t="s">
        <v>3252</v>
      </c>
      <c r="E798" s="2996">
        <v>2523000</v>
      </c>
      <c r="F798" s="2993">
        <f t="shared" si="157"/>
        <v>30000.000000000004</v>
      </c>
    </row>
    <row r="799" spans="1:6" s="2993" customFormat="1">
      <c r="A799" s="3202"/>
      <c r="B799" s="2991" t="s">
        <v>4025</v>
      </c>
      <c r="C799" s="2994">
        <v>45.51</v>
      </c>
      <c r="D799" s="2993" t="s">
        <v>3254</v>
      </c>
      <c r="E799" s="3002">
        <v>420000</v>
      </c>
    </row>
    <row r="800" spans="1:6" s="2993" customFormat="1">
      <c r="A800" s="3202"/>
      <c r="B800" s="2991" t="s">
        <v>4026</v>
      </c>
      <c r="C800" s="2994">
        <v>45.51</v>
      </c>
      <c r="D800" s="2993" t="s">
        <v>3254</v>
      </c>
      <c r="E800" s="3002">
        <v>420000</v>
      </c>
    </row>
    <row r="801" spans="1:6" s="2993" customFormat="1">
      <c r="A801" s="3202">
        <v>162</v>
      </c>
      <c r="B801" s="2991" t="s">
        <v>4027</v>
      </c>
      <c r="C801" s="2996">
        <v>178.28</v>
      </c>
      <c r="D801" s="2993" t="s">
        <v>3257</v>
      </c>
      <c r="E801" s="2996">
        <v>11322206</v>
      </c>
    </row>
    <row r="802" spans="1:6" s="2993" customFormat="1">
      <c r="A802" s="3202"/>
      <c r="B802" s="2991" t="s">
        <v>4028</v>
      </c>
      <c r="C802" s="2996">
        <v>114.56</v>
      </c>
      <c r="D802" s="2993" t="s">
        <v>4487</v>
      </c>
      <c r="E802" s="2996">
        <v>3436800</v>
      </c>
      <c r="F802" s="2993">
        <f t="shared" ref="F802:F803" si="158">E802/C802</f>
        <v>30000</v>
      </c>
    </row>
    <row r="803" spans="1:6" s="2993" customFormat="1">
      <c r="A803" s="3202"/>
      <c r="B803" s="2991" t="s">
        <v>4029</v>
      </c>
      <c r="C803" s="2996">
        <v>114.12</v>
      </c>
      <c r="D803" s="2993" t="s">
        <v>3252</v>
      </c>
      <c r="E803" s="2996">
        <v>3423600</v>
      </c>
      <c r="F803" s="2993">
        <f t="shared" si="158"/>
        <v>30000</v>
      </c>
    </row>
    <row r="804" spans="1:6" s="2993" customFormat="1">
      <c r="A804" s="3202"/>
      <c r="B804" s="2991" t="s">
        <v>4030</v>
      </c>
      <c r="C804" s="2994">
        <v>45.51</v>
      </c>
      <c r="D804" s="2993" t="s">
        <v>3254</v>
      </c>
      <c r="E804" s="3002">
        <v>420000</v>
      </c>
    </row>
    <row r="805" spans="1:6" s="2993" customFormat="1">
      <c r="A805" s="3202"/>
      <c r="B805" s="2991" t="s">
        <v>4031</v>
      </c>
      <c r="C805" s="2994">
        <v>45.51</v>
      </c>
      <c r="D805" s="2993" t="s">
        <v>3254</v>
      </c>
      <c r="E805" s="3002">
        <v>420000</v>
      </c>
    </row>
    <row r="806" spans="1:6" s="2993" customFormat="1">
      <c r="A806" s="3202">
        <v>163</v>
      </c>
      <c r="B806" s="2991" t="s">
        <v>4032</v>
      </c>
      <c r="C806" s="2996">
        <v>178.28</v>
      </c>
      <c r="D806" s="2993" t="s">
        <v>3257</v>
      </c>
      <c r="E806" s="2996">
        <v>11322206</v>
      </c>
    </row>
    <row r="807" spans="1:6" s="2993" customFormat="1">
      <c r="A807" s="3202"/>
      <c r="B807" s="2991" t="s">
        <v>4033</v>
      </c>
      <c r="C807" s="2996">
        <v>114.56</v>
      </c>
      <c r="D807" s="2993" t="s">
        <v>4487</v>
      </c>
      <c r="E807" s="2996">
        <v>3436800</v>
      </c>
      <c r="F807" s="2993">
        <f t="shared" ref="F807:F808" si="159">E807/C807</f>
        <v>30000</v>
      </c>
    </row>
    <row r="808" spans="1:6" s="2993" customFormat="1">
      <c r="A808" s="3202"/>
      <c r="B808" s="2991" t="s">
        <v>4034</v>
      </c>
      <c r="C808" s="2996">
        <v>114.12</v>
      </c>
      <c r="D808" s="2993" t="s">
        <v>3252</v>
      </c>
      <c r="E808" s="2996">
        <v>3423600</v>
      </c>
      <c r="F808" s="2993">
        <f t="shared" si="159"/>
        <v>30000</v>
      </c>
    </row>
    <row r="809" spans="1:6" s="2993" customFormat="1">
      <c r="A809" s="3202"/>
      <c r="B809" s="2991" t="s">
        <v>4035</v>
      </c>
      <c r="C809" s="2994">
        <v>45.51</v>
      </c>
      <c r="D809" s="2993" t="s">
        <v>3254</v>
      </c>
      <c r="E809" s="3002">
        <v>420000</v>
      </c>
    </row>
    <row r="810" spans="1:6" s="2993" customFormat="1">
      <c r="A810" s="3202"/>
      <c r="B810" s="2991" t="s">
        <v>4036</v>
      </c>
      <c r="C810" s="2994">
        <v>45.51</v>
      </c>
      <c r="D810" s="2993" t="s">
        <v>3254</v>
      </c>
      <c r="E810" s="3002">
        <v>420000</v>
      </c>
    </row>
    <row r="811" spans="1:6" s="2993" customFormat="1">
      <c r="A811" s="3202">
        <v>164</v>
      </c>
      <c r="B811" s="2991" t="s">
        <v>4037</v>
      </c>
      <c r="C811" s="2994">
        <v>134.29</v>
      </c>
      <c r="D811" s="2993" t="s">
        <v>3257</v>
      </c>
      <c r="E811" s="3002">
        <v>8528489</v>
      </c>
    </row>
    <row r="812" spans="1:6" s="2993" customFormat="1">
      <c r="A812" s="3202"/>
      <c r="B812" s="2991" t="s">
        <v>4038</v>
      </c>
      <c r="C812" s="2994">
        <v>84.35</v>
      </c>
      <c r="D812" s="2993" t="s">
        <v>4487</v>
      </c>
      <c r="E812" s="3002">
        <v>2530500</v>
      </c>
      <c r="F812" s="2993">
        <f t="shared" ref="F812:F813" si="160">E812/C812</f>
        <v>30000.000000000004</v>
      </c>
    </row>
    <row r="813" spans="1:6" s="2993" customFormat="1">
      <c r="A813" s="3202"/>
      <c r="B813" s="2991" t="s">
        <v>4039</v>
      </c>
      <c r="C813" s="2996">
        <v>83.45</v>
      </c>
      <c r="D813" s="2993" t="s">
        <v>3252</v>
      </c>
      <c r="E813" s="2996">
        <v>2503500</v>
      </c>
      <c r="F813" s="2993">
        <f t="shared" si="160"/>
        <v>30000</v>
      </c>
    </row>
    <row r="814" spans="1:6" s="2993" customFormat="1">
      <c r="A814" s="3202"/>
      <c r="B814" s="2991" t="s">
        <v>4040</v>
      </c>
      <c r="C814" s="2994">
        <v>45.51</v>
      </c>
      <c r="D814" s="2993" t="s">
        <v>3254</v>
      </c>
      <c r="E814" s="3002">
        <v>420000</v>
      </c>
    </row>
    <row r="815" spans="1:6" s="2993" customFormat="1">
      <c r="A815" s="3202"/>
      <c r="B815" s="2991" t="s">
        <v>4041</v>
      </c>
      <c r="C815" s="2994">
        <v>45.51</v>
      </c>
      <c r="D815" s="2993" t="s">
        <v>3254</v>
      </c>
      <c r="E815" s="3002">
        <v>420000</v>
      </c>
    </row>
    <row r="816" spans="1:6" s="2993" customFormat="1">
      <c r="A816" s="3202">
        <v>165</v>
      </c>
      <c r="B816" s="2991" t="s">
        <v>4042</v>
      </c>
      <c r="C816" s="2994">
        <v>134.28</v>
      </c>
      <c r="D816" s="2993" t="s">
        <v>3257</v>
      </c>
      <c r="E816" s="3002">
        <v>7587713</v>
      </c>
    </row>
    <row r="817" spans="1:6" s="2993" customFormat="1">
      <c r="A817" s="3202"/>
      <c r="B817" s="2991" t="s">
        <v>4043</v>
      </c>
      <c r="C817" s="2996">
        <v>84.49</v>
      </c>
      <c r="D817" s="2993" t="s">
        <v>4487</v>
      </c>
      <c r="E817" s="2996">
        <v>2534700</v>
      </c>
      <c r="F817" s="2993">
        <f t="shared" ref="F817:F818" si="161">E817/C817</f>
        <v>30000</v>
      </c>
    </row>
    <row r="818" spans="1:6" s="2993" customFormat="1">
      <c r="A818" s="3202"/>
      <c r="B818" s="2991" t="s">
        <v>4044</v>
      </c>
      <c r="C818" s="2996">
        <v>84.17</v>
      </c>
      <c r="D818" s="2993" t="s">
        <v>3252</v>
      </c>
      <c r="E818" s="2996">
        <v>2525100</v>
      </c>
      <c r="F818" s="2993">
        <f t="shared" si="161"/>
        <v>30000</v>
      </c>
    </row>
    <row r="819" spans="1:6" s="2993" customFormat="1">
      <c r="A819" s="3202"/>
      <c r="B819" s="2991" t="s">
        <v>4045</v>
      </c>
      <c r="C819" s="2994">
        <v>45.51</v>
      </c>
      <c r="D819" s="2993" t="s">
        <v>3254</v>
      </c>
      <c r="E819" s="3002">
        <v>420000</v>
      </c>
    </row>
    <row r="820" spans="1:6" s="2993" customFormat="1">
      <c r="A820" s="3202"/>
      <c r="B820" s="2991" t="s">
        <v>4046</v>
      </c>
      <c r="C820" s="2994">
        <v>45.51</v>
      </c>
      <c r="D820" s="2993" t="s">
        <v>3254</v>
      </c>
      <c r="E820" s="3002">
        <v>420000</v>
      </c>
    </row>
    <row r="821" spans="1:6" s="2993" customFormat="1">
      <c r="A821" s="3202">
        <v>166</v>
      </c>
      <c r="B821" s="2991" t="s">
        <v>4047</v>
      </c>
      <c r="C821" s="2994">
        <v>134.47</v>
      </c>
      <c r="D821" s="2993" t="s">
        <v>3257</v>
      </c>
      <c r="E821" s="3002">
        <v>7717461</v>
      </c>
    </row>
    <row r="822" spans="1:6" s="2993" customFormat="1">
      <c r="A822" s="3202"/>
      <c r="B822" s="2991" t="s">
        <v>4048</v>
      </c>
      <c r="C822" s="2994">
        <v>84.77</v>
      </c>
      <c r="D822" s="2993" t="s">
        <v>4487</v>
      </c>
      <c r="E822" s="3002">
        <v>2543100</v>
      </c>
      <c r="F822" s="2993">
        <f t="shared" ref="F822:F823" si="162">E822/C822</f>
        <v>30000</v>
      </c>
    </row>
    <row r="823" spans="1:6" s="2993" customFormat="1">
      <c r="A823" s="3202"/>
      <c r="B823" s="2991" t="s">
        <v>4049</v>
      </c>
      <c r="C823" s="2996">
        <v>84.17</v>
      </c>
      <c r="D823" s="2993" t="s">
        <v>3252</v>
      </c>
      <c r="E823" s="2996">
        <v>2525100</v>
      </c>
      <c r="F823" s="2993">
        <f t="shared" si="162"/>
        <v>30000</v>
      </c>
    </row>
    <row r="824" spans="1:6" s="2993" customFormat="1">
      <c r="A824" s="3202"/>
      <c r="B824" s="2991" t="s">
        <v>4050</v>
      </c>
      <c r="C824" s="2994">
        <v>45.51</v>
      </c>
      <c r="D824" s="2993" t="s">
        <v>3254</v>
      </c>
      <c r="E824" s="3002">
        <v>420000</v>
      </c>
    </row>
    <row r="825" spans="1:6" s="2993" customFormat="1">
      <c r="A825" s="3202"/>
      <c r="B825" s="2991" t="s">
        <v>4051</v>
      </c>
      <c r="C825" s="2994">
        <v>45.51</v>
      </c>
      <c r="D825" s="2993" t="s">
        <v>3254</v>
      </c>
      <c r="E825" s="3002">
        <v>420000</v>
      </c>
    </row>
    <row r="826" spans="1:6" s="2993" customFormat="1">
      <c r="A826" s="3202">
        <v>167</v>
      </c>
      <c r="B826" s="2991" t="s">
        <v>4052</v>
      </c>
      <c r="C826" s="2996">
        <v>134.29</v>
      </c>
      <c r="D826" s="2993" t="s">
        <v>3384</v>
      </c>
      <c r="E826" s="2996">
        <v>8528489</v>
      </c>
    </row>
    <row r="827" spans="1:6" s="2993" customFormat="1">
      <c r="A827" s="3202"/>
      <c r="B827" s="2991" t="s">
        <v>4053</v>
      </c>
      <c r="C827" s="2996">
        <v>84.35</v>
      </c>
      <c r="D827" s="2993" t="s">
        <v>4487</v>
      </c>
      <c r="E827" s="2996">
        <v>2530500</v>
      </c>
      <c r="F827" s="2993">
        <f t="shared" ref="F827:F828" si="163">E827/C827</f>
        <v>30000.000000000004</v>
      </c>
    </row>
    <row r="828" spans="1:6" s="2993" customFormat="1">
      <c r="A828" s="3202"/>
      <c r="B828" s="2991" t="s">
        <v>4054</v>
      </c>
      <c r="C828" s="2996">
        <v>83.45</v>
      </c>
      <c r="D828" s="2993" t="s">
        <v>3379</v>
      </c>
      <c r="E828" s="2996">
        <v>2503500</v>
      </c>
      <c r="F828" s="2993">
        <f t="shared" si="163"/>
        <v>30000</v>
      </c>
    </row>
    <row r="829" spans="1:6" s="2993" customFormat="1">
      <c r="A829" s="3202"/>
      <c r="B829" s="2991" t="s">
        <v>4055</v>
      </c>
      <c r="C829" s="2994">
        <v>45.51</v>
      </c>
      <c r="D829" s="2993" t="s">
        <v>3381</v>
      </c>
      <c r="E829" s="3002">
        <v>420000</v>
      </c>
    </row>
    <row r="830" spans="1:6" s="2993" customFormat="1">
      <c r="A830" s="3202"/>
      <c r="B830" s="2991" t="s">
        <v>4056</v>
      </c>
      <c r="C830" s="2994">
        <v>45.51</v>
      </c>
      <c r="D830" s="2993" t="s">
        <v>3381</v>
      </c>
      <c r="E830" s="3002">
        <v>420000</v>
      </c>
    </row>
    <row r="831" spans="1:6" s="2993" customFormat="1">
      <c r="A831" s="3202">
        <v>168</v>
      </c>
      <c r="B831" s="2991" t="s">
        <v>4057</v>
      </c>
      <c r="C831" s="2996">
        <v>134.28</v>
      </c>
      <c r="D831" s="2993" t="s">
        <v>3384</v>
      </c>
      <c r="E831" s="2996">
        <v>7785469</v>
      </c>
    </row>
    <row r="832" spans="1:6" s="2993" customFormat="1">
      <c r="A832" s="3202"/>
      <c r="B832" s="2991" t="s">
        <v>4058</v>
      </c>
      <c r="C832" s="2996">
        <v>84.49</v>
      </c>
      <c r="D832" s="2993" t="s">
        <v>4487</v>
      </c>
      <c r="E832" s="2996">
        <v>2534700</v>
      </c>
      <c r="F832" s="2993">
        <f t="shared" ref="F832:F833" si="164">E832/C832</f>
        <v>30000</v>
      </c>
    </row>
    <row r="833" spans="1:6" s="2993" customFormat="1">
      <c r="A833" s="3202"/>
      <c r="B833" s="2991" t="s">
        <v>4059</v>
      </c>
      <c r="C833" s="2996">
        <v>84.17</v>
      </c>
      <c r="D833" s="2993" t="s">
        <v>3379</v>
      </c>
      <c r="E833" s="2996">
        <v>2525100</v>
      </c>
      <c r="F833" s="2993">
        <f t="shared" si="164"/>
        <v>30000</v>
      </c>
    </row>
    <row r="834" spans="1:6" s="2993" customFormat="1">
      <c r="A834" s="3202"/>
      <c r="B834" s="2991" t="s">
        <v>4060</v>
      </c>
      <c r="C834" s="2994">
        <v>45.51</v>
      </c>
      <c r="D834" s="2993" t="s">
        <v>3381</v>
      </c>
      <c r="E834" s="3002">
        <v>420000</v>
      </c>
    </row>
    <row r="835" spans="1:6" s="2993" customFormat="1">
      <c r="A835" s="3202"/>
      <c r="B835" s="2991" t="s">
        <v>4061</v>
      </c>
      <c r="C835" s="2994">
        <v>45.51</v>
      </c>
      <c r="D835" s="2993" t="s">
        <v>3381</v>
      </c>
      <c r="E835" s="3002">
        <v>420000</v>
      </c>
    </row>
    <row r="836" spans="1:6" s="2993" customFormat="1">
      <c r="A836" s="3202">
        <v>169</v>
      </c>
      <c r="B836" s="2991" t="s">
        <v>4062</v>
      </c>
      <c r="C836" s="2996">
        <v>134.47</v>
      </c>
      <c r="D836" s="2993" t="s">
        <v>3384</v>
      </c>
      <c r="E836" s="2996">
        <v>7915515</v>
      </c>
    </row>
    <row r="837" spans="1:6" s="2993" customFormat="1">
      <c r="A837" s="3202"/>
      <c r="B837" s="2991" t="s">
        <v>4063</v>
      </c>
      <c r="C837" s="2996">
        <v>84.77</v>
      </c>
      <c r="D837" s="2993" t="s">
        <v>4487</v>
      </c>
      <c r="E837" s="2996">
        <v>2543100</v>
      </c>
      <c r="F837" s="2993">
        <f t="shared" ref="F837:F838" si="165">E837/C837</f>
        <v>30000</v>
      </c>
    </row>
    <row r="838" spans="1:6" s="2993" customFormat="1">
      <c r="A838" s="3202"/>
      <c r="B838" s="2991" t="s">
        <v>4064</v>
      </c>
      <c r="C838" s="2996">
        <v>84.17</v>
      </c>
      <c r="D838" s="2993" t="s">
        <v>3379</v>
      </c>
      <c r="E838" s="2996">
        <v>2525100</v>
      </c>
      <c r="F838" s="2993">
        <f t="shared" si="165"/>
        <v>30000</v>
      </c>
    </row>
    <row r="839" spans="1:6" s="2993" customFormat="1">
      <c r="A839" s="3202"/>
      <c r="B839" s="2991" t="s">
        <v>4065</v>
      </c>
      <c r="C839" s="2994">
        <v>45.51</v>
      </c>
      <c r="D839" s="2993" t="s">
        <v>3381</v>
      </c>
      <c r="E839" s="3002">
        <v>420000</v>
      </c>
    </row>
    <row r="840" spans="1:6" s="2993" customFormat="1">
      <c r="A840" s="3202"/>
      <c r="B840" s="2991" t="s">
        <v>4066</v>
      </c>
      <c r="C840" s="2994">
        <v>45.51</v>
      </c>
      <c r="D840" s="2993" t="s">
        <v>3381</v>
      </c>
      <c r="E840" s="3002">
        <v>420000</v>
      </c>
    </row>
    <row r="841" spans="1:6" s="2993" customFormat="1">
      <c r="A841" s="3202">
        <v>170</v>
      </c>
      <c r="B841" s="2991" t="s">
        <v>4067</v>
      </c>
      <c r="C841" s="2995">
        <v>134.47</v>
      </c>
      <c r="D841" s="2993" t="s">
        <v>3384</v>
      </c>
      <c r="E841" s="2995">
        <v>8539921</v>
      </c>
    </row>
    <row r="842" spans="1:6" s="2993" customFormat="1">
      <c r="A842" s="3202"/>
      <c r="B842" s="2991" t="s">
        <v>4068</v>
      </c>
      <c r="C842" s="2995">
        <v>84.48</v>
      </c>
      <c r="D842" s="2993" t="s">
        <v>4487</v>
      </c>
      <c r="E842" s="2995">
        <v>2534400</v>
      </c>
      <c r="F842" s="2993">
        <f t="shared" ref="F842:F843" si="166">E842/C842</f>
        <v>30000</v>
      </c>
    </row>
    <row r="843" spans="1:6" s="2993" customFormat="1">
      <c r="A843" s="3202"/>
      <c r="B843" s="2991" t="s">
        <v>4069</v>
      </c>
      <c r="C843" s="2996">
        <v>83.57</v>
      </c>
      <c r="D843" s="2993" t="s">
        <v>3379</v>
      </c>
      <c r="E843" s="2996">
        <v>2507100</v>
      </c>
      <c r="F843" s="2993">
        <f t="shared" si="166"/>
        <v>30000.000000000004</v>
      </c>
    </row>
    <row r="844" spans="1:6" s="2993" customFormat="1">
      <c r="A844" s="3202"/>
      <c r="B844" s="2991" t="s">
        <v>4070</v>
      </c>
      <c r="C844" s="2994">
        <v>45.51</v>
      </c>
      <c r="D844" s="2993" t="s">
        <v>3381</v>
      </c>
      <c r="E844" s="3002">
        <v>420000</v>
      </c>
    </row>
    <row r="845" spans="1:6" s="2993" customFormat="1">
      <c r="A845" s="3202"/>
      <c r="B845" s="2991" t="s">
        <v>4071</v>
      </c>
      <c r="C845" s="2994">
        <v>45.51</v>
      </c>
      <c r="D845" s="2993" t="s">
        <v>3381</v>
      </c>
      <c r="E845" s="3002">
        <v>420000</v>
      </c>
    </row>
    <row r="846" spans="1:6" s="2993" customFormat="1">
      <c r="A846" s="3202">
        <v>171</v>
      </c>
      <c r="B846" s="2991" t="s">
        <v>4072</v>
      </c>
      <c r="C846" s="2996">
        <v>134.66</v>
      </c>
      <c r="D846" s="2993" t="s">
        <v>3384</v>
      </c>
      <c r="E846" s="2996">
        <v>7847366</v>
      </c>
    </row>
    <row r="847" spans="1:6" s="2993" customFormat="1">
      <c r="A847" s="3202"/>
      <c r="B847" s="2991" t="s">
        <v>4073</v>
      </c>
      <c r="C847" s="2996">
        <v>84.89</v>
      </c>
      <c r="D847" s="2993" t="s">
        <v>4487</v>
      </c>
      <c r="E847" s="2996">
        <v>2546700</v>
      </c>
      <c r="F847" s="2993">
        <f t="shared" ref="F847:F848" si="167">E847/C847</f>
        <v>30000</v>
      </c>
    </row>
    <row r="848" spans="1:6" s="2993" customFormat="1">
      <c r="A848" s="3202"/>
      <c r="B848" s="2991" t="s">
        <v>4074</v>
      </c>
      <c r="C848" s="2996">
        <v>84.29</v>
      </c>
      <c r="D848" s="2993" t="s">
        <v>3379</v>
      </c>
      <c r="E848" s="2996">
        <v>2528700</v>
      </c>
      <c r="F848" s="2993">
        <f t="shared" si="167"/>
        <v>29999.999999999996</v>
      </c>
    </row>
    <row r="849" spans="1:6" s="2993" customFormat="1">
      <c r="A849" s="3202"/>
      <c r="B849" s="2991" t="s">
        <v>4075</v>
      </c>
      <c r="C849" s="2994">
        <v>45.51</v>
      </c>
      <c r="D849" s="2993" t="s">
        <v>3381</v>
      </c>
      <c r="E849" s="3002">
        <v>420000</v>
      </c>
    </row>
    <row r="850" spans="1:6" s="2993" customFormat="1">
      <c r="A850" s="3202"/>
      <c r="B850" s="2991" t="s">
        <v>4076</v>
      </c>
      <c r="C850" s="2994">
        <v>45.51</v>
      </c>
      <c r="D850" s="2993" t="s">
        <v>3381</v>
      </c>
      <c r="E850" s="3002">
        <v>420000</v>
      </c>
    </row>
    <row r="851" spans="1:6" s="2993" customFormat="1">
      <c r="A851" s="3202">
        <v>172</v>
      </c>
      <c r="B851" s="2991" t="s">
        <v>4077</v>
      </c>
      <c r="C851" s="2996">
        <v>134.47</v>
      </c>
      <c r="D851" s="2993" t="s">
        <v>3384</v>
      </c>
      <c r="E851" s="2996">
        <v>8539921</v>
      </c>
    </row>
    <row r="852" spans="1:6" s="2993" customFormat="1">
      <c r="A852" s="3202"/>
      <c r="B852" s="2991" t="s">
        <v>4078</v>
      </c>
      <c r="C852" s="2996">
        <v>84.48</v>
      </c>
      <c r="D852" s="2993" t="s">
        <v>4487</v>
      </c>
      <c r="E852" s="2996">
        <v>2534400</v>
      </c>
      <c r="F852" s="2993">
        <f t="shared" ref="F852:F853" si="168">E852/C852</f>
        <v>30000</v>
      </c>
    </row>
    <row r="853" spans="1:6" s="2993" customFormat="1">
      <c r="A853" s="3202"/>
      <c r="B853" s="2991" t="s">
        <v>4079</v>
      </c>
      <c r="C853" s="2996">
        <v>83.57</v>
      </c>
      <c r="D853" s="2993" t="s">
        <v>3379</v>
      </c>
      <c r="E853" s="2996">
        <v>2507100</v>
      </c>
      <c r="F853" s="2993">
        <f t="shared" si="168"/>
        <v>30000.000000000004</v>
      </c>
    </row>
    <row r="854" spans="1:6" s="2993" customFormat="1">
      <c r="A854" s="3202"/>
      <c r="B854" s="2991" t="s">
        <v>4080</v>
      </c>
      <c r="C854" s="2994">
        <v>45.51</v>
      </c>
      <c r="D854" s="2993" t="s">
        <v>3381</v>
      </c>
      <c r="E854" s="3002">
        <v>420000</v>
      </c>
    </row>
    <row r="855" spans="1:6" s="2993" customFormat="1">
      <c r="A855" s="3202"/>
      <c r="B855" s="2991" t="s">
        <v>4081</v>
      </c>
      <c r="C855" s="2994">
        <v>45.51</v>
      </c>
      <c r="D855" s="2993" t="s">
        <v>3381</v>
      </c>
      <c r="E855" s="3002">
        <v>420000</v>
      </c>
    </row>
    <row r="856" spans="1:6" s="2993" customFormat="1">
      <c r="A856" s="3202">
        <v>173</v>
      </c>
      <c r="B856" s="2991" t="s">
        <v>4082</v>
      </c>
      <c r="C856" s="2996">
        <v>134.66</v>
      </c>
      <c r="D856" s="2993" t="s">
        <v>3384</v>
      </c>
      <c r="E856" s="2996">
        <v>8045701</v>
      </c>
    </row>
    <row r="857" spans="1:6" s="2993" customFormat="1">
      <c r="A857" s="3202"/>
      <c r="B857" s="2991" t="s">
        <v>4083</v>
      </c>
      <c r="C857" s="2996">
        <v>84.89</v>
      </c>
      <c r="D857" s="2993" t="s">
        <v>4487</v>
      </c>
      <c r="E857" s="2996">
        <v>2546700</v>
      </c>
      <c r="F857" s="2993">
        <f t="shared" ref="F857:F858" si="169">E857/C857</f>
        <v>30000</v>
      </c>
    </row>
    <row r="858" spans="1:6" s="2993" customFormat="1">
      <c r="A858" s="3202"/>
      <c r="B858" s="2991" t="s">
        <v>4084</v>
      </c>
      <c r="C858" s="2996">
        <v>84.29</v>
      </c>
      <c r="D858" s="2993" t="s">
        <v>3379</v>
      </c>
      <c r="E858" s="2996">
        <v>2528700</v>
      </c>
      <c r="F858" s="2993">
        <f t="shared" si="169"/>
        <v>29999.999999999996</v>
      </c>
    </row>
    <row r="859" spans="1:6" s="2993" customFormat="1">
      <c r="A859" s="3202"/>
      <c r="B859" s="2991" t="s">
        <v>4085</v>
      </c>
      <c r="C859" s="2994">
        <v>45.51</v>
      </c>
      <c r="D859" s="2993" t="s">
        <v>3381</v>
      </c>
      <c r="E859" s="3002">
        <v>420000</v>
      </c>
    </row>
    <row r="860" spans="1:6" s="2993" customFormat="1">
      <c r="A860" s="3202"/>
      <c r="B860" s="2991" t="s">
        <v>4086</v>
      </c>
      <c r="C860" s="2994">
        <v>45.51</v>
      </c>
      <c r="D860" s="2993" t="s">
        <v>3381</v>
      </c>
      <c r="E860" s="3002">
        <v>420000</v>
      </c>
    </row>
    <row r="861" spans="1:6" s="2993" customFormat="1">
      <c r="A861" s="3202">
        <v>174</v>
      </c>
      <c r="B861" s="2991" t="s">
        <v>4087</v>
      </c>
      <c r="C861" s="2999">
        <v>134.47</v>
      </c>
      <c r="D861" s="2993" t="s">
        <v>3384</v>
      </c>
      <c r="E861" s="2996">
        <v>8539921</v>
      </c>
    </row>
    <row r="862" spans="1:6" s="2993" customFormat="1">
      <c r="A862" s="3202"/>
      <c r="B862" s="2991" t="s">
        <v>4088</v>
      </c>
      <c r="C862" s="2996">
        <v>84.48</v>
      </c>
      <c r="D862" s="2993" t="s">
        <v>4487</v>
      </c>
      <c r="E862" s="2996">
        <v>2534400</v>
      </c>
      <c r="F862" s="2993">
        <f t="shared" ref="F862:F863" si="170">E862/C862</f>
        <v>30000</v>
      </c>
    </row>
    <row r="863" spans="1:6" s="2993" customFormat="1">
      <c r="A863" s="3202"/>
      <c r="B863" s="2991" t="s">
        <v>4089</v>
      </c>
      <c r="C863" s="2996">
        <v>83.57</v>
      </c>
      <c r="D863" s="2993" t="s">
        <v>3379</v>
      </c>
      <c r="E863" s="2996">
        <v>2507100</v>
      </c>
      <c r="F863" s="2993">
        <f t="shared" si="170"/>
        <v>30000.000000000004</v>
      </c>
    </row>
    <row r="864" spans="1:6" s="2993" customFormat="1">
      <c r="A864" s="3202"/>
      <c r="B864" s="2991" t="s">
        <v>4090</v>
      </c>
      <c r="C864" s="2994">
        <v>45.51</v>
      </c>
      <c r="D864" s="2993" t="s">
        <v>3381</v>
      </c>
      <c r="E864" s="3002">
        <v>420000</v>
      </c>
    </row>
    <row r="865" spans="1:6" s="2993" customFormat="1">
      <c r="A865" s="3202"/>
      <c r="B865" s="2991" t="s">
        <v>4091</v>
      </c>
      <c r="C865" s="2994">
        <v>45.51</v>
      </c>
      <c r="D865" s="2993" t="s">
        <v>3381</v>
      </c>
      <c r="E865" s="3002">
        <v>420000</v>
      </c>
    </row>
    <row r="866" spans="1:6" s="2993" customFormat="1">
      <c r="A866" s="3202">
        <v>175</v>
      </c>
      <c r="B866" s="2991" t="s">
        <v>4092</v>
      </c>
      <c r="C866" s="2996">
        <v>134.66</v>
      </c>
      <c r="D866" s="2993" t="s">
        <v>3257</v>
      </c>
      <c r="E866" s="2996">
        <v>7847366</v>
      </c>
    </row>
    <row r="867" spans="1:6" s="2993" customFormat="1">
      <c r="A867" s="3202"/>
      <c r="B867" s="2991" t="s">
        <v>4093</v>
      </c>
      <c r="C867" s="2996">
        <v>84.89</v>
      </c>
      <c r="D867" s="2993" t="s">
        <v>4487</v>
      </c>
      <c r="E867" s="2996">
        <v>2546700</v>
      </c>
      <c r="F867" s="2993">
        <f t="shared" ref="F867:F868" si="171">E867/C867</f>
        <v>30000</v>
      </c>
    </row>
    <row r="868" spans="1:6" s="2993" customFormat="1">
      <c r="A868" s="3202"/>
      <c r="B868" s="2991" t="s">
        <v>4094</v>
      </c>
      <c r="C868" s="2996">
        <v>84.29</v>
      </c>
      <c r="D868" s="2993" t="s">
        <v>3252</v>
      </c>
      <c r="E868" s="2996">
        <v>2528700</v>
      </c>
      <c r="F868" s="2993">
        <f t="shared" si="171"/>
        <v>29999.999999999996</v>
      </c>
    </row>
    <row r="869" spans="1:6" s="2993" customFormat="1">
      <c r="A869" s="3202"/>
      <c r="B869" s="2991" t="s">
        <v>4095</v>
      </c>
      <c r="C869" s="2994">
        <v>45.51</v>
      </c>
      <c r="D869" s="2993" t="s">
        <v>3254</v>
      </c>
      <c r="E869" s="3002">
        <v>420000</v>
      </c>
    </row>
    <row r="870" spans="1:6" s="2993" customFormat="1">
      <c r="A870" s="3202"/>
      <c r="B870" s="2991" t="s">
        <v>4096</v>
      </c>
      <c r="C870" s="2994">
        <v>45.51</v>
      </c>
      <c r="D870" s="2993" t="s">
        <v>3254</v>
      </c>
      <c r="E870" s="3002">
        <v>420000</v>
      </c>
    </row>
    <row r="871" spans="1:6" s="2993" customFormat="1">
      <c r="A871" s="3202">
        <v>176</v>
      </c>
      <c r="B871" s="2991" t="s">
        <v>4097</v>
      </c>
      <c r="C871" s="2996">
        <v>134.47</v>
      </c>
      <c r="D871" s="2993" t="s">
        <v>3384</v>
      </c>
      <c r="E871" s="2996">
        <v>8539921</v>
      </c>
    </row>
    <row r="872" spans="1:6" s="2993" customFormat="1">
      <c r="A872" s="3202"/>
      <c r="B872" s="2991" t="s">
        <v>4098</v>
      </c>
      <c r="C872" s="2996">
        <v>84.48</v>
      </c>
      <c r="D872" s="2993" t="s">
        <v>4487</v>
      </c>
      <c r="E872" s="2996">
        <v>2534400</v>
      </c>
      <c r="F872" s="2993">
        <f t="shared" ref="F872:F873" si="172">E872/C872</f>
        <v>30000</v>
      </c>
    </row>
    <row r="873" spans="1:6" s="2993" customFormat="1">
      <c r="A873" s="3202"/>
      <c r="B873" s="2991" t="s">
        <v>4099</v>
      </c>
      <c r="C873" s="2996">
        <v>83.57</v>
      </c>
      <c r="D873" s="2993" t="s">
        <v>3379</v>
      </c>
      <c r="E873" s="2996">
        <v>2507100</v>
      </c>
      <c r="F873" s="2993">
        <f t="shared" si="172"/>
        <v>30000.000000000004</v>
      </c>
    </row>
    <row r="874" spans="1:6" s="2993" customFormat="1">
      <c r="A874" s="3202"/>
      <c r="B874" s="2991" t="s">
        <v>4100</v>
      </c>
      <c r="C874" s="2994">
        <v>45.51</v>
      </c>
      <c r="D874" s="2993" t="s">
        <v>3381</v>
      </c>
      <c r="E874" s="3002">
        <v>420000</v>
      </c>
    </row>
    <row r="875" spans="1:6" s="2993" customFormat="1">
      <c r="A875" s="3202"/>
      <c r="B875" s="2991" t="s">
        <v>4101</v>
      </c>
      <c r="C875" s="2994">
        <v>45.51</v>
      </c>
      <c r="D875" s="2993" t="s">
        <v>3381</v>
      </c>
      <c r="E875" s="3002">
        <v>420000</v>
      </c>
    </row>
    <row r="876" spans="1:6" s="2993" customFormat="1">
      <c r="A876" s="3202">
        <v>177</v>
      </c>
      <c r="B876" s="2991" t="s">
        <v>4102</v>
      </c>
      <c r="C876" s="2996">
        <v>134.66</v>
      </c>
      <c r="D876" s="2993" t="s">
        <v>3384</v>
      </c>
      <c r="E876" s="2996">
        <v>8045701</v>
      </c>
    </row>
    <row r="877" spans="1:6" s="2993" customFormat="1">
      <c r="A877" s="3202"/>
      <c r="B877" s="2991" t="s">
        <v>4103</v>
      </c>
      <c r="C877" s="2996">
        <v>84.89</v>
      </c>
      <c r="D877" s="2993" t="s">
        <v>4487</v>
      </c>
      <c r="E877" s="2996">
        <v>2546700</v>
      </c>
      <c r="F877" s="2993">
        <f t="shared" ref="F877:F878" si="173">E877/C877</f>
        <v>30000</v>
      </c>
    </row>
    <row r="878" spans="1:6" s="2993" customFormat="1">
      <c r="A878" s="3202"/>
      <c r="B878" s="2991" t="s">
        <v>4104</v>
      </c>
      <c r="C878" s="2996">
        <v>84.29</v>
      </c>
      <c r="D878" s="2993" t="s">
        <v>3379</v>
      </c>
      <c r="E878" s="2996">
        <v>2528700</v>
      </c>
      <c r="F878" s="2993">
        <f t="shared" si="173"/>
        <v>29999.999999999996</v>
      </c>
    </row>
    <row r="879" spans="1:6" s="2993" customFormat="1">
      <c r="A879" s="3202"/>
      <c r="B879" s="2991" t="s">
        <v>4105</v>
      </c>
      <c r="C879" s="2994">
        <v>45.51</v>
      </c>
      <c r="D879" s="2993" t="s">
        <v>3381</v>
      </c>
      <c r="E879" s="3002">
        <v>420000</v>
      </c>
    </row>
    <row r="880" spans="1:6" s="2993" customFormat="1">
      <c r="A880" s="3202"/>
      <c r="B880" s="2991" t="s">
        <v>4106</v>
      </c>
      <c r="C880" s="2994">
        <v>45.51</v>
      </c>
      <c r="D880" s="2993" t="s">
        <v>3381</v>
      </c>
      <c r="E880" s="3002">
        <v>420000</v>
      </c>
    </row>
    <row r="881" spans="1:6" s="2993" customFormat="1">
      <c r="A881" s="3202">
        <v>178</v>
      </c>
      <c r="B881" s="2991" t="s">
        <v>4107</v>
      </c>
      <c r="C881" s="2996">
        <v>134.18</v>
      </c>
      <c r="D881" s="2993" t="s">
        <v>3384</v>
      </c>
      <c r="E881" s="2996">
        <v>8521503</v>
      </c>
    </row>
    <row r="882" spans="1:6" s="2993" customFormat="1">
      <c r="A882" s="3202"/>
      <c r="B882" s="2991" t="s">
        <v>4108</v>
      </c>
      <c r="C882" s="2996">
        <v>84.28</v>
      </c>
      <c r="D882" s="2993" t="s">
        <v>4487</v>
      </c>
      <c r="E882" s="2996">
        <v>2528400</v>
      </c>
      <c r="F882" s="2993">
        <f t="shared" ref="F882:F883" si="174">E882/C882</f>
        <v>30000</v>
      </c>
    </row>
    <row r="883" spans="1:6" s="2993" customFormat="1">
      <c r="A883" s="3202"/>
      <c r="B883" s="2991" t="s">
        <v>4109</v>
      </c>
      <c r="C883" s="2996">
        <v>83.43</v>
      </c>
      <c r="D883" s="2993" t="s">
        <v>3379</v>
      </c>
      <c r="E883" s="2996">
        <v>2502900</v>
      </c>
      <c r="F883" s="2993">
        <f t="shared" si="174"/>
        <v>29999.999999999996</v>
      </c>
    </row>
    <row r="884" spans="1:6" s="2993" customFormat="1">
      <c r="A884" s="3202"/>
      <c r="B884" s="2991" t="s">
        <v>4110</v>
      </c>
      <c r="C884" s="2994">
        <v>45.51</v>
      </c>
      <c r="D884" s="2993" t="s">
        <v>3381</v>
      </c>
      <c r="E884" s="3002">
        <v>420000</v>
      </c>
    </row>
    <row r="885" spans="1:6" s="2993" customFormat="1">
      <c r="A885" s="3202"/>
      <c r="B885" s="2991" t="s">
        <v>4111</v>
      </c>
      <c r="C885" s="2994">
        <v>45.51</v>
      </c>
      <c r="D885" s="2993" t="s">
        <v>3381</v>
      </c>
      <c r="E885" s="3002">
        <v>420000</v>
      </c>
    </row>
    <row r="886" spans="1:6" s="2993" customFormat="1">
      <c r="A886" s="3202">
        <v>179</v>
      </c>
      <c r="B886" s="2991" t="s">
        <v>4112</v>
      </c>
      <c r="C886" s="2996">
        <v>134.16999999999999</v>
      </c>
      <c r="D886" s="2993" t="s">
        <v>3384</v>
      </c>
      <c r="E886" s="2996">
        <v>7581417</v>
      </c>
    </row>
    <row r="887" spans="1:6" s="2993" customFormat="1">
      <c r="A887" s="3202"/>
      <c r="B887" s="2991" t="s">
        <v>4113</v>
      </c>
      <c r="C887" s="2996">
        <v>84.42</v>
      </c>
      <c r="D887" s="2993" t="s">
        <v>4487</v>
      </c>
      <c r="E887" s="2996">
        <v>2532600</v>
      </c>
      <c r="F887" s="2993">
        <f t="shared" ref="F887:F888" si="175">E887/C887</f>
        <v>30000</v>
      </c>
    </row>
    <row r="888" spans="1:6" s="2993" customFormat="1">
      <c r="A888" s="3202"/>
      <c r="B888" s="2991" t="s">
        <v>4114</v>
      </c>
      <c r="C888" s="2996">
        <v>84.15</v>
      </c>
      <c r="D888" s="2993" t="s">
        <v>3379</v>
      </c>
      <c r="E888" s="2996">
        <v>2524500</v>
      </c>
      <c r="F888" s="2993">
        <f t="shared" si="175"/>
        <v>29999.999999999996</v>
      </c>
    </row>
    <row r="889" spans="1:6" s="2993" customFormat="1">
      <c r="A889" s="3202"/>
      <c r="B889" s="2991" t="s">
        <v>4115</v>
      </c>
      <c r="C889" s="2994">
        <v>45.51</v>
      </c>
      <c r="D889" s="2993" t="s">
        <v>3381</v>
      </c>
      <c r="E889" s="3002">
        <v>420000</v>
      </c>
    </row>
    <row r="890" spans="1:6" s="2993" customFormat="1">
      <c r="A890" s="3202"/>
      <c r="B890" s="2991" t="s">
        <v>4116</v>
      </c>
      <c r="C890" s="2994">
        <v>45.51</v>
      </c>
      <c r="D890" s="2993" t="s">
        <v>3381</v>
      </c>
      <c r="E890" s="3002">
        <v>420000</v>
      </c>
    </row>
    <row r="891" spans="1:6" s="2993" customFormat="1">
      <c r="A891" s="3202">
        <v>180</v>
      </c>
      <c r="B891" s="2991" t="s">
        <v>4117</v>
      </c>
      <c r="C891" s="2996">
        <v>134.36000000000001</v>
      </c>
      <c r="D891" s="2993" t="s">
        <v>3384</v>
      </c>
      <c r="E891" s="2996">
        <v>7711133</v>
      </c>
    </row>
    <row r="892" spans="1:6" s="2993" customFormat="1">
      <c r="A892" s="3202"/>
      <c r="B892" s="2991" t="s">
        <v>4118</v>
      </c>
      <c r="C892" s="2996">
        <v>84.7</v>
      </c>
      <c r="D892" s="2993" t="s">
        <v>4487</v>
      </c>
      <c r="E892" s="2996">
        <v>2541000</v>
      </c>
      <c r="F892" s="2993">
        <f t="shared" ref="F892:F893" si="176">E892/C892</f>
        <v>30000</v>
      </c>
    </row>
    <row r="893" spans="1:6" s="2993" customFormat="1">
      <c r="A893" s="3202"/>
      <c r="B893" s="2991" t="s">
        <v>4119</v>
      </c>
      <c r="C893" s="2996">
        <v>84.15</v>
      </c>
      <c r="D893" s="2993" t="s">
        <v>3379</v>
      </c>
      <c r="E893" s="2996">
        <v>2524500</v>
      </c>
      <c r="F893" s="2993">
        <f t="shared" si="176"/>
        <v>29999.999999999996</v>
      </c>
    </row>
    <row r="894" spans="1:6" s="2993" customFormat="1">
      <c r="A894" s="3202"/>
      <c r="B894" s="2991" t="s">
        <v>4120</v>
      </c>
      <c r="C894" s="2994">
        <v>45.51</v>
      </c>
      <c r="D894" s="2993" t="s">
        <v>3381</v>
      </c>
      <c r="E894" s="3002">
        <v>420000</v>
      </c>
    </row>
    <row r="895" spans="1:6" s="2993" customFormat="1">
      <c r="A895" s="3202"/>
      <c r="B895" s="2991" t="s">
        <v>4121</v>
      </c>
      <c r="C895" s="2994">
        <v>45.51</v>
      </c>
      <c r="D895" s="2993" t="s">
        <v>3381</v>
      </c>
      <c r="E895" s="3002">
        <v>420000</v>
      </c>
    </row>
    <row r="896" spans="1:6" s="2993" customFormat="1">
      <c r="A896" s="3202">
        <v>181</v>
      </c>
      <c r="B896" s="2991" t="s">
        <v>4122</v>
      </c>
      <c r="C896" s="2996">
        <v>134.18</v>
      </c>
      <c r="D896" s="2993" t="s">
        <v>3384</v>
      </c>
      <c r="E896" s="2996">
        <v>8521503</v>
      </c>
    </row>
    <row r="897" spans="1:6" s="2993" customFormat="1">
      <c r="A897" s="3202"/>
      <c r="B897" s="2991" t="s">
        <v>4123</v>
      </c>
      <c r="C897" s="2996">
        <v>84.28</v>
      </c>
      <c r="D897" s="2993" t="s">
        <v>4487</v>
      </c>
      <c r="E897" s="2996">
        <v>2528400</v>
      </c>
      <c r="F897" s="2993">
        <f t="shared" ref="F897:F898" si="177">E897/C897</f>
        <v>30000</v>
      </c>
    </row>
    <row r="898" spans="1:6" s="2993" customFormat="1">
      <c r="A898" s="3202"/>
      <c r="B898" s="2991" t="s">
        <v>4124</v>
      </c>
      <c r="C898" s="2996">
        <v>83.43</v>
      </c>
      <c r="D898" s="2993" t="s">
        <v>3379</v>
      </c>
      <c r="E898" s="2996">
        <v>2502900</v>
      </c>
      <c r="F898" s="2993">
        <f t="shared" si="177"/>
        <v>29999.999999999996</v>
      </c>
    </row>
    <row r="899" spans="1:6" s="2993" customFormat="1">
      <c r="A899" s="3202"/>
      <c r="B899" s="2991" t="s">
        <v>4125</v>
      </c>
      <c r="C899" s="2994">
        <v>45.51</v>
      </c>
      <c r="D899" s="2993" t="s">
        <v>3381</v>
      </c>
      <c r="E899" s="3002">
        <v>420000</v>
      </c>
    </row>
    <row r="900" spans="1:6" s="2993" customFormat="1">
      <c r="A900" s="3202"/>
      <c r="B900" s="2991" t="s">
        <v>4126</v>
      </c>
      <c r="C900" s="2994">
        <v>45.51</v>
      </c>
      <c r="D900" s="2993" t="s">
        <v>3381</v>
      </c>
      <c r="E900" s="3002">
        <v>420000</v>
      </c>
    </row>
    <row r="901" spans="1:6" s="2993" customFormat="1">
      <c r="A901" s="3202">
        <v>182</v>
      </c>
      <c r="B901" s="2991" t="s">
        <v>4127</v>
      </c>
      <c r="C901" s="2996">
        <v>134.16999999999999</v>
      </c>
      <c r="D901" s="2993" t="s">
        <v>3384</v>
      </c>
      <c r="E901" s="2996">
        <v>7779032</v>
      </c>
    </row>
    <row r="902" spans="1:6" s="2993" customFormat="1">
      <c r="A902" s="3202"/>
      <c r="B902" s="2991" t="s">
        <v>4128</v>
      </c>
      <c r="C902" s="2996">
        <v>84.42</v>
      </c>
      <c r="D902" s="2993" t="s">
        <v>4487</v>
      </c>
      <c r="E902" s="2996">
        <v>2532600</v>
      </c>
      <c r="F902" s="2993">
        <f t="shared" ref="F902:F903" si="178">E902/C902</f>
        <v>30000</v>
      </c>
    </row>
    <row r="903" spans="1:6" s="2993" customFormat="1">
      <c r="A903" s="3202"/>
      <c r="B903" s="2991" t="s">
        <v>4129</v>
      </c>
      <c r="C903" s="2996">
        <v>84.15</v>
      </c>
      <c r="D903" s="2993" t="s">
        <v>3379</v>
      </c>
      <c r="E903" s="2996">
        <v>2524500</v>
      </c>
      <c r="F903" s="2993">
        <f t="shared" si="178"/>
        <v>29999.999999999996</v>
      </c>
    </row>
    <row r="904" spans="1:6" s="2993" customFormat="1">
      <c r="A904" s="3202"/>
      <c r="B904" s="2991" t="s">
        <v>4130</v>
      </c>
      <c r="C904" s="2994">
        <v>45.51</v>
      </c>
      <c r="D904" s="2993" t="s">
        <v>3381</v>
      </c>
      <c r="E904" s="3002">
        <v>420000</v>
      </c>
    </row>
    <row r="905" spans="1:6" s="2993" customFormat="1">
      <c r="A905" s="3202"/>
      <c r="B905" s="2991" t="s">
        <v>4131</v>
      </c>
      <c r="C905" s="2994">
        <v>45.51</v>
      </c>
      <c r="D905" s="2993" t="s">
        <v>3381</v>
      </c>
      <c r="E905" s="3002">
        <v>420000</v>
      </c>
    </row>
    <row r="906" spans="1:6" s="2993" customFormat="1">
      <c r="A906" s="3202">
        <v>183</v>
      </c>
      <c r="B906" s="2991" t="s">
        <v>4132</v>
      </c>
      <c r="C906" s="2996">
        <v>134.36000000000001</v>
      </c>
      <c r="D906" s="2993" t="s">
        <v>3384</v>
      </c>
      <c r="E906" s="2996">
        <v>7909047</v>
      </c>
    </row>
    <row r="907" spans="1:6" s="2993" customFormat="1">
      <c r="A907" s="3202"/>
      <c r="B907" s="2991" t="s">
        <v>4133</v>
      </c>
      <c r="C907" s="2996">
        <v>84.7</v>
      </c>
      <c r="D907" s="2993" t="s">
        <v>4487</v>
      </c>
      <c r="E907" s="2996">
        <v>2541000</v>
      </c>
      <c r="F907" s="2993">
        <f t="shared" ref="F907:F908" si="179">E907/C907</f>
        <v>30000</v>
      </c>
    </row>
    <row r="908" spans="1:6" s="2993" customFormat="1">
      <c r="A908" s="3202"/>
      <c r="B908" s="2991" t="s">
        <v>4134</v>
      </c>
      <c r="C908" s="2996">
        <v>84.15</v>
      </c>
      <c r="D908" s="2993" t="s">
        <v>3379</v>
      </c>
      <c r="E908" s="2996">
        <v>2524500</v>
      </c>
      <c r="F908" s="2993">
        <f t="shared" si="179"/>
        <v>29999.999999999996</v>
      </c>
    </row>
    <row r="909" spans="1:6" s="2993" customFormat="1">
      <c r="A909" s="3202"/>
      <c r="B909" s="2991" t="s">
        <v>4135</v>
      </c>
      <c r="C909" s="2994">
        <v>45.51</v>
      </c>
      <c r="D909" s="2993" t="s">
        <v>3381</v>
      </c>
      <c r="E909" s="3002">
        <v>420000</v>
      </c>
    </row>
    <row r="910" spans="1:6" s="2993" customFormat="1">
      <c r="A910" s="3202"/>
      <c r="B910" s="2991" t="s">
        <v>4136</v>
      </c>
      <c r="C910" s="2994">
        <v>45.51</v>
      </c>
      <c r="D910" s="2993" t="s">
        <v>3381</v>
      </c>
      <c r="E910" s="3002">
        <v>420000</v>
      </c>
    </row>
    <row r="911" spans="1:6" s="2993" customFormat="1">
      <c r="A911" s="3202">
        <v>184</v>
      </c>
      <c r="B911" s="2991" t="s">
        <v>4137</v>
      </c>
      <c r="C911" s="2996">
        <v>134.34</v>
      </c>
      <c r="D911" s="2993" t="s">
        <v>3384</v>
      </c>
      <c r="E911" s="2996">
        <v>8531665</v>
      </c>
    </row>
    <row r="912" spans="1:6" s="2993" customFormat="1">
      <c r="A912" s="3202"/>
      <c r="B912" s="2991" t="s">
        <v>4138</v>
      </c>
      <c r="C912" s="2996">
        <v>84.39</v>
      </c>
      <c r="D912" s="2993" t="s">
        <v>4487</v>
      </c>
      <c r="E912" s="2996">
        <v>2531700</v>
      </c>
      <c r="F912" s="2993">
        <f t="shared" ref="F912:F913" si="180">E912/C912</f>
        <v>30000</v>
      </c>
    </row>
    <row r="913" spans="1:6" s="2993" customFormat="1">
      <c r="A913" s="3202"/>
      <c r="B913" s="2991" t="s">
        <v>4139</v>
      </c>
      <c r="C913" s="2996">
        <v>83.46</v>
      </c>
      <c r="D913" s="2993" t="s">
        <v>3379</v>
      </c>
      <c r="E913" s="2996">
        <v>2503800</v>
      </c>
      <c r="F913" s="2993">
        <f t="shared" si="180"/>
        <v>30000.000000000004</v>
      </c>
    </row>
    <row r="914" spans="1:6" s="2993" customFormat="1">
      <c r="A914" s="3202"/>
      <c r="B914" s="2991" t="s">
        <v>4140</v>
      </c>
      <c r="C914" s="2994">
        <v>45.51</v>
      </c>
      <c r="D914" s="2993" t="s">
        <v>3381</v>
      </c>
      <c r="E914" s="3002">
        <v>420000</v>
      </c>
    </row>
    <row r="915" spans="1:6" s="2993" customFormat="1">
      <c r="A915" s="3202"/>
      <c r="B915" s="2991" t="s">
        <v>4141</v>
      </c>
      <c r="C915" s="2994">
        <v>45.51</v>
      </c>
      <c r="D915" s="2993" t="s">
        <v>3381</v>
      </c>
      <c r="E915" s="3002">
        <v>420000</v>
      </c>
    </row>
    <row r="916" spans="1:6" s="2993" customFormat="1">
      <c r="A916" s="3202">
        <v>185</v>
      </c>
      <c r="B916" s="2991" t="s">
        <v>4142</v>
      </c>
      <c r="C916" s="2996">
        <v>134.34</v>
      </c>
      <c r="D916" s="2993" t="s">
        <v>3384</v>
      </c>
      <c r="E916" s="2996">
        <v>7591145</v>
      </c>
    </row>
    <row r="917" spans="1:6" s="2993" customFormat="1">
      <c r="A917" s="3202"/>
      <c r="B917" s="2991" t="s">
        <v>4143</v>
      </c>
      <c r="C917" s="2996">
        <v>84.53</v>
      </c>
      <c r="D917" s="2993" t="s">
        <v>4487</v>
      </c>
      <c r="E917" s="2996">
        <v>2535900</v>
      </c>
      <c r="F917" s="2993">
        <f t="shared" ref="F917:F918" si="181">E917/C917</f>
        <v>30000</v>
      </c>
    </row>
    <row r="918" spans="1:6" s="2993" customFormat="1">
      <c r="A918" s="3202"/>
      <c r="B918" s="2991" t="s">
        <v>4144</v>
      </c>
      <c r="C918" s="2996">
        <v>84.18</v>
      </c>
      <c r="D918" s="2993" t="s">
        <v>3379</v>
      </c>
      <c r="E918" s="2996">
        <v>2525400</v>
      </c>
      <c r="F918" s="2993">
        <f t="shared" si="181"/>
        <v>29999.999999999996</v>
      </c>
    </row>
    <row r="919" spans="1:6" s="2993" customFormat="1">
      <c r="A919" s="3202"/>
      <c r="B919" s="2991" t="s">
        <v>4145</v>
      </c>
      <c r="C919" s="2994">
        <v>45.51</v>
      </c>
      <c r="D919" s="2993" t="s">
        <v>3381</v>
      </c>
      <c r="E919" s="3002">
        <v>420000</v>
      </c>
    </row>
    <row r="920" spans="1:6" s="2993" customFormat="1">
      <c r="A920" s="3202"/>
      <c r="B920" s="2991" t="s">
        <v>4146</v>
      </c>
      <c r="C920" s="2994">
        <v>45.51</v>
      </c>
      <c r="D920" s="2993" t="s">
        <v>3381</v>
      </c>
      <c r="E920" s="3002">
        <v>420000</v>
      </c>
    </row>
    <row r="921" spans="1:6" s="2993" customFormat="1">
      <c r="A921" s="3202">
        <v>186</v>
      </c>
      <c r="B921" s="2991" t="s">
        <v>4147</v>
      </c>
      <c r="C921" s="2996">
        <v>134.54</v>
      </c>
      <c r="D921" s="2993" t="s">
        <v>3384</v>
      </c>
      <c r="E921" s="2996">
        <v>7721494</v>
      </c>
    </row>
    <row r="922" spans="1:6" s="2993" customFormat="1">
      <c r="A922" s="3202"/>
      <c r="B922" s="2991" t="s">
        <v>4148</v>
      </c>
      <c r="C922" s="2996">
        <v>84.8</v>
      </c>
      <c r="D922" s="2993" t="s">
        <v>4487</v>
      </c>
      <c r="E922" s="2996">
        <v>2544000</v>
      </c>
      <c r="F922" s="2993">
        <f t="shared" ref="F922:F923" si="182">E922/C922</f>
        <v>30000</v>
      </c>
    </row>
    <row r="923" spans="1:6" s="2993" customFormat="1">
      <c r="A923" s="3202"/>
      <c r="B923" s="2991" t="s">
        <v>4149</v>
      </c>
      <c r="C923" s="2996">
        <v>84.18</v>
      </c>
      <c r="D923" s="2993" t="s">
        <v>3379</v>
      </c>
      <c r="E923" s="2996">
        <v>2525400</v>
      </c>
      <c r="F923" s="2993">
        <f t="shared" si="182"/>
        <v>29999.999999999996</v>
      </c>
    </row>
    <row r="924" spans="1:6" s="2993" customFormat="1">
      <c r="A924" s="3202"/>
      <c r="B924" s="2991" t="s">
        <v>4150</v>
      </c>
      <c r="C924" s="2994">
        <v>45.51</v>
      </c>
      <c r="D924" s="2993" t="s">
        <v>3381</v>
      </c>
      <c r="E924" s="3002">
        <v>420000</v>
      </c>
    </row>
    <row r="925" spans="1:6" s="2993" customFormat="1">
      <c r="A925" s="3202"/>
      <c r="B925" s="2991" t="s">
        <v>4151</v>
      </c>
      <c r="C925" s="2994">
        <v>45.51</v>
      </c>
      <c r="D925" s="2993" t="s">
        <v>3381</v>
      </c>
      <c r="E925" s="3002">
        <v>420000</v>
      </c>
    </row>
    <row r="926" spans="1:6" s="2993" customFormat="1">
      <c r="A926" s="3202">
        <v>187</v>
      </c>
      <c r="B926" s="2991" t="s">
        <v>4152</v>
      </c>
      <c r="C926" s="2996">
        <v>134.34</v>
      </c>
      <c r="D926" s="2993" t="s">
        <v>3384</v>
      </c>
      <c r="E926" s="2996">
        <v>8531665</v>
      </c>
    </row>
    <row r="927" spans="1:6" s="2993" customFormat="1">
      <c r="A927" s="3202"/>
      <c r="B927" s="2991" t="s">
        <v>4153</v>
      </c>
      <c r="C927" s="2996">
        <v>84.39</v>
      </c>
      <c r="D927" s="2993" t="s">
        <v>4487</v>
      </c>
      <c r="E927" s="2996">
        <v>2531700</v>
      </c>
      <c r="F927" s="2993">
        <f t="shared" ref="F927:F928" si="183">E927/C927</f>
        <v>30000</v>
      </c>
    </row>
    <row r="928" spans="1:6" s="2993" customFormat="1">
      <c r="A928" s="3202"/>
      <c r="B928" s="2991" t="s">
        <v>4154</v>
      </c>
      <c r="C928" s="2996">
        <v>83.46</v>
      </c>
      <c r="D928" s="2993" t="s">
        <v>3379</v>
      </c>
      <c r="E928" s="2996">
        <v>2503800</v>
      </c>
      <c r="F928" s="2993">
        <f t="shared" si="183"/>
        <v>30000.000000000004</v>
      </c>
    </row>
    <row r="929" spans="1:6" s="2993" customFormat="1">
      <c r="A929" s="3202"/>
      <c r="B929" s="2991" t="s">
        <v>4155</v>
      </c>
      <c r="C929" s="2994">
        <v>45.51</v>
      </c>
      <c r="D929" s="2993" t="s">
        <v>3381</v>
      </c>
      <c r="E929" s="3002">
        <v>420000</v>
      </c>
    </row>
    <row r="930" spans="1:6" s="2993" customFormat="1">
      <c r="A930" s="3202"/>
      <c r="B930" s="2991" t="s">
        <v>4156</v>
      </c>
      <c r="C930" s="2994">
        <v>45.51</v>
      </c>
      <c r="D930" s="2993" t="s">
        <v>3381</v>
      </c>
      <c r="E930" s="3002">
        <v>420000</v>
      </c>
    </row>
    <row r="931" spans="1:6" s="2993" customFormat="1">
      <c r="A931" s="3202">
        <v>188</v>
      </c>
      <c r="B931" s="2991" t="s">
        <v>4157</v>
      </c>
      <c r="C931" s="2996">
        <v>134.34</v>
      </c>
      <c r="D931" s="2993" t="s">
        <v>3384</v>
      </c>
      <c r="E931" s="2996">
        <v>7788978</v>
      </c>
    </row>
    <row r="932" spans="1:6" s="2993" customFormat="1">
      <c r="A932" s="3202"/>
      <c r="B932" s="2991" t="s">
        <v>4158</v>
      </c>
      <c r="C932" s="2996">
        <v>84.53</v>
      </c>
      <c r="D932" s="2993" t="s">
        <v>4487</v>
      </c>
      <c r="E932" s="2996">
        <v>2535900</v>
      </c>
      <c r="F932" s="2993">
        <f t="shared" ref="F932:F933" si="184">E932/C932</f>
        <v>30000</v>
      </c>
    </row>
    <row r="933" spans="1:6" s="2993" customFormat="1">
      <c r="A933" s="3202"/>
      <c r="B933" s="2991" t="s">
        <v>4159</v>
      </c>
      <c r="C933" s="2996">
        <v>84.18</v>
      </c>
      <c r="D933" s="2993" t="s">
        <v>3379</v>
      </c>
      <c r="E933" s="2996">
        <v>2525400</v>
      </c>
      <c r="F933" s="2993">
        <f t="shared" si="184"/>
        <v>29999.999999999996</v>
      </c>
    </row>
    <row r="934" spans="1:6" s="2993" customFormat="1">
      <c r="A934" s="3202"/>
      <c r="B934" s="2991" t="s">
        <v>4160</v>
      </c>
      <c r="C934" s="2994">
        <v>45.51</v>
      </c>
      <c r="D934" s="2993" t="s">
        <v>3381</v>
      </c>
      <c r="E934" s="3002">
        <v>420000</v>
      </c>
    </row>
    <row r="935" spans="1:6" s="2993" customFormat="1">
      <c r="A935" s="3202"/>
      <c r="B935" s="2991" t="s">
        <v>4161</v>
      </c>
      <c r="C935" s="2994">
        <v>45.51</v>
      </c>
      <c r="D935" s="2993" t="s">
        <v>3381</v>
      </c>
      <c r="E935" s="3002">
        <v>420000</v>
      </c>
    </row>
    <row r="936" spans="1:6" s="2993" customFormat="1">
      <c r="A936" s="3202">
        <v>189</v>
      </c>
      <c r="B936" s="2991" t="s">
        <v>4162</v>
      </c>
      <c r="C936" s="2996">
        <v>134.54</v>
      </c>
      <c r="D936" s="2993" t="s">
        <v>3384</v>
      </c>
      <c r="E936" s="2996">
        <v>7919630</v>
      </c>
    </row>
    <row r="937" spans="1:6" s="2993" customFormat="1">
      <c r="A937" s="3202"/>
      <c r="B937" s="2991" t="s">
        <v>4163</v>
      </c>
      <c r="C937" s="2996">
        <v>84.8</v>
      </c>
      <c r="D937" s="2993" t="s">
        <v>4487</v>
      </c>
      <c r="E937" s="2996">
        <v>2544000</v>
      </c>
      <c r="F937" s="2993">
        <f t="shared" ref="F937:F938" si="185">E937/C937</f>
        <v>30000</v>
      </c>
    </row>
    <row r="938" spans="1:6" s="2993" customFormat="1">
      <c r="A938" s="3202"/>
      <c r="B938" s="2991" t="s">
        <v>4164</v>
      </c>
      <c r="C938" s="2996">
        <v>84.18</v>
      </c>
      <c r="D938" s="2993" t="s">
        <v>3379</v>
      </c>
      <c r="E938" s="2996">
        <v>2525400</v>
      </c>
      <c r="F938" s="2993">
        <f t="shared" si="185"/>
        <v>29999.999999999996</v>
      </c>
    </row>
    <row r="939" spans="1:6" s="2993" customFormat="1">
      <c r="A939" s="3202"/>
      <c r="B939" s="2991" t="s">
        <v>4165</v>
      </c>
      <c r="C939" s="2994">
        <v>45.51</v>
      </c>
      <c r="D939" s="2993" t="s">
        <v>3381</v>
      </c>
      <c r="E939" s="3002">
        <v>420000</v>
      </c>
    </row>
    <row r="940" spans="1:6" s="2993" customFormat="1">
      <c r="A940" s="3202"/>
      <c r="B940" s="2991" t="s">
        <v>4166</v>
      </c>
      <c r="C940" s="2994">
        <v>45.51</v>
      </c>
      <c r="D940" s="2993" t="s">
        <v>3381</v>
      </c>
      <c r="E940" s="3002">
        <v>420000</v>
      </c>
    </row>
    <row r="941" spans="1:6" s="2993" customFormat="1">
      <c r="A941" s="3202">
        <v>190</v>
      </c>
      <c r="B941" s="2991" t="s">
        <v>4167</v>
      </c>
      <c r="C941" s="2999">
        <v>134.63999999999999</v>
      </c>
      <c r="D941" s="2993" t="s">
        <v>3384</v>
      </c>
      <c r="E941" s="2996">
        <v>8550717</v>
      </c>
    </row>
    <row r="942" spans="1:6" s="2993" customFormat="1">
      <c r="A942" s="3202"/>
      <c r="B942" s="2991" t="s">
        <v>4168</v>
      </c>
      <c r="C942" s="2996">
        <v>84.58</v>
      </c>
      <c r="D942" s="2993" t="s">
        <v>4487</v>
      </c>
      <c r="E942" s="2996">
        <v>2537400</v>
      </c>
      <c r="F942" s="2993">
        <f t="shared" ref="F942:F943" si="186">E942/C942</f>
        <v>30000</v>
      </c>
    </row>
    <row r="943" spans="1:6" s="2993" customFormat="1">
      <c r="A943" s="3202"/>
      <c r="B943" s="2991" t="s">
        <v>4169</v>
      </c>
      <c r="C943" s="2996">
        <v>83.6</v>
      </c>
      <c r="D943" s="2993" t="s">
        <v>3252</v>
      </c>
      <c r="E943" s="2996">
        <v>2508000</v>
      </c>
      <c r="F943" s="2993">
        <f t="shared" si="186"/>
        <v>30000.000000000004</v>
      </c>
    </row>
    <row r="944" spans="1:6" s="2993" customFormat="1">
      <c r="A944" s="3202"/>
      <c r="B944" s="2991" t="s">
        <v>4170</v>
      </c>
      <c r="C944" s="2994">
        <v>45.51</v>
      </c>
      <c r="D944" s="2993" t="s">
        <v>3254</v>
      </c>
      <c r="E944" s="3002">
        <v>420000</v>
      </c>
    </row>
    <row r="945" spans="1:6" s="2993" customFormat="1">
      <c r="A945" s="3202"/>
      <c r="B945" s="2991" t="s">
        <v>4171</v>
      </c>
      <c r="C945" s="2994">
        <v>45.51</v>
      </c>
      <c r="D945" s="2993" t="s">
        <v>3254</v>
      </c>
      <c r="E945" s="3002">
        <v>420000</v>
      </c>
    </row>
    <row r="946" spans="1:6" s="2993" customFormat="1">
      <c r="A946" s="3202">
        <v>191</v>
      </c>
      <c r="B946" s="2991" t="s">
        <v>4172</v>
      </c>
      <c r="C946" s="2996">
        <v>134.83000000000001</v>
      </c>
      <c r="D946" s="2993" t="s">
        <v>3257</v>
      </c>
      <c r="E946" s="2996">
        <v>7857276</v>
      </c>
    </row>
    <row r="947" spans="1:6" s="2993" customFormat="1">
      <c r="A947" s="3202"/>
      <c r="B947" s="2991" t="s">
        <v>4173</v>
      </c>
      <c r="C947" s="2996">
        <v>85</v>
      </c>
      <c r="D947" s="2993" t="s">
        <v>4487</v>
      </c>
      <c r="E947" s="2996">
        <v>2550000</v>
      </c>
      <c r="F947" s="2993">
        <f t="shared" ref="F947:F948" si="187">E947/C947</f>
        <v>30000</v>
      </c>
    </row>
    <row r="948" spans="1:6" s="2993" customFormat="1">
      <c r="A948" s="3202"/>
      <c r="B948" s="2991" t="s">
        <v>4174</v>
      </c>
      <c r="C948" s="2996">
        <v>84.32</v>
      </c>
      <c r="D948" s="2993" t="s">
        <v>3252</v>
      </c>
      <c r="E948" s="2996">
        <v>2529600</v>
      </c>
      <c r="F948" s="2993">
        <f t="shared" si="187"/>
        <v>30000.000000000004</v>
      </c>
    </row>
    <row r="949" spans="1:6" s="2993" customFormat="1">
      <c r="A949" s="3202"/>
      <c r="B949" s="2991" t="s">
        <v>4175</v>
      </c>
      <c r="C949" s="2994">
        <v>45.51</v>
      </c>
      <c r="D949" s="2993" t="s">
        <v>3254</v>
      </c>
      <c r="E949" s="3002">
        <v>420000</v>
      </c>
    </row>
    <row r="950" spans="1:6" s="2993" customFormat="1">
      <c r="A950" s="3202"/>
      <c r="B950" s="2991" t="s">
        <v>4176</v>
      </c>
      <c r="C950" s="2994">
        <v>45.51</v>
      </c>
      <c r="D950" s="2993" t="s">
        <v>3254</v>
      </c>
      <c r="E950" s="3002">
        <v>420000</v>
      </c>
    </row>
    <row r="951" spans="1:6" s="2993" customFormat="1">
      <c r="A951" s="3202">
        <v>192</v>
      </c>
      <c r="B951" s="2991" t="s">
        <v>4177</v>
      </c>
      <c r="C951" s="2996">
        <v>134.63999999999999</v>
      </c>
      <c r="D951" s="2993" t="s">
        <v>3257</v>
      </c>
      <c r="E951" s="2996">
        <v>8550717</v>
      </c>
    </row>
    <row r="952" spans="1:6" s="2993" customFormat="1">
      <c r="A952" s="3202"/>
      <c r="B952" s="2991" t="s">
        <v>4178</v>
      </c>
      <c r="C952" s="2996">
        <v>84.58</v>
      </c>
      <c r="D952" s="2993" t="s">
        <v>4487</v>
      </c>
      <c r="E952" s="2996">
        <v>2537400</v>
      </c>
      <c r="F952" s="2993">
        <f t="shared" ref="F952:F953" si="188">E952/C952</f>
        <v>30000</v>
      </c>
    </row>
    <row r="953" spans="1:6" s="2993" customFormat="1">
      <c r="A953" s="3202"/>
      <c r="B953" s="2991" t="s">
        <v>4179</v>
      </c>
      <c r="C953" s="2996">
        <v>83.6</v>
      </c>
      <c r="D953" s="2993" t="s">
        <v>3252</v>
      </c>
      <c r="E953" s="2996">
        <v>2508000</v>
      </c>
      <c r="F953" s="2993">
        <f t="shared" si="188"/>
        <v>30000.000000000004</v>
      </c>
    </row>
    <row r="954" spans="1:6" s="2993" customFormat="1">
      <c r="A954" s="3202"/>
      <c r="B954" s="2991" t="s">
        <v>4180</v>
      </c>
      <c r="C954" s="2994">
        <v>45.51</v>
      </c>
      <c r="D954" s="2993" t="s">
        <v>3254</v>
      </c>
      <c r="E954" s="3002">
        <v>420000</v>
      </c>
    </row>
    <row r="955" spans="1:6" s="2993" customFormat="1">
      <c r="A955" s="3202"/>
      <c r="B955" s="2991" t="s">
        <v>4181</v>
      </c>
      <c r="C955" s="2994">
        <v>45.51</v>
      </c>
      <c r="D955" s="2993" t="s">
        <v>3254</v>
      </c>
      <c r="E955" s="3002">
        <v>420000</v>
      </c>
    </row>
    <row r="956" spans="1:6" s="2993" customFormat="1">
      <c r="A956" s="3202">
        <v>193</v>
      </c>
      <c r="B956" s="2991" t="s">
        <v>4182</v>
      </c>
      <c r="C956" s="2996">
        <v>134.83000000000001</v>
      </c>
      <c r="D956" s="2993" t="s">
        <v>3257</v>
      </c>
      <c r="E956" s="2996">
        <v>8055829</v>
      </c>
    </row>
    <row r="957" spans="1:6" s="2993" customFormat="1">
      <c r="A957" s="3202"/>
      <c r="B957" s="2991" t="s">
        <v>4183</v>
      </c>
      <c r="C957" s="2996">
        <v>85</v>
      </c>
      <c r="D957" s="2993" t="s">
        <v>4487</v>
      </c>
      <c r="E957" s="2996">
        <v>2550000</v>
      </c>
      <c r="F957" s="2993">
        <f t="shared" ref="F957:F958" si="189">E957/C957</f>
        <v>30000</v>
      </c>
    </row>
    <row r="958" spans="1:6" s="2993" customFormat="1">
      <c r="A958" s="3202"/>
      <c r="B958" s="2991" t="s">
        <v>4184</v>
      </c>
      <c r="C958" s="2996">
        <v>84.32</v>
      </c>
      <c r="D958" s="2993" t="s">
        <v>3252</v>
      </c>
      <c r="E958" s="2996">
        <v>2529600</v>
      </c>
      <c r="F958" s="2993">
        <f t="shared" si="189"/>
        <v>30000.000000000004</v>
      </c>
    </row>
    <row r="959" spans="1:6" s="2993" customFormat="1">
      <c r="A959" s="3202"/>
      <c r="B959" s="2991" t="s">
        <v>4185</v>
      </c>
      <c r="C959" s="2994">
        <v>45.51</v>
      </c>
      <c r="D959" s="2993" t="s">
        <v>3254</v>
      </c>
      <c r="E959" s="3002">
        <v>420000</v>
      </c>
    </row>
    <row r="960" spans="1:6" s="2993" customFormat="1">
      <c r="A960" s="3202"/>
      <c r="B960" s="2991" t="s">
        <v>4186</v>
      </c>
      <c r="C960" s="2994">
        <v>45.51</v>
      </c>
      <c r="D960" s="2993" t="s">
        <v>3254</v>
      </c>
      <c r="E960" s="3002">
        <v>420000</v>
      </c>
    </row>
    <row r="961" spans="1:6" s="2993" customFormat="1">
      <c r="A961" s="3202">
        <v>194</v>
      </c>
      <c r="B961" s="2991" t="s">
        <v>4187</v>
      </c>
      <c r="C961" s="2996">
        <v>134.19999999999999</v>
      </c>
      <c r="D961" s="2993" t="s">
        <v>3257</v>
      </c>
      <c r="E961" s="2996">
        <v>8522774</v>
      </c>
    </row>
    <row r="962" spans="1:6" s="2993" customFormat="1">
      <c r="A962" s="3202"/>
      <c r="B962" s="2991" t="s">
        <v>4188</v>
      </c>
      <c r="C962" s="2996">
        <v>84.31</v>
      </c>
      <c r="D962" s="2993" t="s">
        <v>4487</v>
      </c>
      <c r="E962" s="2996">
        <v>2529300</v>
      </c>
      <c r="F962" s="2993">
        <f t="shared" ref="F962:F963" si="190">E962/C962</f>
        <v>30000</v>
      </c>
    </row>
    <row r="963" spans="1:6" s="2993" customFormat="1">
      <c r="A963" s="3202"/>
      <c r="B963" s="2991" t="s">
        <v>4189</v>
      </c>
      <c r="C963" s="2996">
        <v>83.44</v>
      </c>
      <c r="D963" s="2993" t="s">
        <v>3252</v>
      </c>
      <c r="E963" s="2996">
        <v>2503200</v>
      </c>
      <c r="F963" s="2993">
        <f t="shared" si="190"/>
        <v>30000</v>
      </c>
    </row>
    <row r="964" spans="1:6" s="2993" customFormat="1">
      <c r="A964" s="3202"/>
      <c r="B964" s="2991" t="s">
        <v>4190</v>
      </c>
      <c r="C964" s="2994">
        <v>45.51</v>
      </c>
      <c r="D964" s="2993" t="s">
        <v>3254</v>
      </c>
      <c r="E964" s="3002">
        <v>420000</v>
      </c>
    </row>
    <row r="965" spans="1:6" s="2993" customFormat="1">
      <c r="A965" s="3202"/>
      <c r="B965" s="2991" t="s">
        <v>4191</v>
      </c>
      <c r="C965" s="2994">
        <v>45.51</v>
      </c>
      <c r="D965" s="2993" t="s">
        <v>3254</v>
      </c>
      <c r="E965" s="3002">
        <v>420000</v>
      </c>
    </row>
    <row r="966" spans="1:6" s="2993" customFormat="1">
      <c r="A966" s="3202">
        <v>195</v>
      </c>
      <c r="B966" s="2991" t="s">
        <v>4192</v>
      </c>
      <c r="C966" s="2996">
        <v>134.19999999999999</v>
      </c>
      <c r="D966" s="2993" t="s">
        <v>3257</v>
      </c>
      <c r="E966" s="2996">
        <v>7701718</v>
      </c>
    </row>
    <row r="967" spans="1:6" s="2993" customFormat="1">
      <c r="A967" s="3202"/>
      <c r="B967" s="2991" t="s">
        <v>4193</v>
      </c>
      <c r="C967" s="2996">
        <v>84.44</v>
      </c>
      <c r="D967" s="2993" t="s">
        <v>4487</v>
      </c>
      <c r="E967" s="2996">
        <v>2533200</v>
      </c>
      <c r="F967" s="2993">
        <f t="shared" ref="F967:F968" si="191">E967/C967</f>
        <v>30000</v>
      </c>
    </row>
    <row r="968" spans="1:6" s="2993" customFormat="1">
      <c r="A968" s="3202"/>
      <c r="B968" s="2991" t="s">
        <v>4194</v>
      </c>
      <c r="C968" s="2996">
        <v>84.16</v>
      </c>
      <c r="D968" s="2993" t="s">
        <v>3252</v>
      </c>
      <c r="E968" s="2996">
        <v>2524800</v>
      </c>
      <c r="F968" s="2993">
        <f t="shared" si="191"/>
        <v>30000</v>
      </c>
    </row>
    <row r="969" spans="1:6" s="2993" customFormat="1">
      <c r="A969" s="3202"/>
      <c r="B969" s="2991" t="s">
        <v>4195</v>
      </c>
      <c r="C969" s="2994">
        <v>45.51</v>
      </c>
      <c r="D969" s="2993" t="s">
        <v>3254</v>
      </c>
      <c r="E969" s="3002">
        <v>420000</v>
      </c>
    </row>
    <row r="970" spans="1:6" s="2993" customFormat="1">
      <c r="A970" s="3202"/>
      <c r="B970" s="2991" t="s">
        <v>4196</v>
      </c>
      <c r="C970" s="2994">
        <v>45.51</v>
      </c>
      <c r="D970" s="2993" t="s">
        <v>3254</v>
      </c>
      <c r="E970" s="3002">
        <v>420000</v>
      </c>
    </row>
    <row r="971" spans="1:6" s="2993" customFormat="1">
      <c r="A971" s="3202">
        <v>196</v>
      </c>
      <c r="B971" s="2991" t="s">
        <v>4197</v>
      </c>
      <c r="C971" s="2996">
        <v>134.38999999999999</v>
      </c>
      <c r="D971" s="2993" t="s">
        <v>3257</v>
      </c>
      <c r="E971" s="2996">
        <v>7831630</v>
      </c>
    </row>
    <row r="972" spans="1:6" s="2993" customFormat="1">
      <c r="A972" s="3202"/>
      <c r="B972" s="2991" t="s">
        <v>4198</v>
      </c>
      <c r="C972" s="2996">
        <v>84.72</v>
      </c>
      <c r="D972" s="2993" t="s">
        <v>4487</v>
      </c>
      <c r="E972" s="2996">
        <v>2541600</v>
      </c>
      <c r="F972" s="2993">
        <f t="shared" ref="F972:F973" si="192">E972/C972</f>
        <v>30000</v>
      </c>
    </row>
    <row r="973" spans="1:6" s="2993" customFormat="1">
      <c r="A973" s="3202"/>
      <c r="B973" s="2991" t="s">
        <v>4199</v>
      </c>
      <c r="C973" s="2996">
        <v>84.16</v>
      </c>
      <c r="D973" s="2993" t="s">
        <v>3252</v>
      </c>
      <c r="E973" s="2996">
        <v>2524800</v>
      </c>
      <c r="F973" s="2993">
        <f t="shared" si="192"/>
        <v>30000</v>
      </c>
    </row>
    <row r="974" spans="1:6" s="2993" customFormat="1">
      <c r="A974" s="3202"/>
      <c r="B974" s="2991" t="s">
        <v>4200</v>
      </c>
      <c r="C974" s="2994">
        <v>45.51</v>
      </c>
      <c r="D974" s="2993" t="s">
        <v>3254</v>
      </c>
      <c r="E974" s="3002">
        <v>420000</v>
      </c>
    </row>
    <row r="975" spans="1:6" s="2993" customFormat="1">
      <c r="A975" s="3202"/>
      <c r="B975" s="2991" t="s">
        <v>4201</v>
      </c>
      <c r="C975" s="2994">
        <v>45.51</v>
      </c>
      <c r="D975" s="2993" t="s">
        <v>3254</v>
      </c>
      <c r="E975" s="3002">
        <v>420000</v>
      </c>
    </row>
    <row r="976" spans="1:6" s="2993" customFormat="1">
      <c r="A976" s="3202">
        <v>197</v>
      </c>
      <c r="B976" s="2991" t="s">
        <v>4202</v>
      </c>
      <c r="C976" s="2996">
        <v>134.19999999999999</v>
      </c>
      <c r="D976" s="2993" t="s">
        <v>3257</v>
      </c>
      <c r="E976" s="2996">
        <v>8522774</v>
      </c>
    </row>
    <row r="977" spans="1:6" s="2993" customFormat="1">
      <c r="A977" s="3202"/>
      <c r="B977" s="2991" t="s">
        <v>4203</v>
      </c>
      <c r="C977" s="2996">
        <v>84.31</v>
      </c>
      <c r="D977" s="2993" t="s">
        <v>4487</v>
      </c>
      <c r="E977" s="2996">
        <v>2529300</v>
      </c>
      <c r="F977" s="2993">
        <f t="shared" ref="F977:F978" si="193">E977/C977</f>
        <v>30000</v>
      </c>
    </row>
    <row r="978" spans="1:6" s="2993" customFormat="1">
      <c r="A978" s="3202"/>
      <c r="B978" s="2991" t="s">
        <v>4204</v>
      </c>
      <c r="C978" s="2996">
        <v>83.44</v>
      </c>
      <c r="D978" s="2993" t="s">
        <v>3252</v>
      </c>
      <c r="E978" s="2996">
        <v>2503200</v>
      </c>
      <c r="F978" s="2993">
        <f t="shared" si="193"/>
        <v>30000</v>
      </c>
    </row>
    <row r="979" spans="1:6" s="2993" customFormat="1">
      <c r="A979" s="3202"/>
      <c r="B979" s="2991" t="s">
        <v>4205</v>
      </c>
      <c r="C979" s="2994">
        <v>45.51</v>
      </c>
      <c r="D979" s="2993" t="s">
        <v>3254</v>
      </c>
      <c r="E979" s="3002">
        <v>420000</v>
      </c>
    </row>
    <row r="980" spans="1:6" s="2993" customFormat="1">
      <c r="A980" s="3202"/>
      <c r="B980" s="2991" t="s">
        <v>4206</v>
      </c>
      <c r="C980" s="2994">
        <v>45.51</v>
      </c>
      <c r="D980" s="2993" t="s">
        <v>3254</v>
      </c>
      <c r="E980" s="3002">
        <v>420000</v>
      </c>
    </row>
    <row r="981" spans="1:6" s="2993" customFormat="1">
      <c r="A981" s="3202">
        <v>198</v>
      </c>
      <c r="B981" s="2991" t="s">
        <v>4207</v>
      </c>
      <c r="C981" s="2996">
        <v>134.19999999999999</v>
      </c>
      <c r="D981" s="2993" t="s">
        <v>3257</v>
      </c>
      <c r="E981" s="2996">
        <v>7899375</v>
      </c>
    </row>
    <row r="982" spans="1:6" s="2993" customFormat="1">
      <c r="A982" s="3202"/>
      <c r="B982" s="2991" t="s">
        <v>4208</v>
      </c>
      <c r="C982" s="2996">
        <v>84.44</v>
      </c>
      <c r="D982" s="2993" t="s">
        <v>4487</v>
      </c>
      <c r="E982" s="2996">
        <v>2533200</v>
      </c>
      <c r="F982" s="2993">
        <f t="shared" ref="F982:F983" si="194">E982/C982</f>
        <v>30000</v>
      </c>
    </row>
    <row r="983" spans="1:6" s="2993" customFormat="1">
      <c r="A983" s="3202"/>
      <c r="B983" s="2991" t="s">
        <v>4209</v>
      </c>
      <c r="C983" s="2996">
        <v>84.16</v>
      </c>
      <c r="D983" s="2993" t="s">
        <v>3252</v>
      </c>
      <c r="E983" s="2996">
        <v>2524800</v>
      </c>
      <c r="F983" s="2993">
        <f t="shared" si="194"/>
        <v>30000</v>
      </c>
    </row>
    <row r="984" spans="1:6" s="2993" customFormat="1">
      <c r="A984" s="3202"/>
      <c r="B984" s="2991" t="s">
        <v>4210</v>
      </c>
      <c r="C984" s="2994">
        <v>45.51</v>
      </c>
      <c r="D984" s="2993" t="s">
        <v>3254</v>
      </c>
      <c r="E984" s="3002">
        <v>420000</v>
      </c>
    </row>
    <row r="985" spans="1:6" s="2993" customFormat="1">
      <c r="A985" s="3202"/>
      <c r="B985" s="2991" t="s">
        <v>4211</v>
      </c>
      <c r="C985" s="2994">
        <v>45.51</v>
      </c>
      <c r="D985" s="2993" t="s">
        <v>3254</v>
      </c>
      <c r="E985" s="3002">
        <v>420000</v>
      </c>
    </row>
    <row r="986" spans="1:6" s="2993" customFormat="1">
      <c r="A986" s="3202">
        <v>199</v>
      </c>
      <c r="B986" s="2991" t="s">
        <v>4212</v>
      </c>
      <c r="C986" s="2996">
        <v>134.38999999999999</v>
      </c>
      <c r="D986" s="2993" t="s">
        <v>3257</v>
      </c>
      <c r="E986" s="2996">
        <v>8029585</v>
      </c>
    </row>
    <row r="987" spans="1:6" s="2993" customFormat="1">
      <c r="A987" s="3202"/>
      <c r="B987" s="2991" t="s">
        <v>4213</v>
      </c>
      <c r="C987" s="2996">
        <v>84.72</v>
      </c>
      <c r="D987" s="2993" t="s">
        <v>4487</v>
      </c>
      <c r="E987" s="2996">
        <v>2541600</v>
      </c>
      <c r="F987" s="2993">
        <f t="shared" ref="F987:F988" si="195">E987/C987</f>
        <v>30000</v>
      </c>
    </row>
    <row r="988" spans="1:6" s="2993" customFormat="1">
      <c r="A988" s="3202"/>
      <c r="B988" s="2991" t="s">
        <v>4214</v>
      </c>
      <c r="C988" s="2996">
        <v>84.16</v>
      </c>
      <c r="D988" s="2993" t="s">
        <v>3252</v>
      </c>
      <c r="E988" s="2996">
        <v>2524800</v>
      </c>
      <c r="F988" s="2993">
        <f t="shared" si="195"/>
        <v>30000</v>
      </c>
    </row>
    <row r="989" spans="1:6" s="2993" customFormat="1">
      <c r="A989" s="3202"/>
      <c r="B989" s="2991" t="s">
        <v>4215</v>
      </c>
      <c r="C989" s="2994">
        <v>45.51</v>
      </c>
      <c r="D989" s="2993" t="s">
        <v>3254</v>
      </c>
      <c r="E989" s="3002">
        <v>420000</v>
      </c>
    </row>
    <row r="990" spans="1:6" s="2993" customFormat="1">
      <c r="A990" s="3202"/>
      <c r="B990" s="2991" t="s">
        <v>4216</v>
      </c>
      <c r="C990" s="2994">
        <v>45.51</v>
      </c>
      <c r="D990" s="2993" t="s">
        <v>3254</v>
      </c>
      <c r="E990" s="3002">
        <v>420000</v>
      </c>
    </row>
    <row r="991" spans="1:6" s="2993" customFormat="1">
      <c r="A991" s="3202">
        <v>200</v>
      </c>
      <c r="B991" s="2991" t="s">
        <v>4217</v>
      </c>
      <c r="C991" s="2999">
        <v>134.66</v>
      </c>
      <c r="D991" s="2993" t="s">
        <v>3257</v>
      </c>
      <c r="E991" s="2996">
        <v>8551987</v>
      </c>
    </row>
    <row r="992" spans="1:6" s="2993" customFormat="1">
      <c r="A992" s="3202"/>
      <c r="B992" s="2991" t="s">
        <v>4218</v>
      </c>
      <c r="C992" s="2996">
        <v>84.6</v>
      </c>
      <c r="D992" s="2993" t="s">
        <v>4487</v>
      </c>
      <c r="E992" s="2996">
        <v>2538000</v>
      </c>
      <c r="F992" s="2993">
        <f t="shared" ref="F992:F993" si="196">E992/C992</f>
        <v>30000.000000000004</v>
      </c>
    </row>
    <row r="993" spans="1:6" s="2993" customFormat="1">
      <c r="A993" s="3202"/>
      <c r="B993" s="2991" t="s">
        <v>4219</v>
      </c>
      <c r="C993" s="2996">
        <v>83.61</v>
      </c>
      <c r="D993" s="2993" t="s">
        <v>3252</v>
      </c>
      <c r="E993" s="2996">
        <v>2508300</v>
      </c>
      <c r="F993" s="2993">
        <f t="shared" si="196"/>
        <v>30000</v>
      </c>
    </row>
    <row r="994" spans="1:6" s="2993" customFormat="1">
      <c r="A994" s="3202"/>
      <c r="B994" s="2991" t="s">
        <v>4220</v>
      </c>
      <c r="C994" s="2994">
        <v>45.51</v>
      </c>
      <c r="D994" s="2993" t="s">
        <v>3254</v>
      </c>
      <c r="E994" s="3002">
        <v>420000</v>
      </c>
    </row>
    <row r="995" spans="1:6" s="2993" customFormat="1">
      <c r="A995" s="3202"/>
      <c r="B995" s="2991" t="s">
        <v>4221</v>
      </c>
      <c r="C995" s="2994">
        <v>45.51</v>
      </c>
      <c r="D995" s="2993" t="s">
        <v>3254</v>
      </c>
      <c r="E995" s="3002">
        <v>420000</v>
      </c>
    </row>
    <row r="996" spans="1:6" s="2993" customFormat="1">
      <c r="A996" s="3202">
        <v>201</v>
      </c>
      <c r="B996" s="2991" t="s">
        <v>4222</v>
      </c>
      <c r="C996" s="2996">
        <v>134.86000000000001</v>
      </c>
      <c r="D996" s="2993" t="s">
        <v>3257</v>
      </c>
      <c r="E996" s="2996">
        <v>7739872</v>
      </c>
    </row>
    <row r="997" spans="1:6" s="2993" customFormat="1">
      <c r="A997" s="3202"/>
      <c r="B997" s="2991" t="s">
        <v>4223</v>
      </c>
      <c r="C997" s="2996">
        <v>85.01</v>
      </c>
      <c r="D997" s="2993" t="s">
        <v>4487</v>
      </c>
      <c r="E997" s="2996">
        <v>2550300</v>
      </c>
      <c r="F997" s="2993">
        <f t="shared" ref="F997:F998" si="197">E997/C997</f>
        <v>30000</v>
      </c>
    </row>
    <row r="998" spans="1:6" s="2993" customFormat="1">
      <c r="A998" s="3202"/>
      <c r="B998" s="2991" t="s">
        <v>4224</v>
      </c>
      <c r="C998" s="2996">
        <v>84.33</v>
      </c>
      <c r="D998" s="2993" t="s">
        <v>3252</v>
      </c>
      <c r="E998" s="2996">
        <v>2529900</v>
      </c>
      <c r="F998" s="2993">
        <f t="shared" si="197"/>
        <v>30000</v>
      </c>
    </row>
    <row r="999" spans="1:6" s="2993" customFormat="1">
      <c r="A999" s="3202"/>
      <c r="B999" s="2991" t="s">
        <v>4225</v>
      </c>
      <c r="C999" s="2994">
        <v>45.51</v>
      </c>
      <c r="D999" s="2993" t="s">
        <v>3254</v>
      </c>
      <c r="E999" s="3002">
        <v>420000</v>
      </c>
    </row>
    <row r="1000" spans="1:6" s="2993" customFormat="1">
      <c r="A1000" s="3202"/>
      <c r="B1000" s="2991" t="s">
        <v>4226</v>
      </c>
      <c r="C1000" s="2994">
        <v>45.51</v>
      </c>
      <c r="D1000" s="2993" t="s">
        <v>3254</v>
      </c>
      <c r="E1000" s="3002">
        <v>420000</v>
      </c>
    </row>
    <row r="1001" spans="1:6" s="2993" customFormat="1">
      <c r="A1001" s="3202">
        <v>202</v>
      </c>
      <c r="B1001" s="2991" t="s">
        <v>4227</v>
      </c>
      <c r="C1001" s="2996">
        <v>134.66</v>
      </c>
      <c r="D1001" s="2993" t="s">
        <v>3257</v>
      </c>
      <c r="E1001" s="2996">
        <v>8551987</v>
      </c>
    </row>
    <row r="1002" spans="1:6" s="2993" customFormat="1">
      <c r="A1002" s="3202"/>
      <c r="B1002" s="2991" t="s">
        <v>4228</v>
      </c>
      <c r="C1002" s="2996">
        <v>84.6</v>
      </c>
      <c r="D1002" s="2993" t="s">
        <v>4487</v>
      </c>
      <c r="E1002" s="2996">
        <v>2538000</v>
      </c>
      <c r="F1002" s="2993">
        <f t="shared" ref="F1002:F1003" si="198">E1002/C1002</f>
        <v>30000.000000000004</v>
      </c>
    </row>
    <row r="1003" spans="1:6" s="2993" customFormat="1">
      <c r="A1003" s="3202"/>
      <c r="B1003" s="2991" t="s">
        <v>4229</v>
      </c>
      <c r="C1003" s="2996">
        <v>83.61</v>
      </c>
      <c r="D1003" s="2993" t="s">
        <v>3252</v>
      </c>
      <c r="E1003" s="2996">
        <v>2508300</v>
      </c>
      <c r="F1003" s="2993">
        <f t="shared" si="198"/>
        <v>30000</v>
      </c>
    </row>
    <row r="1004" spans="1:6" s="2993" customFormat="1">
      <c r="A1004" s="3202"/>
      <c r="B1004" s="2991" t="s">
        <v>4230</v>
      </c>
      <c r="C1004" s="2994">
        <v>45.51</v>
      </c>
      <c r="D1004" s="2993" t="s">
        <v>3254</v>
      </c>
      <c r="E1004" s="3002">
        <v>420000</v>
      </c>
    </row>
    <row r="1005" spans="1:6" s="2993" customFormat="1">
      <c r="A1005" s="3202"/>
      <c r="B1005" s="2991" t="s">
        <v>4231</v>
      </c>
      <c r="C1005" s="2994">
        <v>45.51</v>
      </c>
      <c r="D1005" s="2993" t="s">
        <v>3254</v>
      </c>
      <c r="E1005" s="3002">
        <v>420000</v>
      </c>
    </row>
    <row r="1006" spans="1:6" s="2993" customFormat="1">
      <c r="A1006" s="3202">
        <v>203</v>
      </c>
      <c r="B1006" s="2991" t="s">
        <v>4232</v>
      </c>
      <c r="C1006" s="2996">
        <v>134.86000000000001</v>
      </c>
      <c r="D1006" s="2993" t="s">
        <v>3257</v>
      </c>
      <c r="E1006" s="2996">
        <v>7938461</v>
      </c>
    </row>
    <row r="1007" spans="1:6" s="2993" customFormat="1">
      <c r="A1007" s="3202"/>
      <c r="B1007" s="2991" t="s">
        <v>4233</v>
      </c>
      <c r="C1007" s="2996">
        <v>85.01</v>
      </c>
      <c r="D1007" s="2993" t="s">
        <v>4487</v>
      </c>
      <c r="E1007" s="2996">
        <v>2550300</v>
      </c>
      <c r="F1007" s="2993">
        <f t="shared" ref="F1007:F1008" si="199">E1007/C1007</f>
        <v>30000</v>
      </c>
    </row>
    <row r="1008" spans="1:6" s="2993" customFormat="1">
      <c r="A1008" s="3202"/>
      <c r="B1008" s="2991" t="s">
        <v>4234</v>
      </c>
      <c r="C1008" s="2996">
        <v>84.33</v>
      </c>
      <c r="D1008" s="2993" t="s">
        <v>3252</v>
      </c>
      <c r="E1008" s="2996">
        <v>2529900</v>
      </c>
      <c r="F1008" s="2993">
        <f t="shared" si="199"/>
        <v>30000</v>
      </c>
    </row>
    <row r="1009" spans="1:6" s="2993" customFormat="1">
      <c r="A1009" s="3202"/>
      <c r="B1009" s="2991" t="s">
        <v>4235</v>
      </c>
      <c r="C1009" s="2994">
        <v>45.51</v>
      </c>
      <c r="D1009" s="2993" t="s">
        <v>3254</v>
      </c>
      <c r="E1009" s="3002">
        <v>420000</v>
      </c>
    </row>
    <row r="1010" spans="1:6" s="2993" customFormat="1">
      <c r="A1010" s="3202"/>
      <c r="B1010" s="2991" t="s">
        <v>4236</v>
      </c>
      <c r="C1010" s="2994">
        <v>45.51</v>
      </c>
      <c r="D1010" s="2993" t="s">
        <v>3254</v>
      </c>
      <c r="E1010" s="3002">
        <v>420000</v>
      </c>
    </row>
    <row r="1011" spans="1:6" s="2993" customFormat="1">
      <c r="A1011" s="3202">
        <v>204</v>
      </c>
      <c r="B1011" s="2991" t="s">
        <v>4237</v>
      </c>
      <c r="C1011" s="2999">
        <v>134.72999999999999</v>
      </c>
      <c r="D1011" s="2993" t="s">
        <v>3257</v>
      </c>
      <c r="E1011" s="2996">
        <v>8556433</v>
      </c>
    </row>
    <row r="1012" spans="1:6" s="2993" customFormat="1">
      <c r="A1012" s="3202"/>
      <c r="B1012" s="2991" t="s">
        <v>4238</v>
      </c>
      <c r="C1012" s="2996">
        <v>84.64</v>
      </c>
      <c r="D1012" s="2993" t="s">
        <v>4487</v>
      </c>
      <c r="E1012" s="2996">
        <v>2539200</v>
      </c>
      <c r="F1012" s="2993">
        <f t="shared" ref="F1012:F1013" si="200">E1012/C1012</f>
        <v>30000</v>
      </c>
    </row>
    <row r="1013" spans="1:6" s="2993" customFormat="1">
      <c r="A1013" s="3202"/>
      <c r="B1013" s="2991" t="s">
        <v>4239</v>
      </c>
      <c r="C1013" s="2996">
        <v>83.62</v>
      </c>
      <c r="D1013" s="2993" t="s">
        <v>3252</v>
      </c>
      <c r="E1013" s="2996">
        <v>2508600</v>
      </c>
      <c r="F1013" s="2993">
        <f t="shared" si="200"/>
        <v>30000</v>
      </c>
    </row>
    <row r="1014" spans="1:6" s="2993" customFormat="1">
      <c r="A1014" s="3202"/>
      <c r="B1014" s="2991" t="s">
        <v>4240</v>
      </c>
      <c r="C1014" s="2994">
        <v>45.51</v>
      </c>
      <c r="D1014" s="2993" t="s">
        <v>3254</v>
      </c>
      <c r="E1014" s="3002">
        <v>420000</v>
      </c>
    </row>
    <row r="1015" spans="1:6" s="2993" customFormat="1">
      <c r="A1015" s="3202"/>
      <c r="B1015" s="2991" t="s">
        <v>4241</v>
      </c>
      <c r="C1015" s="2994">
        <v>45.51</v>
      </c>
      <c r="D1015" s="2993" t="s">
        <v>3254</v>
      </c>
      <c r="E1015" s="3002">
        <v>420000</v>
      </c>
    </row>
    <row r="1016" spans="1:6" s="2993" customFormat="1">
      <c r="A1016" s="3202">
        <v>205</v>
      </c>
      <c r="B1016" s="2991" t="s">
        <v>4242</v>
      </c>
      <c r="C1016" s="2996">
        <v>134.91999999999999</v>
      </c>
      <c r="D1016" s="2993" t="s">
        <v>3257</v>
      </c>
      <c r="E1016" s="2996">
        <v>7743321</v>
      </c>
    </row>
    <row r="1017" spans="1:6" s="2993" customFormat="1">
      <c r="A1017" s="3202"/>
      <c r="B1017" s="2991" t="s">
        <v>4243</v>
      </c>
      <c r="C1017" s="2996">
        <v>85.06</v>
      </c>
      <c r="D1017" s="2993" t="s">
        <v>4487</v>
      </c>
      <c r="E1017" s="2996">
        <v>2551800</v>
      </c>
      <c r="F1017" s="2993">
        <f t="shared" ref="F1017:F1018" si="201">E1017/C1017</f>
        <v>30000</v>
      </c>
    </row>
    <row r="1018" spans="1:6" s="2993" customFormat="1">
      <c r="A1018" s="3202"/>
      <c r="B1018" s="2991" t="s">
        <v>4244</v>
      </c>
      <c r="C1018" s="2996">
        <v>84.34</v>
      </c>
      <c r="D1018" s="2993" t="s">
        <v>3252</v>
      </c>
      <c r="E1018" s="2996">
        <v>2530200</v>
      </c>
      <c r="F1018" s="2993">
        <f t="shared" si="201"/>
        <v>30000</v>
      </c>
    </row>
    <row r="1019" spans="1:6" s="2993" customFormat="1">
      <c r="A1019" s="3202"/>
      <c r="B1019" s="2991" t="s">
        <v>4245</v>
      </c>
      <c r="C1019" s="2994">
        <v>45.51</v>
      </c>
      <c r="D1019" s="2993" t="s">
        <v>3254</v>
      </c>
      <c r="E1019" s="3002">
        <v>420000</v>
      </c>
    </row>
    <row r="1020" spans="1:6" s="2993" customFormat="1">
      <c r="A1020" s="3202"/>
      <c r="B1020" s="2991" t="s">
        <v>4246</v>
      </c>
      <c r="C1020" s="2994">
        <v>45.51</v>
      </c>
      <c r="D1020" s="2993" t="s">
        <v>3254</v>
      </c>
      <c r="E1020" s="3002">
        <v>420000</v>
      </c>
    </row>
    <row r="1021" spans="1:6" s="2993" customFormat="1">
      <c r="A1021" s="3202">
        <v>206</v>
      </c>
      <c r="B1021" s="2991" t="s">
        <v>4247</v>
      </c>
      <c r="C1021" s="2996">
        <v>134.72999999999999</v>
      </c>
      <c r="D1021" s="2993" t="s">
        <v>3257</v>
      </c>
      <c r="E1021" s="2996">
        <v>8556433</v>
      </c>
    </row>
    <row r="1022" spans="1:6" s="2993" customFormat="1">
      <c r="A1022" s="3202"/>
      <c r="B1022" s="2991" t="s">
        <v>4248</v>
      </c>
      <c r="C1022" s="2996">
        <v>84.64</v>
      </c>
      <c r="D1022" s="2993" t="s">
        <v>4487</v>
      </c>
      <c r="E1022" s="2996">
        <v>2539200</v>
      </c>
      <c r="F1022" s="2993">
        <f t="shared" ref="F1022:F1023" si="202">E1022/C1022</f>
        <v>30000</v>
      </c>
    </row>
    <row r="1023" spans="1:6" s="2993" customFormat="1">
      <c r="A1023" s="3202"/>
      <c r="B1023" s="2991" t="s">
        <v>4249</v>
      </c>
      <c r="C1023" s="2996">
        <v>83.62</v>
      </c>
      <c r="D1023" s="2993" t="s">
        <v>3252</v>
      </c>
      <c r="E1023" s="2996">
        <v>2508600</v>
      </c>
      <c r="F1023" s="2993">
        <f t="shared" si="202"/>
        <v>30000</v>
      </c>
    </row>
    <row r="1024" spans="1:6" s="2993" customFormat="1">
      <c r="A1024" s="3202"/>
      <c r="B1024" s="2991" t="s">
        <v>4250</v>
      </c>
      <c r="C1024" s="2994">
        <v>45.51</v>
      </c>
      <c r="D1024" s="2993" t="s">
        <v>3254</v>
      </c>
      <c r="E1024" s="3002">
        <v>420000</v>
      </c>
    </row>
    <row r="1025" spans="1:6" s="2993" customFormat="1">
      <c r="A1025" s="3202"/>
      <c r="B1025" s="2991" t="s">
        <v>4251</v>
      </c>
      <c r="C1025" s="2994">
        <v>45.51</v>
      </c>
      <c r="D1025" s="2993" t="s">
        <v>3254</v>
      </c>
      <c r="E1025" s="3002">
        <v>420000</v>
      </c>
    </row>
    <row r="1026" spans="1:6" s="2993" customFormat="1">
      <c r="A1026" s="3202">
        <v>207</v>
      </c>
      <c r="B1026" s="2991" t="s">
        <v>4252</v>
      </c>
      <c r="C1026" s="2996">
        <v>134.91999999999999</v>
      </c>
      <c r="D1026" s="2993" t="s">
        <v>3257</v>
      </c>
      <c r="E1026" s="2996">
        <v>7941991</v>
      </c>
    </row>
    <row r="1027" spans="1:6" s="2993" customFormat="1">
      <c r="A1027" s="3202"/>
      <c r="B1027" s="2991" t="s">
        <v>4253</v>
      </c>
      <c r="C1027" s="2996">
        <v>85.06</v>
      </c>
      <c r="D1027" s="2993" t="s">
        <v>4487</v>
      </c>
      <c r="E1027" s="2996">
        <v>2551800</v>
      </c>
      <c r="F1027" s="2993">
        <f t="shared" ref="F1027:F1028" si="203">E1027/C1027</f>
        <v>30000</v>
      </c>
    </row>
    <row r="1028" spans="1:6" s="2993" customFormat="1">
      <c r="A1028" s="3202"/>
      <c r="B1028" s="2991" t="s">
        <v>4254</v>
      </c>
      <c r="C1028" s="2996">
        <v>84.34</v>
      </c>
      <c r="D1028" s="2993" t="s">
        <v>3252</v>
      </c>
      <c r="E1028" s="2996">
        <v>2530200</v>
      </c>
      <c r="F1028" s="2993">
        <f t="shared" si="203"/>
        <v>30000</v>
      </c>
    </row>
    <row r="1029" spans="1:6" s="2993" customFormat="1">
      <c r="A1029" s="3202"/>
      <c r="B1029" s="2991" t="s">
        <v>4255</v>
      </c>
      <c r="C1029" s="2994">
        <v>45.51</v>
      </c>
      <c r="D1029" s="2993" t="s">
        <v>3254</v>
      </c>
      <c r="E1029" s="3002">
        <v>420000</v>
      </c>
    </row>
    <row r="1030" spans="1:6" s="2993" customFormat="1">
      <c r="A1030" s="3202"/>
      <c r="B1030" s="2991" t="s">
        <v>4256</v>
      </c>
      <c r="C1030" s="2994">
        <v>45.51</v>
      </c>
      <c r="D1030" s="2993" t="s">
        <v>3254</v>
      </c>
      <c r="E1030" s="3002">
        <v>420000</v>
      </c>
    </row>
    <row r="1031" spans="1:6" s="2993" customFormat="1">
      <c r="A1031" s="3202">
        <v>208</v>
      </c>
      <c r="B1031" s="2991" t="s">
        <v>4257</v>
      </c>
      <c r="C1031" s="2996">
        <v>134.28</v>
      </c>
      <c r="D1031" s="2993" t="s">
        <v>3257</v>
      </c>
      <c r="E1031" s="2996">
        <v>7706366</v>
      </c>
    </row>
    <row r="1032" spans="1:6" s="2993" customFormat="1">
      <c r="A1032" s="3202"/>
      <c r="B1032" s="2991" t="s">
        <v>4258</v>
      </c>
      <c r="C1032" s="2996">
        <v>84.49</v>
      </c>
      <c r="D1032" s="2993" t="s">
        <v>4487</v>
      </c>
      <c r="E1032" s="2996">
        <v>2534700</v>
      </c>
      <c r="F1032" s="2993">
        <f t="shared" ref="F1032:F1033" si="204">E1032/C1032</f>
        <v>30000</v>
      </c>
    </row>
    <row r="1033" spans="1:6" s="2993" customFormat="1">
      <c r="A1033" s="3202"/>
      <c r="B1033" s="2991" t="s">
        <v>4259</v>
      </c>
      <c r="C1033" s="2996">
        <v>84.17</v>
      </c>
      <c r="D1033" s="2993" t="s">
        <v>3252</v>
      </c>
      <c r="E1033" s="2996">
        <v>2525100</v>
      </c>
      <c r="F1033" s="2993">
        <f t="shared" si="204"/>
        <v>30000</v>
      </c>
    </row>
    <row r="1034" spans="1:6" s="2993" customFormat="1">
      <c r="A1034" s="3202"/>
      <c r="B1034" s="2991" t="s">
        <v>4260</v>
      </c>
      <c r="C1034" s="2994">
        <v>45.51</v>
      </c>
      <c r="D1034" s="2993" t="s">
        <v>3254</v>
      </c>
      <c r="E1034" s="3002">
        <v>420000</v>
      </c>
    </row>
    <row r="1035" spans="1:6" s="2993" customFormat="1">
      <c r="A1035" s="3202"/>
      <c r="B1035" s="2991" t="s">
        <v>4261</v>
      </c>
      <c r="C1035" s="2994">
        <v>45.51</v>
      </c>
      <c r="D1035" s="2993" t="s">
        <v>3254</v>
      </c>
      <c r="E1035" s="3002">
        <v>420000</v>
      </c>
    </row>
    <row r="1036" spans="1:6" s="2993" customFormat="1">
      <c r="A1036" s="3202">
        <v>209</v>
      </c>
      <c r="B1036" s="2991" t="s">
        <v>4262</v>
      </c>
      <c r="C1036" s="2996">
        <v>134.47</v>
      </c>
      <c r="D1036" s="2993" t="s">
        <v>3257</v>
      </c>
      <c r="E1036" s="2996">
        <v>8034348</v>
      </c>
    </row>
    <row r="1037" spans="1:6" s="2993" customFormat="1">
      <c r="A1037" s="3202"/>
      <c r="B1037" s="2991" t="s">
        <v>4263</v>
      </c>
      <c r="C1037" s="2996">
        <v>84.77</v>
      </c>
      <c r="D1037" s="2993" t="s">
        <v>4487</v>
      </c>
      <c r="E1037" s="2996">
        <v>2543100</v>
      </c>
      <c r="F1037" s="2993">
        <f t="shared" ref="F1037:F1038" si="205">E1037/C1037</f>
        <v>30000</v>
      </c>
    </row>
    <row r="1038" spans="1:6" s="2993" customFormat="1">
      <c r="A1038" s="3202"/>
      <c r="B1038" s="2991" t="s">
        <v>4264</v>
      </c>
      <c r="C1038" s="2996">
        <v>84.17</v>
      </c>
      <c r="D1038" s="2993" t="s">
        <v>3252</v>
      </c>
      <c r="E1038" s="2996">
        <v>2525100</v>
      </c>
      <c r="F1038" s="2993">
        <f t="shared" si="205"/>
        <v>30000</v>
      </c>
    </row>
    <row r="1039" spans="1:6" s="2993" customFormat="1">
      <c r="A1039" s="3202"/>
      <c r="B1039" s="2991" t="s">
        <v>4265</v>
      </c>
      <c r="C1039" s="2994">
        <v>45.51</v>
      </c>
      <c r="D1039" s="2993" t="s">
        <v>3254</v>
      </c>
      <c r="E1039" s="3002">
        <v>420000</v>
      </c>
    </row>
    <row r="1040" spans="1:6" s="2993" customFormat="1">
      <c r="A1040" s="3202"/>
      <c r="B1040" s="2991" t="s">
        <v>4266</v>
      </c>
      <c r="C1040" s="2994">
        <v>45.51</v>
      </c>
      <c r="D1040" s="2993" t="s">
        <v>3254</v>
      </c>
      <c r="E1040" s="3002">
        <v>420000</v>
      </c>
    </row>
    <row r="1041" spans="1:6" s="2993" customFormat="1">
      <c r="A1041" s="3202">
        <v>210</v>
      </c>
      <c r="B1041" s="2991" t="s">
        <v>4267</v>
      </c>
      <c r="C1041" s="2999">
        <v>134.72999999999999</v>
      </c>
      <c r="D1041" s="2993" t="s">
        <v>3257</v>
      </c>
      <c r="E1041" s="2996">
        <v>8556433</v>
      </c>
    </row>
    <row r="1042" spans="1:6" s="2993" customFormat="1">
      <c r="A1042" s="3202"/>
      <c r="B1042" s="2991" t="s">
        <v>4268</v>
      </c>
      <c r="C1042" s="2996">
        <v>84.64</v>
      </c>
      <c r="D1042" s="2993" t="s">
        <v>4487</v>
      </c>
      <c r="E1042" s="2996">
        <v>2539200</v>
      </c>
      <c r="F1042" s="2993">
        <f t="shared" ref="F1042:F1043" si="206">E1042/C1042</f>
        <v>30000</v>
      </c>
    </row>
    <row r="1043" spans="1:6" s="2993" customFormat="1">
      <c r="A1043" s="3202"/>
      <c r="B1043" s="2991" t="s">
        <v>4269</v>
      </c>
      <c r="C1043" s="2996">
        <v>83.62</v>
      </c>
      <c r="D1043" s="2993" t="s">
        <v>3252</v>
      </c>
      <c r="E1043" s="2996">
        <v>2508600</v>
      </c>
      <c r="F1043" s="2993">
        <f t="shared" si="206"/>
        <v>30000</v>
      </c>
    </row>
    <row r="1044" spans="1:6" s="2993" customFormat="1">
      <c r="A1044" s="3202"/>
      <c r="B1044" s="2991" t="s">
        <v>4270</v>
      </c>
      <c r="C1044" s="2994">
        <v>45.51</v>
      </c>
      <c r="D1044" s="2993" t="s">
        <v>3254</v>
      </c>
      <c r="E1044" s="3002">
        <v>420000</v>
      </c>
    </row>
    <row r="1045" spans="1:6" s="2993" customFormat="1">
      <c r="A1045" s="3202"/>
      <c r="B1045" s="2991" t="s">
        <v>4271</v>
      </c>
      <c r="C1045" s="2994">
        <v>45.51</v>
      </c>
      <c r="D1045" s="2993" t="s">
        <v>3254</v>
      </c>
      <c r="E1045" s="3002">
        <v>420000</v>
      </c>
    </row>
    <row r="1046" spans="1:6" s="2993" customFormat="1">
      <c r="A1046" s="3202">
        <v>211</v>
      </c>
      <c r="B1046" s="2991" t="s">
        <v>4272</v>
      </c>
      <c r="C1046" s="2996">
        <v>134.91999999999999</v>
      </c>
      <c r="D1046" s="2993" t="s">
        <v>3257</v>
      </c>
      <c r="E1046" s="2996">
        <v>7862523</v>
      </c>
    </row>
    <row r="1047" spans="1:6" s="2993" customFormat="1">
      <c r="A1047" s="3202"/>
      <c r="B1047" s="2991" t="s">
        <v>4273</v>
      </c>
      <c r="C1047" s="2996">
        <v>85.06</v>
      </c>
      <c r="D1047" s="2993" t="s">
        <v>4487</v>
      </c>
      <c r="E1047" s="2996">
        <v>2551800</v>
      </c>
      <c r="F1047" s="2993">
        <f t="shared" ref="F1047:F1048" si="207">E1047/C1047</f>
        <v>30000</v>
      </c>
    </row>
    <row r="1048" spans="1:6" s="2993" customFormat="1">
      <c r="A1048" s="3202"/>
      <c r="B1048" s="2991" t="s">
        <v>4274</v>
      </c>
      <c r="C1048" s="2996">
        <v>84.34</v>
      </c>
      <c r="D1048" s="2993" t="s">
        <v>3252</v>
      </c>
      <c r="E1048" s="2996">
        <v>2530200</v>
      </c>
      <c r="F1048" s="2993">
        <f t="shared" si="207"/>
        <v>30000</v>
      </c>
    </row>
    <row r="1049" spans="1:6" s="2993" customFormat="1">
      <c r="A1049" s="3202"/>
      <c r="B1049" s="2991" t="s">
        <v>4275</v>
      </c>
      <c r="C1049" s="2994">
        <v>45.51</v>
      </c>
      <c r="D1049" s="2993" t="s">
        <v>3254</v>
      </c>
      <c r="E1049" s="3002">
        <v>420000</v>
      </c>
    </row>
    <row r="1050" spans="1:6" s="2993" customFormat="1">
      <c r="A1050" s="3202"/>
      <c r="B1050" s="2991" t="s">
        <v>4276</v>
      </c>
      <c r="C1050" s="2994">
        <v>45.51</v>
      </c>
      <c r="D1050" s="2993" t="s">
        <v>3254</v>
      </c>
      <c r="E1050" s="3002">
        <v>420000</v>
      </c>
    </row>
    <row r="1051" spans="1:6" s="2993" customFormat="1">
      <c r="A1051" s="3202">
        <v>212</v>
      </c>
      <c r="B1051" s="2991" t="s">
        <v>4277</v>
      </c>
      <c r="C1051" s="2996">
        <v>134.72999999999999</v>
      </c>
      <c r="D1051" s="2993" t="s">
        <v>3257</v>
      </c>
      <c r="E1051" s="2996">
        <v>8556433</v>
      </c>
    </row>
    <row r="1052" spans="1:6" s="2993" customFormat="1">
      <c r="A1052" s="3202"/>
      <c r="B1052" s="2991" t="s">
        <v>4278</v>
      </c>
      <c r="C1052" s="2996">
        <v>84.64</v>
      </c>
      <c r="D1052" s="2993" t="s">
        <v>4487</v>
      </c>
      <c r="E1052" s="2996">
        <v>2539200</v>
      </c>
      <c r="F1052" s="2993">
        <f t="shared" ref="F1052:F1053" si="208">E1052/C1052</f>
        <v>30000</v>
      </c>
    </row>
    <row r="1053" spans="1:6" s="2993" customFormat="1">
      <c r="A1053" s="3202"/>
      <c r="B1053" s="2991" t="s">
        <v>4279</v>
      </c>
      <c r="C1053" s="2996">
        <v>83.62</v>
      </c>
      <c r="D1053" s="2993" t="s">
        <v>3252</v>
      </c>
      <c r="E1053" s="2996">
        <v>2508600</v>
      </c>
      <c r="F1053" s="2993">
        <f t="shared" si="208"/>
        <v>30000</v>
      </c>
    </row>
    <row r="1054" spans="1:6" s="2993" customFormat="1">
      <c r="A1054" s="3202"/>
      <c r="B1054" s="2991" t="s">
        <v>4280</v>
      </c>
      <c r="C1054" s="2994">
        <v>45.51</v>
      </c>
      <c r="D1054" s="2993" t="s">
        <v>3254</v>
      </c>
      <c r="E1054" s="3002">
        <v>420000</v>
      </c>
    </row>
    <row r="1055" spans="1:6" s="2993" customFormat="1">
      <c r="A1055" s="3202"/>
      <c r="B1055" s="2991" t="s">
        <v>4281</v>
      </c>
      <c r="C1055" s="2994">
        <v>45.51</v>
      </c>
      <c r="D1055" s="2993" t="s">
        <v>3254</v>
      </c>
      <c r="E1055" s="3002">
        <v>420000</v>
      </c>
    </row>
    <row r="1056" spans="1:6" s="2993" customFormat="1">
      <c r="A1056" s="3202">
        <v>213</v>
      </c>
      <c r="B1056" s="2991" t="s">
        <v>4282</v>
      </c>
      <c r="C1056" s="2996">
        <v>134.91999999999999</v>
      </c>
      <c r="D1056" s="2993" t="s">
        <v>3257</v>
      </c>
      <c r="E1056" s="2996">
        <v>8061193</v>
      </c>
    </row>
    <row r="1057" spans="1:6" s="2993" customFormat="1">
      <c r="A1057" s="3202"/>
      <c r="B1057" s="2991" t="s">
        <v>4283</v>
      </c>
      <c r="C1057" s="2996">
        <v>85.06</v>
      </c>
      <c r="D1057" s="2993" t="s">
        <v>4487</v>
      </c>
      <c r="E1057" s="2996">
        <v>2551800</v>
      </c>
      <c r="F1057" s="2993">
        <f t="shared" ref="F1057:F1058" si="209">E1057/C1057</f>
        <v>30000</v>
      </c>
    </row>
    <row r="1058" spans="1:6" s="2993" customFormat="1">
      <c r="A1058" s="3202"/>
      <c r="B1058" s="2991" t="s">
        <v>4284</v>
      </c>
      <c r="C1058" s="2996">
        <v>84.34</v>
      </c>
      <c r="D1058" s="2993" t="s">
        <v>3252</v>
      </c>
      <c r="E1058" s="2996">
        <v>2530200</v>
      </c>
      <c r="F1058" s="2993">
        <f t="shared" si="209"/>
        <v>30000</v>
      </c>
    </row>
    <row r="1059" spans="1:6" s="2993" customFormat="1">
      <c r="A1059" s="3202"/>
      <c r="B1059" s="2991" t="s">
        <v>4285</v>
      </c>
      <c r="C1059" s="2994">
        <v>45.51</v>
      </c>
      <c r="D1059" s="2993" t="s">
        <v>3254</v>
      </c>
      <c r="E1059" s="3002">
        <v>420000</v>
      </c>
    </row>
    <row r="1060" spans="1:6" s="2993" customFormat="1">
      <c r="A1060" s="3202"/>
      <c r="B1060" s="2991" t="s">
        <v>4286</v>
      </c>
      <c r="C1060" s="2994">
        <v>45.51</v>
      </c>
      <c r="D1060" s="2993" t="s">
        <v>3381</v>
      </c>
      <c r="E1060" s="3002">
        <v>420000</v>
      </c>
    </row>
    <row r="1061" spans="1:6" s="2993" customFormat="1">
      <c r="A1061" s="3202">
        <v>214</v>
      </c>
      <c r="B1061" s="2991" t="s">
        <v>4287</v>
      </c>
      <c r="C1061" s="2996">
        <v>134.29</v>
      </c>
      <c r="D1061" s="2993" t="s">
        <v>3384</v>
      </c>
      <c r="E1061" s="2996">
        <v>8528489</v>
      </c>
    </row>
    <row r="1062" spans="1:6" s="2993" customFormat="1">
      <c r="A1062" s="3202"/>
      <c r="B1062" s="2991" t="s">
        <v>4288</v>
      </c>
      <c r="C1062" s="2996">
        <v>84.35</v>
      </c>
      <c r="D1062" s="2993" t="s">
        <v>4487</v>
      </c>
      <c r="E1062" s="2996">
        <v>2530500</v>
      </c>
      <c r="F1062" s="2993">
        <f t="shared" ref="F1062:F1063" si="210">E1062/C1062</f>
        <v>30000.000000000004</v>
      </c>
    </row>
    <row r="1063" spans="1:6" s="2993" customFormat="1">
      <c r="A1063" s="3202"/>
      <c r="B1063" s="2991" t="s">
        <v>4289</v>
      </c>
      <c r="C1063" s="2996">
        <v>83.45</v>
      </c>
      <c r="D1063" s="2993" t="s">
        <v>3379</v>
      </c>
      <c r="E1063" s="2996">
        <v>2503500</v>
      </c>
      <c r="F1063" s="2993">
        <f t="shared" si="210"/>
        <v>30000</v>
      </c>
    </row>
    <row r="1064" spans="1:6" s="2993" customFormat="1">
      <c r="A1064" s="3202"/>
      <c r="B1064" s="2991" t="s">
        <v>4290</v>
      </c>
      <c r="C1064" s="2994">
        <v>45.51</v>
      </c>
      <c r="D1064" s="2993" t="s">
        <v>3381</v>
      </c>
      <c r="E1064" s="3002">
        <v>420000</v>
      </c>
    </row>
    <row r="1065" spans="1:6" s="2993" customFormat="1">
      <c r="A1065" s="3202"/>
      <c r="B1065" s="2991" t="s">
        <v>4291</v>
      </c>
      <c r="C1065" s="2994">
        <v>45.51</v>
      </c>
      <c r="D1065" s="2993" t="s">
        <v>3381</v>
      </c>
      <c r="E1065" s="3002">
        <v>420000</v>
      </c>
    </row>
    <row r="1066" spans="1:6" s="2993" customFormat="1">
      <c r="A1066" s="3202">
        <v>215</v>
      </c>
      <c r="B1066" s="2991" t="s">
        <v>4292</v>
      </c>
      <c r="C1066" s="2996">
        <v>134.28</v>
      </c>
      <c r="D1066" s="2993" t="s">
        <v>3384</v>
      </c>
      <c r="E1066" s="2996">
        <v>7587713</v>
      </c>
    </row>
    <row r="1067" spans="1:6" s="2993" customFormat="1">
      <c r="A1067" s="3202"/>
      <c r="B1067" s="2991" t="s">
        <v>4293</v>
      </c>
      <c r="C1067" s="2996">
        <v>84.49</v>
      </c>
      <c r="D1067" s="2993" t="s">
        <v>4487</v>
      </c>
      <c r="E1067" s="2996">
        <v>2534700</v>
      </c>
      <c r="F1067" s="2993">
        <f t="shared" ref="F1067:F1068" si="211">E1067/C1067</f>
        <v>30000</v>
      </c>
    </row>
    <row r="1068" spans="1:6" s="2993" customFormat="1">
      <c r="A1068" s="3202"/>
      <c r="B1068" s="2991" t="s">
        <v>4294</v>
      </c>
      <c r="C1068" s="2996">
        <v>84.17</v>
      </c>
      <c r="D1068" s="2993" t="s">
        <v>3379</v>
      </c>
      <c r="E1068" s="2996">
        <v>2525100</v>
      </c>
      <c r="F1068" s="2993">
        <f t="shared" si="211"/>
        <v>30000</v>
      </c>
    </row>
    <row r="1069" spans="1:6" s="2993" customFormat="1">
      <c r="A1069" s="3202"/>
      <c r="B1069" s="2991" t="s">
        <v>4295</v>
      </c>
      <c r="C1069" s="2994">
        <v>45.51</v>
      </c>
      <c r="D1069" s="2993" t="s">
        <v>3381</v>
      </c>
      <c r="E1069" s="3002">
        <v>420000</v>
      </c>
    </row>
    <row r="1070" spans="1:6" s="2993" customFormat="1">
      <c r="A1070" s="3202"/>
      <c r="B1070" s="2991" t="s">
        <v>4296</v>
      </c>
      <c r="C1070" s="2994">
        <v>45.51</v>
      </c>
      <c r="D1070" s="2993" t="s">
        <v>3381</v>
      </c>
      <c r="E1070" s="3002">
        <v>420000</v>
      </c>
    </row>
    <row r="1071" spans="1:6" s="2993" customFormat="1">
      <c r="A1071" s="3202">
        <v>216</v>
      </c>
      <c r="B1071" s="2991" t="s">
        <v>4297</v>
      </c>
      <c r="C1071" s="2996">
        <v>134.47</v>
      </c>
      <c r="D1071" s="2993" t="s">
        <v>3384</v>
      </c>
      <c r="E1071" s="2996">
        <v>7717461</v>
      </c>
    </row>
    <row r="1072" spans="1:6" s="2993" customFormat="1">
      <c r="A1072" s="3202"/>
      <c r="B1072" s="2991" t="s">
        <v>4298</v>
      </c>
      <c r="C1072" s="2996">
        <v>84.77</v>
      </c>
      <c r="D1072" s="2993" t="s">
        <v>4487</v>
      </c>
      <c r="E1072" s="2996">
        <v>2543100</v>
      </c>
      <c r="F1072" s="2993">
        <f t="shared" ref="F1072:F1073" si="212">E1072/C1072</f>
        <v>30000</v>
      </c>
    </row>
    <row r="1073" spans="1:6" s="2993" customFormat="1">
      <c r="A1073" s="3202"/>
      <c r="B1073" s="2991" t="s">
        <v>4299</v>
      </c>
      <c r="C1073" s="2996">
        <v>84.17</v>
      </c>
      <c r="D1073" s="2993" t="s">
        <v>3379</v>
      </c>
      <c r="E1073" s="2996">
        <v>2525100</v>
      </c>
      <c r="F1073" s="2993">
        <f t="shared" si="212"/>
        <v>30000</v>
      </c>
    </row>
    <row r="1074" spans="1:6" s="2993" customFormat="1">
      <c r="A1074" s="3202"/>
      <c r="B1074" s="2991" t="s">
        <v>4300</v>
      </c>
      <c r="C1074" s="2994">
        <v>45.51</v>
      </c>
      <c r="D1074" s="2993" t="s">
        <v>3381</v>
      </c>
      <c r="E1074" s="3002">
        <v>420000</v>
      </c>
    </row>
    <row r="1075" spans="1:6" s="2993" customFormat="1">
      <c r="A1075" s="3202"/>
      <c r="B1075" s="2991" t="s">
        <v>4301</v>
      </c>
      <c r="C1075" s="2994">
        <v>45.51</v>
      </c>
      <c r="D1075" s="2993" t="s">
        <v>3381</v>
      </c>
      <c r="E1075" s="3002">
        <v>420000</v>
      </c>
    </row>
    <row r="1076" spans="1:6" s="2993" customFormat="1">
      <c r="A1076" s="3202">
        <v>217</v>
      </c>
      <c r="B1076" s="2991" t="s">
        <v>4302</v>
      </c>
      <c r="C1076" s="2996">
        <v>134.29</v>
      </c>
      <c r="D1076" s="2993" t="s">
        <v>3384</v>
      </c>
      <c r="E1076" s="2996">
        <v>8528489</v>
      </c>
    </row>
    <row r="1077" spans="1:6" s="2993" customFormat="1">
      <c r="A1077" s="3202"/>
      <c r="B1077" s="2991" t="s">
        <v>4303</v>
      </c>
      <c r="C1077" s="2996">
        <v>84.35</v>
      </c>
      <c r="D1077" s="2993" t="s">
        <v>4487</v>
      </c>
      <c r="E1077" s="2996">
        <v>2530500</v>
      </c>
      <c r="F1077" s="2993">
        <f t="shared" ref="F1077:F1078" si="213">E1077/C1077</f>
        <v>30000.000000000004</v>
      </c>
    </row>
    <row r="1078" spans="1:6" s="2993" customFormat="1">
      <c r="A1078" s="3202"/>
      <c r="B1078" s="2991" t="s">
        <v>4304</v>
      </c>
      <c r="C1078" s="2996">
        <v>83.45</v>
      </c>
      <c r="D1078" s="2993" t="s">
        <v>3379</v>
      </c>
      <c r="E1078" s="2996">
        <v>2503500</v>
      </c>
      <c r="F1078" s="2993">
        <f t="shared" si="213"/>
        <v>30000</v>
      </c>
    </row>
    <row r="1079" spans="1:6" s="2993" customFormat="1">
      <c r="A1079" s="3202"/>
      <c r="B1079" s="2991" t="s">
        <v>4305</v>
      </c>
      <c r="C1079" s="2994">
        <v>45.51</v>
      </c>
      <c r="D1079" s="2993" t="s">
        <v>3381</v>
      </c>
      <c r="E1079" s="3002">
        <v>420000</v>
      </c>
    </row>
    <row r="1080" spans="1:6" s="2993" customFormat="1">
      <c r="A1080" s="3202"/>
      <c r="B1080" s="2991" t="s">
        <v>4306</v>
      </c>
      <c r="C1080" s="2994">
        <v>45.51</v>
      </c>
      <c r="D1080" s="2993" t="s">
        <v>3381</v>
      </c>
      <c r="E1080" s="3002">
        <v>420000</v>
      </c>
    </row>
    <row r="1081" spans="1:6" s="2993" customFormat="1">
      <c r="A1081" s="3202">
        <v>218</v>
      </c>
      <c r="B1081" s="2991" t="s">
        <v>4307</v>
      </c>
      <c r="C1081" s="2996">
        <v>134.28</v>
      </c>
      <c r="D1081" s="2993" t="s">
        <v>3384</v>
      </c>
      <c r="E1081" s="2996">
        <v>7785469</v>
      </c>
    </row>
    <row r="1082" spans="1:6" s="2993" customFormat="1">
      <c r="A1082" s="3202"/>
      <c r="B1082" s="2991" t="s">
        <v>4308</v>
      </c>
      <c r="C1082" s="2996">
        <v>84.49</v>
      </c>
      <c r="D1082" s="2993" t="s">
        <v>4487</v>
      </c>
      <c r="E1082" s="2996">
        <v>2534700</v>
      </c>
      <c r="F1082" s="2993">
        <f t="shared" ref="F1082:F1083" si="214">E1082/C1082</f>
        <v>30000</v>
      </c>
    </row>
    <row r="1083" spans="1:6" s="2993" customFormat="1">
      <c r="A1083" s="3202"/>
      <c r="B1083" s="2991" t="s">
        <v>4309</v>
      </c>
      <c r="C1083" s="2996">
        <v>84.17</v>
      </c>
      <c r="D1083" s="2993" t="s">
        <v>3379</v>
      </c>
      <c r="E1083" s="2996">
        <v>2525100</v>
      </c>
      <c r="F1083" s="2993">
        <f t="shared" si="214"/>
        <v>30000</v>
      </c>
    </row>
    <row r="1084" spans="1:6" s="2993" customFormat="1">
      <c r="A1084" s="3202"/>
      <c r="B1084" s="2991" t="s">
        <v>4310</v>
      </c>
      <c r="C1084" s="2994">
        <v>45.51</v>
      </c>
      <c r="D1084" s="2993" t="s">
        <v>3381</v>
      </c>
      <c r="E1084" s="3002">
        <v>420000</v>
      </c>
    </row>
    <row r="1085" spans="1:6" s="2993" customFormat="1">
      <c r="A1085" s="3202"/>
      <c r="B1085" s="2991" t="s">
        <v>4311</v>
      </c>
      <c r="C1085" s="2994">
        <v>45.51</v>
      </c>
      <c r="D1085" s="2993" t="s">
        <v>3381</v>
      </c>
      <c r="E1085" s="3002">
        <v>420000</v>
      </c>
    </row>
    <row r="1086" spans="1:6" s="2993" customFormat="1">
      <c r="A1086" s="3202">
        <v>219</v>
      </c>
      <c r="B1086" s="2991" t="s">
        <v>4312</v>
      </c>
      <c r="C1086" s="2996">
        <v>134.47</v>
      </c>
      <c r="D1086" s="2993" t="s">
        <v>3238</v>
      </c>
      <c r="E1086" s="2996">
        <v>7915515</v>
      </c>
    </row>
    <row r="1087" spans="1:6" s="2993" customFormat="1">
      <c r="A1087" s="3202"/>
      <c r="B1087" s="2991" t="s">
        <v>4313</v>
      </c>
      <c r="C1087" s="2996">
        <v>84.77</v>
      </c>
      <c r="D1087" s="2993" t="s">
        <v>4487</v>
      </c>
      <c r="E1087" s="2996">
        <v>2543100</v>
      </c>
      <c r="F1087" s="2993">
        <f t="shared" ref="F1087:F1088" si="215">E1087/C1087</f>
        <v>30000</v>
      </c>
    </row>
    <row r="1088" spans="1:6" s="2993" customFormat="1">
      <c r="A1088" s="3202"/>
      <c r="B1088" s="2991" t="s">
        <v>4314</v>
      </c>
      <c r="C1088" s="2996">
        <v>84.17</v>
      </c>
      <c r="D1088" s="2993" t="s">
        <v>3241</v>
      </c>
      <c r="E1088" s="2996">
        <v>2525100</v>
      </c>
      <c r="F1088" s="2993">
        <f t="shared" si="215"/>
        <v>30000</v>
      </c>
    </row>
    <row r="1089" spans="1:6" s="2993" customFormat="1">
      <c r="A1089" s="3202"/>
      <c r="B1089" s="2991" t="s">
        <v>4315</v>
      </c>
      <c r="C1089" s="2994">
        <v>45.51</v>
      </c>
      <c r="D1089" s="2993" t="s">
        <v>3235</v>
      </c>
      <c r="E1089" s="3002">
        <v>420000</v>
      </c>
    </row>
    <row r="1090" spans="1:6" s="2993" customFormat="1">
      <c r="A1090" s="3202"/>
      <c r="B1090" s="2991" t="s">
        <v>4316</v>
      </c>
      <c r="C1090" s="2994">
        <v>45.51</v>
      </c>
      <c r="D1090" s="2993" t="s">
        <v>3235</v>
      </c>
      <c r="E1090" s="3002">
        <v>420000</v>
      </c>
    </row>
    <row r="1091" spans="1:6" s="2993" customFormat="1">
      <c r="A1091" s="3202">
        <v>220</v>
      </c>
      <c r="B1091" s="2991" t="s">
        <v>4317</v>
      </c>
      <c r="C1091" s="2996">
        <v>134.29</v>
      </c>
      <c r="D1091" s="2993" t="s">
        <v>3238</v>
      </c>
      <c r="E1091" s="2996">
        <v>8528489</v>
      </c>
    </row>
    <row r="1092" spans="1:6" s="2993" customFormat="1">
      <c r="A1092" s="3202"/>
      <c r="B1092" s="2991" t="s">
        <v>4318</v>
      </c>
      <c r="C1092" s="2996">
        <v>84.35</v>
      </c>
      <c r="D1092" s="2993" t="s">
        <v>4487</v>
      </c>
      <c r="E1092" s="2996">
        <v>2530500</v>
      </c>
      <c r="F1092" s="2993">
        <f t="shared" ref="F1092:F1093" si="216">E1092/C1092</f>
        <v>30000.000000000004</v>
      </c>
    </row>
    <row r="1093" spans="1:6" s="2993" customFormat="1">
      <c r="A1093" s="3202"/>
      <c r="B1093" s="2991" t="s">
        <v>4319</v>
      </c>
      <c r="C1093" s="2996">
        <v>83.45</v>
      </c>
      <c r="D1093" s="2993" t="s">
        <v>3241</v>
      </c>
      <c r="E1093" s="2996">
        <v>2503500</v>
      </c>
      <c r="F1093" s="2993">
        <f t="shared" si="216"/>
        <v>30000</v>
      </c>
    </row>
    <row r="1094" spans="1:6" s="2993" customFormat="1">
      <c r="A1094" s="3202"/>
      <c r="B1094" s="2991" t="s">
        <v>4320</v>
      </c>
      <c r="C1094" s="2994">
        <v>45.51</v>
      </c>
      <c r="D1094" s="2993" t="s">
        <v>3235</v>
      </c>
      <c r="E1094" s="3002">
        <v>420000</v>
      </c>
    </row>
    <row r="1095" spans="1:6" s="2993" customFormat="1">
      <c r="A1095" s="3202"/>
      <c r="B1095" s="2991" t="s">
        <v>4321</v>
      </c>
      <c r="C1095" s="2994">
        <v>45.51</v>
      </c>
      <c r="D1095" s="2993" t="s">
        <v>3235</v>
      </c>
      <c r="E1095" s="3002">
        <v>420000</v>
      </c>
    </row>
    <row r="1096" spans="1:6" s="2993" customFormat="1">
      <c r="A1096" s="3202">
        <v>221</v>
      </c>
      <c r="B1096" s="2991" t="s">
        <v>4322</v>
      </c>
      <c r="C1096" s="2996">
        <v>134.28</v>
      </c>
      <c r="D1096" s="2993" t="s">
        <v>3257</v>
      </c>
      <c r="E1096" s="2996">
        <v>7587713</v>
      </c>
    </row>
    <row r="1097" spans="1:6" s="2993" customFormat="1">
      <c r="A1097" s="3202"/>
      <c r="B1097" s="2991" t="s">
        <v>4323</v>
      </c>
      <c r="C1097" s="2996">
        <v>84.49</v>
      </c>
      <c r="D1097" s="2993" t="s">
        <v>4487</v>
      </c>
      <c r="E1097" s="2996">
        <v>2534700</v>
      </c>
      <c r="F1097" s="2993">
        <f t="shared" ref="F1097:F1098" si="217">E1097/C1097</f>
        <v>30000</v>
      </c>
    </row>
    <row r="1098" spans="1:6" s="2993" customFormat="1">
      <c r="A1098" s="3202"/>
      <c r="B1098" s="2991" t="s">
        <v>4324</v>
      </c>
      <c r="C1098" s="2996">
        <v>84.17</v>
      </c>
      <c r="D1098" s="2993" t="s">
        <v>3252</v>
      </c>
      <c r="E1098" s="2996">
        <v>2525100</v>
      </c>
      <c r="F1098" s="2993">
        <f t="shared" si="217"/>
        <v>30000</v>
      </c>
    </row>
    <row r="1099" spans="1:6" s="2993" customFormat="1">
      <c r="A1099" s="3202"/>
      <c r="B1099" s="2991" t="s">
        <v>4325</v>
      </c>
      <c r="C1099" s="2994">
        <v>45.51</v>
      </c>
      <c r="D1099" s="2993" t="s">
        <v>3254</v>
      </c>
      <c r="E1099" s="3002">
        <v>420000</v>
      </c>
    </row>
    <row r="1100" spans="1:6" s="2993" customFormat="1">
      <c r="A1100" s="3202"/>
      <c r="B1100" s="2991" t="s">
        <v>4326</v>
      </c>
      <c r="C1100" s="2994">
        <v>45.51</v>
      </c>
      <c r="D1100" s="2993" t="s">
        <v>3254</v>
      </c>
      <c r="E1100" s="3002">
        <v>420000</v>
      </c>
    </row>
    <row r="1101" spans="1:6" s="2993" customFormat="1">
      <c r="A1101" s="3202">
        <v>222</v>
      </c>
      <c r="B1101" s="2991" t="s">
        <v>4327</v>
      </c>
      <c r="C1101" s="2996">
        <v>134.47</v>
      </c>
      <c r="D1101" s="2993" t="s">
        <v>3257</v>
      </c>
      <c r="E1101" s="2996">
        <v>7717461</v>
      </c>
    </row>
    <row r="1102" spans="1:6" s="2993" customFormat="1">
      <c r="A1102" s="3202"/>
      <c r="B1102" s="2991" t="s">
        <v>4328</v>
      </c>
      <c r="C1102" s="2996">
        <v>84.77</v>
      </c>
      <c r="D1102" s="2993" t="s">
        <v>4487</v>
      </c>
      <c r="E1102" s="2996">
        <v>2543100</v>
      </c>
      <c r="F1102" s="2993">
        <f t="shared" ref="F1102:F1103" si="218">E1102/C1102</f>
        <v>30000</v>
      </c>
    </row>
    <row r="1103" spans="1:6" s="2993" customFormat="1">
      <c r="A1103" s="3202"/>
      <c r="B1103" s="2991" t="s">
        <v>4329</v>
      </c>
      <c r="C1103" s="2996">
        <v>84.17</v>
      </c>
      <c r="D1103" s="2993" t="s">
        <v>3252</v>
      </c>
      <c r="E1103" s="2996">
        <v>2525100</v>
      </c>
      <c r="F1103" s="2993">
        <f t="shared" si="218"/>
        <v>30000</v>
      </c>
    </row>
    <row r="1104" spans="1:6" s="2993" customFormat="1">
      <c r="A1104" s="3202"/>
      <c r="B1104" s="2991" t="s">
        <v>4330</v>
      </c>
      <c r="C1104" s="2994">
        <v>45.51</v>
      </c>
      <c r="D1104" s="2993" t="s">
        <v>3254</v>
      </c>
      <c r="E1104" s="3002">
        <v>420000</v>
      </c>
    </row>
    <row r="1105" spans="1:6" s="2993" customFormat="1">
      <c r="A1105" s="3202"/>
      <c r="B1105" s="2991" t="s">
        <v>4331</v>
      </c>
      <c r="C1105" s="2994">
        <v>45.51</v>
      </c>
      <c r="D1105" s="2993" t="s">
        <v>3254</v>
      </c>
      <c r="E1105" s="3002">
        <v>420000</v>
      </c>
    </row>
    <row r="1106" spans="1:6" s="2993" customFormat="1">
      <c r="A1106" s="3202">
        <v>223</v>
      </c>
      <c r="B1106" s="2991" t="s">
        <v>4332</v>
      </c>
      <c r="C1106" s="2996">
        <v>134.29</v>
      </c>
      <c r="D1106" s="2993" t="s">
        <v>3257</v>
      </c>
      <c r="E1106" s="2996">
        <v>8528489</v>
      </c>
    </row>
    <row r="1107" spans="1:6" s="2993" customFormat="1">
      <c r="A1107" s="3202"/>
      <c r="B1107" s="2991" t="s">
        <v>4333</v>
      </c>
      <c r="C1107" s="2996">
        <v>84.35</v>
      </c>
      <c r="D1107" s="2993" t="s">
        <v>4487</v>
      </c>
      <c r="E1107" s="2996">
        <v>2530500</v>
      </c>
      <c r="F1107" s="2993">
        <f t="shared" ref="F1107:F1108" si="219">E1107/C1107</f>
        <v>30000.000000000004</v>
      </c>
    </row>
    <row r="1108" spans="1:6" s="2993" customFormat="1">
      <c r="A1108" s="3202"/>
      <c r="B1108" s="2991" t="s">
        <v>4334</v>
      </c>
      <c r="C1108" s="2996">
        <v>83.45</v>
      </c>
      <c r="D1108" s="2993" t="s">
        <v>3252</v>
      </c>
      <c r="E1108" s="2996">
        <v>2503500</v>
      </c>
      <c r="F1108" s="2993">
        <f t="shared" si="219"/>
        <v>30000</v>
      </c>
    </row>
    <row r="1109" spans="1:6" s="2993" customFormat="1">
      <c r="A1109" s="3202"/>
      <c r="B1109" s="2991" t="s">
        <v>4335</v>
      </c>
      <c r="C1109" s="2994">
        <v>45.51</v>
      </c>
      <c r="D1109" s="2993" t="s">
        <v>3254</v>
      </c>
      <c r="E1109" s="3002">
        <v>420000</v>
      </c>
    </row>
    <row r="1110" spans="1:6" s="2993" customFormat="1">
      <c r="A1110" s="3202"/>
      <c r="B1110" s="2991" t="s">
        <v>4336</v>
      </c>
      <c r="C1110" s="2994">
        <v>45.51</v>
      </c>
      <c r="D1110" s="2993" t="s">
        <v>3254</v>
      </c>
      <c r="E1110" s="3002">
        <v>420000</v>
      </c>
    </row>
    <row r="1111" spans="1:6" s="2993" customFormat="1">
      <c r="A1111" s="3202">
        <v>224</v>
      </c>
      <c r="B1111" s="2991" t="s">
        <v>4337</v>
      </c>
      <c r="C1111" s="2996">
        <v>134.28</v>
      </c>
      <c r="D1111" s="2993" t="s">
        <v>3257</v>
      </c>
      <c r="E1111" s="2996">
        <v>7785469</v>
      </c>
    </row>
    <row r="1112" spans="1:6" s="2993" customFormat="1">
      <c r="A1112" s="3202"/>
      <c r="B1112" s="2991" t="s">
        <v>4338</v>
      </c>
      <c r="C1112" s="2996">
        <v>84.49</v>
      </c>
      <c r="D1112" s="2993" t="s">
        <v>4487</v>
      </c>
      <c r="E1112" s="2996">
        <v>2534700</v>
      </c>
      <c r="F1112" s="2993">
        <f t="shared" ref="F1112:F1113" si="220">E1112/C1112</f>
        <v>30000</v>
      </c>
    </row>
    <row r="1113" spans="1:6" s="2993" customFormat="1">
      <c r="A1113" s="3202"/>
      <c r="B1113" s="2991" t="s">
        <v>4339</v>
      </c>
      <c r="C1113" s="2996">
        <v>84.17</v>
      </c>
      <c r="D1113" s="2993" t="s">
        <v>3252</v>
      </c>
      <c r="E1113" s="2996">
        <v>2525100</v>
      </c>
      <c r="F1113" s="2993">
        <f t="shared" si="220"/>
        <v>30000</v>
      </c>
    </row>
    <row r="1114" spans="1:6" s="2993" customFormat="1">
      <c r="A1114" s="3202"/>
      <c r="B1114" s="2991" t="s">
        <v>4340</v>
      </c>
      <c r="C1114" s="2994">
        <v>45.51</v>
      </c>
      <c r="D1114" s="2993" t="s">
        <v>3254</v>
      </c>
      <c r="E1114" s="3002">
        <v>420000</v>
      </c>
    </row>
    <row r="1115" spans="1:6" s="2993" customFormat="1">
      <c r="A1115" s="3202"/>
      <c r="B1115" s="2991" t="s">
        <v>4341</v>
      </c>
      <c r="C1115" s="2994">
        <v>45.51</v>
      </c>
      <c r="D1115" s="2993" t="s">
        <v>3254</v>
      </c>
      <c r="E1115" s="3002">
        <v>420000</v>
      </c>
    </row>
    <row r="1116" spans="1:6" s="2993" customFormat="1">
      <c r="A1116" s="3202">
        <v>225</v>
      </c>
      <c r="B1116" s="2991" t="s">
        <v>4342</v>
      </c>
      <c r="C1116" s="2996">
        <v>134.47</v>
      </c>
      <c r="D1116" s="2993" t="s">
        <v>3257</v>
      </c>
      <c r="E1116" s="2996">
        <v>7941028</v>
      </c>
    </row>
    <row r="1117" spans="1:6" s="2993" customFormat="1">
      <c r="A1117" s="3202"/>
      <c r="B1117" s="2991" t="s">
        <v>4343</v>
      </c>
      <c r="C1117" s="2996">
        <v>84.77</v>
      </c>
      <c r="D1117" s="2993" t="s">
        <v>4487</v>
      </c>
      <c r="E1117" s="2996">
        <v>2543100</v>
      </c>
      <c r="F1117" s="2993">
        <f t="shared" ref="F1117:F1118" si="221">E1117/C1117</f>
        <v>30000</v>
      </c>
    </row>
    <row r="1118" spans="1:6" s="2993" customFormat="1">
      <c r="A1118" s="3202"/>
      <c r="B1118" s="2991" t="s">
        <v>4344</v>
      </c>
      <c r="C1118" s="2996">
        <v>84.17</v>
      </c>
      <c r="D1118" s="2993" t="s">
        <v>3252</v>
      </c>
      <c r="E1118" s="2996">
        <v>2525100</v>
      </c>
      <c r="F1118" s="2993">
        <f t="shared" si="221"/>
        <v>30000</v>
      </c>
    </row>
    <row r="1119" spans="1:6" s="2993" customFormat="1">
      <c r="A1119" s="3202"/>
      <c r="B1119" s="2991" t="s">
        <v>4345</v>
      </c>
      <c r="C1119" s="2994">
        <v>45.51</v>
      </c>
      <c r="D1119" s="2993" t="s">
        <v>3254</v>
      </c>
      <c r="E1119" s="3002">
        <v>420000</v>
      </c>
    </row>
    <row r="1120" spans="1:6" s="2993" customFormat="1">
      <c r="A1120" s="3202"/>
      <c r="B1120" s="2991" t="s">
        <v>4346</v>
      </c>
      <c r="C1120" s="2994">
        <v>45.51</v>
      </c>
      <c r="D1120" s="2993" t="s">
        <v>3254</v>
      </c>
      <c r="E1120" s="3002">
        <v>420000</v>
      </c>
    </row>
    <row r="1121" spans="1:6" s="2993" customFormat="1">
      <c r="A1121" s="3202">
        <v>226</v>
      </c>
      <c r="B1121" s="2991" t="s">
        <v>4347</v>
      </c>
      <c r="C1121" s="2999">
        <v>134.63999999999999</v>
      </c>
      <c r="D1121" s="2993" t="s">
        <v>3257</v>
      </c>
      <c r="E1121" s="2996">
        <v>8550717</v>
      </c>
    </row>
    <row r="1122" spans="1:6" s="2993" customFormat="1">
      <c r="A1122" s="3202"/>
      <c r="B1122" s="2991" t="s">
        <v>4348</v>
      </c>
      <c r="C1122" s="2996">
        <v>84.58</v>
      </c>
      <c r="D1122" s="2993" t="s">
        <v>4487</v>
      </c>
      <c r="E1122" s="2996">
        <v>2537400</v>
      </c>
      <c r="F1122" s="2993">
        <f t="shared" ref="F1122:F1123" si="222">E1122/C1122</f>
        <v>30000</v>
      </c>
    </row>
    <row r="1123" spans="1:6" s="2993" customFormat="1">
      <c r="A1123" s="3202"/>
      <c r="B1123" s="2991" t="s">
        <v>4349</v>
      </c>
      <c r="C1123" s="2996">
        <v>83.6</v>
      </c>
      <c r="D1123" s="2993" t="s">
        <v>3252</v>
      </c>
      <c r="E1123" s="2996">
        <v>2508000</v>
      </c>
      <c r="F1123" s="2993">
        <f t="shared" si="222"/>
        <v>30000.000000000004</v>
      </c>
    </row>
    <row r="1124" spans="1:6" s="2993" customFormat="1">
      <c r="A1124" s="3202"/>
      <c r="B1124" s="2991" t="s">
        <v>4350</v>
      </c>
      <c r="C1124" s="2994">
        <v>45.51</v>
      </c>
      <c r="D1124" s="2993" t="s">
        <v>3254</v>
      </c>
      <c r="E1124" s="3002">
        <v>420000</v>
      </c>
    </row>
    <row r="1125" spans="1:6" s="2993" customFormat="1">
      <c r="A1125" s="3202"/>
      <c r="B1125" s="2991" t="s">
        <v>4351</v>
      </c>
      <c r="C1125" s="2994">
        <v>45.51</v>
      </c>
      <c r="D1125" s="2993" t="s">
        <v>3254</v>
      </c>
      <c r="E1125" s="3002">
        <v>420000</v>
      </c>
    </row>
    <row r="1126" spans="1:6" s="2993" customFormat="1">
      <c r="A1126" s="3202">
        <v>227</v>
      </c>
      <c r="B1126" s="2991" t="s">
        <v>4352</v>
      </c>
      <c r="C1126" s="2996">
        <v>134.83000000000001</v>
      </c>
      <c r="D1126" s="2993" t="s">
        <v>3257</v>
      </c>
      <c r="E1126" s="2996">
        <v>7857276</v>
      </c>
    </row>
    <row r="1127" spans="1:6" s="2993" customFormat="1">
      <c r="A1127" s="3202"/>
      <c r="B1127" s="2991" t="s">
        <v>4353</v>
      </c>
      <c r="C1127" s="2996">
        <v>85</v>
      </c>
      <c r="D1127" s="2993" t="s">
        <v>4487</v>
      </c>
      <c r="E1127" s="2996">
        <v>2550000</v>
      </c>
      <c r="F1127" s="2993">
        <f t="shared" ref="F1127:F1128" si="223">E1127/C1127</f>
        <v>30000</v>
      </c>
    </row>
    <row r="1128" spans="1:6" s="2993" customFormat="1">
      <c r="A1128" s="3202"/>
      <c r="B1128" s="2991" t="s">
        <v>4354</v>
      </c>
      <c r="C1128" s="2996">
        <v>84.32</v>
      </c>
      <c r="D1128" s="2993" t="s">
        <v>3252</v>
      </c>
      <c r="E1128" s="2996">
        <v>2529600</v>
      </c>
      <c r="F1128" s="2993">
        <f t="shared" si="223"/>
        <v>30000.000000000004</v>
      </c>
    </row>
    <row r="1129" spans="1:6" s="2993" customFormat="1">
      <c r="A1129" s="3202"/>
      <c r="B1129" s="2991" t="s">
        <v>4355</v>
      </c>
      <c r="C1129" s="2994">
        <v>45.51</v>
      </c>
      <c r="D1129" s="2993" t="s">
        <v>3254</v>
      </c>
      <c r="E1129" s="3002">
        <v>420000</v>
      </c>
    </row>
    <row r="1130" spans="1:6" s="2993" customFormat="1">
      <c r="A1130" s="3202"/>
      <c r="B1130" s="2991" t="s">
        <v>4356</v>
      </c>
      <c r="C1130" s="2994">
        <v>45.51</v>
      </c>
      <c r="D1130" s="2993" t="s">
        <v>3254</v>
      </c>
      <c r="E1130" s="3002">
        <v>420000</v>
      </c>
    </row>
    <row r="1131" spans="1:6" s="2993" customFormat="1">
      <c r="A1131" s="3202">
        <v>228</v>
      </c>
      <c r="B1131" s="2991" t="s">
        <v>4357</v>
      </c>
      <c r="C1131" s="2996">
        <v>134.83000000000001</v>
      </c>
      <c r="D1131" s="2993" t="s">
        <v>3257</v>
      </c>
      <c r="E1131" s="2996">
        <v>8055829</v>
      </c>
    </row>
    <row r="1132" spans="1:6" s="2993" customFormat="1">
      <c r="A1132" s="3202"/>
      <c r="B1132" s="2991" t="s">
        <v>4358</v>
      </c>
      <c r="C1132" s="2996">
        <v>85</v>
      </c>
      <c r="D1132" s="2993" t="s">
        <v>4487</v>
      </c>
      <c r="E1132" s="2996">
        <v>2550000</v>
      </c>
      <c r="F1132" s="2993">
        <f t="shared" ref="F1132:F1133" si="224">E1132/C1132</f>
        <v>30000</v>
      </c>
    </row>
    <row r="1133" spans="1:6" s="2993" customFormat="1">
      <c r="A1133" s="3202"/>
      <c r="B1133" s="2991" t="s">
        <v>4359</v>
      </c>
      <c r="C1133" s="2996">
        <v>84.32</v>
      </c>
      <c r="D1133" s="2993" t="s">
        <v>3252</v>
      </c>
      <c r="E1133" s="2996">
        <v>2529600</v>
      </c>
      <c r="F1133" s="2993">
        <f t="shared" si="224"/>
        <v>30000.000000000004</v>
      </c>
    </row>
    <row r="1134" spans="1:6" s="2993" customFormat="1">
      <c r="A1134" s="3202"/>
      <c r="B1134" s="2991" t="s">
        <v>4360</v>
      </c>
      <c r="C1134" s="2994">
        <v>45.51</v>
      </c>
      <c r="D1134" s="2993" t="s">
        <v>3254</v>
      </c>
      <c r="E1134" s="3002">
        <v>420000</v>
      </c>
    </row>
    <row r="1135" spans="1:6" s="2993" customFormat="1">
      <c r="A1135" s="3202"/>
      <c r="B1135" s="2991" t="s">
        <v>4361</v>
      </c>
      <c r="C1135" s="2994">
        <v>45.51</v>
      </c>
      <c r="D1135" s="2993" t="s">
        <v>3254</v>
      </c>
      <c r="E1135" s="3002">
        <v>420000</v>
      </c>
    </row>
    <row r="1136" spans="1:6" s="2993" customFormat="1">
      <c r="A1136" s="3202">
        <v>229</v>
      </c>
      <c r="B1136" s="2991" t="s">
        <v>4362</v>
      </c>
      <c r="C1136" s="2999">
        <v>134.62</v>
      </c>
      <c r="D1136" s="2993" t="s">
        <v>3257</v>
      </c>
      <c r="E1136" s="2996">
        <v>8549447</v>
      </c>
    </row>
    <row r="1137" spans="1:6" s="2993" customFormat="1">
      <c r="A1137" s="3202"/>
      <c r="B1137" s="2991" t="s">
        <v>4363</v>
      </c>
      <c r="C1137" s="2996">
        <v>84.56</v>
      </c>
      <c r="D1137" s="2993" t="s">
        <v>4487</v>
      </c>
      <c r="E1137" s="2996">
        <v>2536800</v>
      </c>
      <c r="F1137" s="2993">
        <f t="shared" ref="F1137:F1138" si="225">E1137/C1137</f>
        <v>30000</v>
      </c>
    </row>
    <row r="1138" spans="1:6" s="2993" customFormat="1">
      <c r="A1138" s="3202"/>
      <c r="B1138" s="2991" t="s">
        <v>4364</v>
      </c>
      <c r="C1138" s="2996">
        <v>83.6</v>
      </c>
      <c r="D1138" s="2993" t="s">
        <v>3252</v>
      </c>
      <c r="E1138" s="2996">
        <v>2508000</v>
      </c>
      <c r="F1138" s="2993">
        <f t="shared" si="225"/>
        <v>30000.000000000004</v>
      </c>
    </row>
    <row r="1139" spans="1:6" s="2993" customFormat="1">
      <c r="A1139" s="3202"/>
      <c r="B1139" s="2991" t="s">
        <v>4365</v>
      </c>
      <c r="C1139" s="2994">
        <v>45.51</v>
      </c>
      <c r="D1139" s="2993" t="s">
        <v>3254</v>
      </c>
      <c r="E1139" s="3002">
        <v>420000</v>
      </c>
    </row>
    <row r="1140" spans="1:6" s="2993" customFormat="1">
      <c r="A1140" s="3202"/>
      <c r="B1140" s="2991" t="s">
        <v>4366</v>
      </c>
      <c r="C1140" s="2994">
        <v>45.51</v>
      </c>
      <c r="D1140" s="2993" t="s">
        <v>3254</v>
      </c>
      <c r="E1140" s="3002">
        <v>420000</v>
      </c>
    </row>
    <row r="1141" spans="1:6" s="2993" customFormat="1">
      <c r="A1141" s="3202">
        <v>230</v>
      </c>
      <c r="B1141" s="2991" t="s">
        <v>4367</v>
      </c>
      <c r="C1141" s="2996">
        <v>134.81</v>
      </c>
      <c r="D1141" s="2993" t="s">
        <v>3257</v>
      </c>
      <c r="E1141" s="2996">
        <v>7736996</v>
      </c>
    </row>
    <row r="1142" spans="1:6" s="2993" customFormat="1">
      <c r="A1142" s="3202"/>
      <c r="B1142" s="2991" t="s">
        <v>4368</v>
      </c>
      <c r="C1142" s="2996">
        <v>84.98</v>
      </c>
      <c r="D1142" s="2993" t="s">
        <v>4487</v>
      </c>
      <c r="E1142" s="2996">
        <v>2549400</v>
      </c>
      <c r="F1142" s="2993">
        <f t="shared" ref="F1142:F1143" si="226">E1142/C1142</f>
        <v>30000</v>
      </c>
    </row>
    <row r="1143" spans="1:6" s="2993" customFormat="1">
      <c r="A1143" s="3202"/>
      <c r="B1143" s="2991" t="s">
        <v>4369</v>
      </c>
      <c r="C1143" s="2996">
        <v>84.32</v>
      </c>
      <c r="D1143" s="2993" t="s">
        <v>3252</v>
      </c>
      <c r="E1143" s="2996">
        <v>2529600</v>
      </c>
      <c r="F1143" s="2993">
        <f t="shared" si="226"/>
        <v>30000.000000000004</v>
      </c>
    </row>
    <row r="1144" spans="1:6" s="2993" customFormat="1">
      <c r="A1144" s="3202"/>
      <c r="B1144" s="2991" t="s">
        <v>4370</v>
      </c>
      <c r="C1144" s="2994">
        <v>45.51</v>
      </c>
      <c r="D1144" s="2993" t="s">
        <v>3254</v>
      </c>
      <c r="E1144" s="3002">
        <v>420000</v>
      </c>
    </row>
    <row r="1145" spans="1:6" s="2993" customFormat="1">
      <c r="A1145" s="3202"/>
      <c r="B1145" s="2991" t="s">
        <v>4371</v>
      </c>
      <c r="C1145" s="2994">
        <v>45.51</v>
      </c>
      <c r="D1145" s="2993" t="s">
        <v>3254</v>
      </c>
      <c r="E1145" s="3002">
        <v>420000</v>
      </c>
    </row>
    <row r="1146" spans="1:6" s="3000" customFormat="1">
      <c r="A1146" s="3202">
        <v>231</v>
      </c>
      <c r="B1146" s="2991" t="s">
        <v>4372</v>
      </c>
      <c r="C1146" s="2996">
        <v>134.62</v>
      </c>
      <c r="D1146" s="2993" t="s">
        <v>3257</v>
      </c>
      <c r="E1146" s="2996">
        <v>8549447</v>
      </c>
    </row>
    <row r="1147" spans="1:6" s="3000" customFormat="1">
      <c r="A1147" s="3202"/>
      <c r="B1147" s="2991" t="s">
        <v>4373</v>
      </c>
      <c r="C1147" s="2996">
        <v>84.56</v>
      </c>
      <c r="D1147" s="2993" t="s">
        <v>4487</v>
      </c>
      <c r="E1147" s="2996">
        <v>2536800</v>
      </c>
      <c r="F1147" s="2993">
        <f t="shared" ref="F1147:F1148" si="227">E1147/C1147</f>
        <v>30000</v>
      </c>
    </row>
    <row r="1148" spans="1:6" s="3000" customFormat="1">
      <c r="A1148" s="3202"/>
      <c r="B1148" s="2991" t="s">
        <v>4374</v>
      </c>
      <c r="C1148" s="2996">
        <v>83.6</v>
      </c>
      <c r="D1148" s="2993" t="s">
        <v>3252</v>
      </c>
      <c r="E1148" s="2996">
        <v>2508000</v>
      </c>
      <c r="F1148" s="2993">
        <f t="shared" si="227"/>
        <v>30000.000000000004</v>
      </c>
    </row>
    <row r="1149" spans="1:6" s="3000" customFormat="1">
      <c r="A1149" s="3202"/>
      <c r="B1149" s="2991" t="s">
        <v>4375</v>
      </c>
      <c r="C1149" s="2994">
        <v>45.51</v>
      </c>
      <c r="D1149" s="2993" t="s">
        <v>3254</v>
      </c>
      <c r="E1149" s="3002">
        <v>420000</v>
      </c>
    </row>
    <row r="1150" spans="1:6" s="3000" customFormat="1">
      <c r="A1150" s="3202"/>
      <c r="B1150" s="2991" t="s">
        <v>4376</v>
      </c>
      <c r="C1150" s="2994">
        <v>45.51</v>
      </c>
      <c r="D1150" s="2993" t="s">
        <v>4377</v>
      </c>
      <c r="E1150" s="3002">
        <v>420000</v>
      </c>
    </row>
    <row r="1151" spans="1:6" s="3000" customFormat="1">
      <c r="A1151" s="3202">
        <v>232</v>
      </c>
      <c r="B1151" s="2991" t="s">
        <v>4378</v>
      </c>
      <c r="C1151" s="2996">
        <v>134.81</v>
      </c>
      <c r="D1151" s="2993" t="s">
        <v>4379</v>
      </c>
      <c r="E1151" s="2996">
        <v>7935521</v>
      </c>
    </row>
    <row r="1152" spans="1:6" s="3000" customFormat="1">
      <c r="A1152" s="3202"/>
      <c r="B1152" s="2991" t="s">
        <v>4380</v>
      </c>
      <c r="C1152" s="2996">
        <v>84.98</v>
      </c>
      <c r="D1152" s="2993" t="s">
        <v>4487</v>
      </c>
      <c r="E1152" s="2996">
        <v>2549400</v>
      </c>
      <c r="F1152" s="2993">
        <f t="shared" ref="F1152:F1153" si="228">E1152/C1152</f>
        <v>30000</v>
      </c>
    </row>
    <row r="1153" spans="1:6" s="3000" customFormat="1">
      <c r="A1153" s="3202"/>
      <c r="B1153" s="2991" t="s">
        <v>4381</v>
      </c>
      <c r="C1153" s="2996">
        <v>84.32</v>
      </c>
      <c r="D1153" s="2993" t="s">
        <v>4382</v>
      </c>
      <c r="E1153" s="2996">
        <v>2529600</v>
      </c>
      <c r="F1153" s="2993">
        <f t="shared" si="228"/>
        <v>30000.000000000004</v>
      </c>
    </row>
    <row r="1154" spans="1:6" s="3000" customFormat="1">
      <c r="A1154" s="3202"/>
      <c r="B1154" s="2991" t="s">
        <v>4383</v>
      </c>
      <c r="C1154" s="2994">
        <v>45.51</v>
      </c>
      <c r="D1154" s="2993" t="s">
        <v>4377</v>
      </c>
      <c r="E1154" s="3002">
        <v>420000</v>
      </c>
    </row>
    <row r="1155" spans="1:6" s="3000" customFormat="1">
      <c r="A1155" s="3202"/>
      <c r="B1155" s="2991" t="s">
        <v>4384</v>
      </c>
      <c r="C1155" s="2994">
        <v>45.51</v>
      </c>
      <c r="D1155" s="2993" t="s">
        <v>4377</v>
      </c>
      <c r="E1155" s="3002">
        <v>420000</v>
      </c>
    </row>
    <row r="1156" spans="1:6">
      <c r="A1156" s="3202">
        <v>233</v>
      </c>
      <c r="B1156" s="2991" t="s">
        <v>4385</v>
      </c>
      <c r="C1156" s="2996">
        <v>134.22999999999999</v>
      </c>
      <c r="D1156" s="2993" t="s">
        <v>4379</v>
      </c>
      <c r="E1156" s="2996">
        <v>8524679</v>
      </c>
    </row>
    <row r="1157" spans="1:6">
      <c r="A1157" s="3202"/>
      <c r="B1157" s="2991" t="s">
        <v>4386</v>
      </c>
      <c r="C1157" s="2996">
        <v>84.32</v>
      </c>
      <c r="D1157" s="2993" t="s">
        <v>4487</v>
      </c>
      <c r="E1157" s="2996">
        <v>2529600</v>
      </c>
      <c r="F1157" s="2993">
        <f t="shared" ref="F1157:F1158" si="229">E1157/C1157</f>
        <v>30000.000000000004</v>
      </c>
    </row>
    <row r="1158" spans="1:6">
      <c r="A1158" s="3202"/>
      <c r="B1158" s="2991" t="s">
        <v>4387</v>
      </c>
      <c r="C1158" s="2996">
        <v>83.44</v>
      </c>
      <c r="D1158" s="2993" t="s">
        <v>4382</v>
      </c>
      <c r="E1158" s="2996">
        <v>2503200</v>
      </c>
      <c r="F1158" s="2993">
        <f t="shared" si="229"/>
        <v>30000</v>
      </c>
    </row>
    <row r="1159" spans="1:6">
      <c r="A1159" s="3202"/>
      <c r="B1159" s="2991" t="s">
        <v>4388</v>
      </c>
      <c r="C1159" s="2994">
        <v>45.51</v>
      </c>
      <c r="D1159" s="2993" t="s">
        <v>4377</v>
      </c>
      <c r="E1159" s="3002">
        <v>420000</v>
      </c>
    </row>
    <row r="1160" spans="1:6">
      <c r="A1160" s="3202"/>
      <c r="B1160" s="2991" t="s">
        <v>4389</v>
      </c>
      <c r="C1160" s="2994">
        <v>45.51</v>
      </c>
      <c r="D1160" s="2993" t="s">
        <v>4377</v>
      </c>
      <c r="E1160" s="3002">
        <v>420000</v>
      </c>
    </row>
    <row r="1161" spans="1:6">
      <c r="A1161" s="3202">
        <v>234</v>
      </c>
      <c r="B1161" s="2991" t="s">
        <v>4390</v>
      </c>
      <c r="C1161" s="2996">
        <v>134.22999999999999</v>
      </c>
      <c r="D1161" s="2993" t="s">
        <v>4379</v>
      </c>
      <c r="E1161" s="2996">
        <v>7584849</v>
      </c>
    </row>
    <row r="1162" spans="1:6">
      <c r="A1162" s="3202"/>
      <c r="B1162" s="2991" t="s">
        <v>4391</v>
      </c>
      <c r="C1162" s="2996">
        <v>84.46</v>
      </c>
      <c r="D1162" s="2993" t="s">
        <v>4487</v>
      </c>
      <c r="E1162" s="2996">
        <v>2533800</v>
      </c>
      <c r="F1162" s="2993">
        <f t="shared" ref="F1162:F1163" si="230">E1162/C1162</f>
        <v>30000.000000000004</v>
      </c>
    </row>
    <row r="1163" spans="1:6">
      <c r="A1163" s="3202"/>
      <c r="B1163" s="2991" t="s">
        <v>4392</v>
      </c>
      <c r="C1163" s="2996">
        <v>84.16</v>
      </c>
      <c r="D1163" s="2993" t="s">
        <v>4382</v>
      </c>
      <c r="E1163" s="2996">
        <v>2524800</v>
      </c>
      <c r="F1163" s="2993">
        <f t="shared" si="230"/>
        <v>30000</v>
      </c>
    </row>
    <row r="1164" spans="1:6">
      <c r="A1164" s="3202"/>
      <c r="B1164" s="2991" t="s">
        <v>4393</v>
      </c>
      <c r="C1164" s="2994">
        <v>45.51</v>
      </c>
      <c r="D1164" s="2993" t="s">
        <v>4377</v>
      </c>
      <c r="E1164" s="3002">
        <v>420000</v>
      </c>
    </row>
    <row r="1165" spans="1:6">
      <c r="A1165" s="3202"/>
      <c r="B1165" s="2991" t="s">
        <v>4394</v>
      </c>
      <c r="C1165" s="2994">
        <v>45.51</v>
      </c>
      <c r="D1165" s="2993" t="s">
        <v>4377</v>
      </c>
      <c r="E1165" s="3002">
        <v>420000</v>
      </c>
    </row>
    <row r="1166" spans="1:6">
      <c r="A1166" s="3202">
        <v>235</v>
      </c>
      <c r="B1166" s="2991" t="s">
        <v>4395</v>
      </c>
      <c r="C1166" s="2996">
        <v>134.43</v>
      </c>
      <c r="D1166" s="2993" t="s">
        <v>4379</v>
      </c>
      <c r="E1166" s="2996">
        <v>7715165</v>
      </c>
    </row>
    <row r="1167" spans="1:6">
      <c r="A1167" s="3202"/>
      <c r="B1167" s="2991" t="s">
        <v>4396</v>
      </c>
      <c r="C1167" s="2996">
        <v>84.73</v>
      </c>
      <c r="D1167" s="2993" t="s">
        <v>4487</v>
      </c>
      <c r="E1167" s="2996">
        <v>2541900</v>
      </c>
      <c r="F1167" s="2993">
        <f t="shared" ref="F1167:F1168" si="231">E1167/C1167</f>
        <v>30000</v>
      </c>
    </row>
    <row r="1168" spans="1:6">
      <c r="A1168" s="3202"/>
      <c r="B1168" s="2991" t="s">
        <v>4397</v>
      </c>
      <c r="C1168" s="2996">
        <v>84.16</v>
      </c>
      <c r="D1168" s="2993" t="s">
        <v>4382</v>
      </c>
      <c r="E1168" s="2996">
        <v>2524800</v>
      </c>
      <c r="F1168" s="2993">
        <f t="shared" si="231"/>
        <v>30000</v>
      </c>
    </row>
    <row r="1169" spans="1:6">
      <c r="A1169" s="3202"/>
      <c r="B1169" s="2991" t="s">
        <v>4398</v>
      </c>
      <c r="C1169" s="2994">
        <v>45.51</v>
      </c>
      <c r="D1169" s="2993" t="s">
        <v>4377</v>
      </c>
      <c r="E1169" s="3002">
        <v>420000</v>
      </c>
    </row>
    <row r="1170" spans="1:6">
      <c r="A1170" s="3202"/>
      <c r="B1170" s="2991" t="s">
        <v>4399</v>
      </c>
      <c r="C1170" s="2994">
        <v>45.51</v>
      </c>
      <c r="D1170" s="2993" t="s">
        <v>4377</v>
      </c>
      <c r="E1170" s="3002">
        <v>420000</v>
      </c>
    </row>
    <row r="1171" spans="1:6">
      <c r="A1171" s="3202">
        <v>236</v>
      </c>
      <c r="B1171" s="2991" t="s">
        <v>4400</v>
      </c>
      <c r="C1171" s="2996">
        <v>134.22999999999999</v>
      </c>
      <c r="D1171" s="2993" t="s">
        <v>4379</v>
      </c>
      <c r="E1171" s="2996">
        <v>8524679</v>
      </c>
    </row>
    <row r="1172" spans="1:6">
      <c r="A1172" s="3202"/>
      <c r="B1172" s="2991" t="s">
        <v>4401</v>
      </c>
      <c r="C1172" s="2996">
        <v>84.32</v>
      </c>
      <c r="D1172" s="2993" t="s">
        <v>4487</v>
      </c>
      <c r="E1172" s="2996">
        <v>2529600</v>
      </c>
      <c r="F1172" s="2993">
        <f t="shared" ref="F1172:F1173" si="232">E1172/C1172</f>
        <v>30000.000000000004</v>
      </c>
    </row>
    <row r="1173" spans="1:6">
      <c r="A1173" s="3202"/>
      <c r="B1173" s="2991" t="s">
        <v>4402</v>
      </c>
      <c r="C1173" s="2996">
        <v>83.44</v>
      </c>
      <c r="D1173" s="2993" t="s">
        <v>4382</v>
      </c>
      <c r="E1173" s="2996">
        <v>2503200</v>
      </c>
      <c r="F1173" s="2993">
        <f t="shared" si="232"/>
        <v>30000</v>
      </c>
    </row>
    <row r="1174" spans="1:6">
      <c r="A1174" s="3202"/>
      <c r="B1174" s="2991" t="s">
        <v>4403</v>
      </c>
      <c r="C1174" s="2994">
        <v>45.51</v>
      </c>
      <c r="D1174" s="2993" t="s">
        <v>4377</v>
      </c>
      <c r="E1174" s="3002">
        <v>420000</v>
      </c>
    </row>
    <row r="1175" spans="1:6">
      <c r="A1175" s="3202"/>
      <c r="B1175" s="2991" t="s">
        <v>4404</v>
      </c>
      <c r="C1175" s="2994">
        <v>45.51</v>
      </c>
      <c r="D1175" s="2993" t="s">
        <v>4377</v>
      </c>
      <c r="E1175" s="3002">
        <v>420000</v>
      </c>
    </row>
    <row r="1176" spans="1:6">
      <c r="A1176" s="3202">
        <v>237</v>
      </c>
      <c r="B1176" s="2991" t="s">
        <v>4405</v>
      </c>
      <c r="C1176" s="2996">
        <v>134.22999999999999</v>
      </c>
      <c r="D1176" s="2993" t="s">
        <v>4379</v>
      </c>
      <c r="E1176" s="2996">
        <v>7782542</v>
      </c>
    </row>
    <row r="1177" spans="1:6">
      <c r="A1177" s="3202"/>
      <c r="B1177" s="2991" t="s">
        <v>4406</v>
      </c>
      <c r="C1177" s="2996">
        <v>84.46</v>
      </c>
      <c r="D1177" s="2993" t="s">
        <v>4487</v>
      </c>
      <c r="E1177" s="2996">
        <v>2533800</v>
      </c>
      <c r="F1177" s="2993">
        <f t="shared" ref="F1177:F1178" si="233">E1177/C1177</f>
        <v>30000.000000000004</v>
      </c>
    </row>
    <row r="1178" spans="1:6">
      <c r="A1178" s="3202"/>
      <c r="B1178" s="2991" t="s">
        <v>4407</v>
      </c>
      <c r="C1178" s="2996">
        <v>84.16</v>
      </c>
      <c r="D1178" s="2993" t="s">
        <v>4382</v>
      </c>
      <c r="E1178" s="2996">
        <v>2524800</v>
      </c>
      <c r="F1178" s="2993">
        <f t="shared" si="233"/>
        <v>30000</v>
      </c>
    </row>
    <row r="1179" spans="1:6">
      <c r="A1179" s="3202"/>
      <c r="B1179" s="2991" t="s">
        <v>4408</v>
      </c>
      <c r="C1179" s="2994">
        <v>45.51</v>
      </c>
      <c r="D1179" s="2993" t="s">
        <v>4377</v>
      </c>
      <c r="E1179" s="3002">
        <v>420000</v>
      </c>
    </row>
    <row r="1180" spans="1:6">
      <c r="A1180" s="3202"/>
      <c r="B1180" s="2991" t="s">
        <v>4409</v>
      </c>
      <c r="C1180" s="2994">
        <v>45.51</v>
      </c>
      <c r="D1180" s="2993" t="s">
        <v>4377</v>
      </c>
      <c r="E1180" s="3002">
        <v>420000</v>
      </c>
    </row>
    <row r="1181" spans="1:6">
      <c r="A1181" s="3202">
        <v>238</v>
      </c>
      <c r="B1181" s="2991" t="s">
        <v>4410</v>
      </c>
      <c r="C1181" s="2996">
        <v>134.43</v>
      </c>
      <c r="D1181" s="2993" t="s">
        <v>4379</v>
      </c>
      <c r="E1181" s="2996">
        <v>7913161</v>
      </c>
    </row>
    <row r="1182" spans="1:6">
      <c r="A1182" s="3202"/>
      <c r="B1182" s="2991" t="s">
        <v>4411</v>
      </c>
      <c r="C1182" s="2996">
        <v>84.73</v>
      </c>
      <c r="D1182" s="2993" t="s">
        <v>4487</v>
      </c>
      <c r="E1182" s="2996">
        <v>2541900</v>
      </c>
      <c r="F1182" s="2993">
        <f t="shared" ref="F1182:F1183" si="234">E1182/C1182</f>
        <v>30000</v>
      </c>
    </row>
    <row r="1183" spans="1:6">
      <c r="A1183" s="3202"/>
      <c r="B1183" s="2991" t="s">
        <v>4412</v>
      </c>
      <c r="C1183" s="2996">
        <v>84.16</v>
      </c>
      <c r="D1183" s="2993" t="s">
        <v>4382</v>
      </c>
      <c r="E1183" s="2996">
        <v>2524800</v>
      </c>
      <c r="F1183" s="2993">
        <f t="shared" si="234"/>
        <v>30000</v>
      </c>
    </row>
    <row r="1184" spans="1:6">
      <c r="A1184" s="3202"/>
      <c r="B1184" s="2991" t="s">
        <v>4413</v>
      </c>
      <c r="C1184" s="2994">
        <v>45.51</v>
      </c>
      <c r="D1184" s="2993" t="s">
        <v>4377</v>
      </c>
      <c r="E1184" s="3002">
        <v>420000</v>
      </c>
    </row>
    <row r="1185" spans="1:8">
      <c r="A1185" s="3202"/>
      <c r="B1185" s="2991" t="s">
        <v>4414</v>
      </c>
      <c r="C1185" s="2994">
        <v>45.51</v>
      </c>
      <c r="D1185" s="2993" t="s">
        <v>4377</v>
      </c>
      <c r="E1185" s="3002">
        <v>420000</v>
      </c>
    </row>
    <row r="1186" spans="1:8">
      <c r="A1186" s="3209">
        <v>239</v>
      </c>
      <c r="B1186" s="2991" t="s">
        <v>4503</v>
      </c>
      <c r="C1186" s="3032">
        <v>178.48</v>
      </c>
      <c r="D1186" s="2993" t="s">
        <v>4379</v>
      </c>
      <c r="E1186" s="3001">
        <f>SUM(E2:E1185)</f>
        <v>3360773884</v>
      </c>
    </row>
    <row r="1187" spans="1:8">
      <c r="A1187" s="3209"/>
      <c r="B1187" s="2991" t="s">
        <v>4504</v>
      </c>
      <c r="C1187" s="3032">
        <v>114.69</v>
      </c>
      <c r="D1187" s="2993" t="s">
        <v>4487</v>
      </c>
    </row>
    <row r="1188" spans="1:8">
      <c r="A1188" s="3209"/>
      <c r="B1188" s="2991" t="s">
        <v>4505</v>
      </c>
      <c r="C1188" s="3032">
        <v>114.22</v>
      </c>
      <c r="D1188" s="2993" t="s">
        <v>4382</v>
      </c>
    </row>
    <row r="1189" spans="1:8">
      <c r="A1189" s="3204">
        <v>240</v>
      </c>
      <c r="B1189" s="2991" t="s">
        <v>4506</v>
      </c>
      <c r="C1189" s="3032">
        <v>178.48</v>
      </c>
      <c r="D1189" s="2993" t="s">
        <v>4377</v>
      </c>
    </row>
    <row r="1190" spans="1:8">
      <c r="A1190" s="3205"/>
      <c r="B1190" s="2991" t="s">
        <v>4507</v>
      </c>
      <c r="C1190" s="3032">
        <v>114.69</v>
      </c>
      <c r="D1190" s="2993" t="s">
        <v>4377</v>
      </c>
    </row>
    <row r="1191" spans="1:8">
      <c r="A1191" s="3206"/>
      <c r="B1191" s="2991" t="s">
        <v>4508</v>
      </c>
      <c r="C1191" s="3032">
        <v>114.22</v>
      </c>
      <c r="D1191" s="2993" t="s">
        <v>4379</v>
      </c>
    </row>
    <row r="1192" spans="1:8">
      <c r="A1192" s="3204">
        <v>241</v>
      </c>
      <c r="B1192" s="2991" t="s">
        <v>4509</v>
      </c>
      <c r="C1192" s="3032">
        <v>178.71</v>
      </c>
      <c r="D1192" s="2993" t="s">
        <v>4487</v>
      </c>
    </row>
    <row r="1193" spans="1:8">
      <c r="A1193" s="3205"/>
      <c r="B1193" s="2991" t="s">
        <v>4504</v>
      </c>
      <c r="C1193" s="3032">
        <v>114.94</v>
      </c>
      <c r="D1193" s="2993" t="s">
        <v>4382</v>
      </c>
    </row>
    <row r="1194" spans="1:8">
      <c r="A1194" s="3206"/>
      <c r="B1194" s="2991" t="s">
        <v>4510</v>
      </c>
      <c r="C1194" s="3032">
        <v>115.02</v>
      </c>
      <c r="D1194" s="2993" t="s">
        <v>4377</v>
      </c>
    </row>
    <row r="1195" spans="1:8">
      <c r="A1195" s="3207" t="s">
        <v>4511</v>
      </c>
      <c r="B1195" s="3208"/>
      <c r="C1195" s="3003">
        <f>SUM(C2:C1194)</f>
        <v>95930.759999999296</v>
      </c>
      <c r="D1195" s="2993" t="s">
        <v>4377</v>
      </c>
    </row>
    <row r="1196" spans="1:8">
      <c r="A1196" s="3029"/>
      <c r="B1196" s="3042"/>
      <c r="C1196" s="3030"/>
    </row>
    <row r="1197" spans="1:8">
      <c r="A1197" s="3029"/>
      <c r="B1197" s="3042"/>
      <c r="C1197" s="3030"/>
    </row>
    <row r="1200" spans="1:8">
      <c r="B1200" s="3003" t="s">
        <v>4415</v>
      </c>
      <c r="C1200" s="3003" t="s">
        <v>4416</v>
      </c>
      <c r="D1200" s="1313" t="s">
        <v>4417</v>
      </c>
      <c r="E1200" s="1313" t="s">
        <v>4537</v>
      </c>
      <c r="F1200" s="1313" t="s">
        <v>4540</v>
      </c>
      <c r="G1200" s="1313" t="s">
        <v>4538</v>
      </c>
      <c r="H1200" s="1313" t="s">
        <v>4539</v>
      </c>
    </row>
    <row r="1201" spans="2:8">
      <c r="B1201" s="3003" t="s">
        <v>3257</v>
      </c>
      <c r="C1201" s="3003">
        <v>32718.36</v>
      </c>
      <c r="D1201" s="1313">
        <v>239</v>
      </c>
      <c r="E1201" s="1313">
        <v>32182.69</v>
      </c>
      <c r="F1201" s="1313">
        <f>1934998084/10000</f>
        <v>193499.80840000001</v>
      </c>
      <c r="G1201" s="1313">
        <v>236</v>
      </c>
      <c r="H1201" s="1313">
        <f>ROUND(F1201/E1201*10000,0)</f>
        <v>60125</v>
      </c>
    </row>
    <row r="1202" spans="2:8">
      <c r="B1202" s="3003" t="s">
        <v>4418</v>
      </c>
      <c r="C1202" s="3003">
        <v>41549.64</v>
      </c>
      <c r="D1202" s="1313">
        <f>D1201*2</f>
        <v>478</v>
      </c>
      <c r="E1202" s="1313">
        <v>40861.86</v>
      </c>
      <c r="F1202" s="1313">
        <f>3*E1202</f>
        <v>122585.58</v>
      </c>
      <c r="G1202" s="1313">
        <f>G1201*2</f>
        <v>472</v>
      </c>
      <c r="H1202" s="1313">
        <v>30000</v>
      </c>
    </row>
    <row r="1203" spans="2:8">
      <c r="B1203" s="3003" t="s">
        <v>4419</v>
      </c>
      <c r="C1203" s="3003">
        <v>21662.76</v>
      </c>
      <c r="D1203" s="1313">
        <v>476</v>
      </c>
      <c r="E1203" s="1313">
        <f>C1203</f>
        <v>21662.76</v>
      </c>
      <c r="F1203" s="1313">
        <f>42*D1203</f>
        <v>19992</v>
      </c>
      <c r="G1203" s="1313">
        <f>D1203</f>
        <v>476</v>
      </c>
      <c r="H1203" s="1313">
        <f>ROUND(F1203/E1203*10000,0)</f>
        <v>9229</v>
      </c>
    </row>
    <row r="1204" spans="2:8">
      <c r="B1204" s="3003" t="s">
        <v>4420</v>
      </c>
      <c r="C1204" s="3003">
        <f>SUM(C1201:C1203)</f>
        <v>95930.76</v>
      </c>
      <c r="D1204" s="1313"/>
      <c r="E1204" s="1313">
        <f>SUBTOTAL(9,E1201:E1203)</f>
        <v>94707.31</v>
      </c>
      <c r="F1204" s="1313">
        <f>SUBTOTAL(9,F1201:F1203)</f>
        <v>336077.3884</v>
      </c>
      <c r="G1204" s="1313" t="s">
        <v>4541</v>
      </c>
      <c r="H1204" s="1313" t="s">
        <v>4541</v>
      </c>
    </row>
  </sheetData>
  <autoFilter ref="A1:O1195"/>
  <mergeCells count="242">
    <mergeCell ref="A1189:A1191"/>
    <mergeCell ref="A1192:A1194"/>
    <mergeCell ref="A1195:B1195"/>
    <mergeCell ref="A1166:A1170"/>
    <mergeCell ref="A1171:A1175"/>
    <mergeCell ref="A1176:A1180"/>
    <mergeCell ref="A1181:A1185"/>
    <mergeCell ref="A1186:A1188"/>
    <mergeCell ref="A1136:A1140"/>
    <mergeCell ref="A1141:A1145"/>
    <mergeCell ref="A1146:A1150"/>
    <mergeCell ref="A1151:A1155"/>
    <mergeCell ref="A1156:A1160"/>
    <mergeCell ref="A1161:A1165"/>
    <mergeCell ref="A1106:A1110"/>
    <mergeCell ref="A1111:A1115"/>
    <mergeCell ref="A1116:A1120"/>
    <mergeCell ref="A1121:A1125"/>
    <mergeCell ref="A1126:A1130"/>
    <mergeCell ref="A1131:A1135"/>
    <mergeCell ref="A1076:A1080"/>
    <mergeCell ref="A1081:A1085"/>
    <mergeCell ref="A1086:A1090"/>
    <mergeCell ref="A1091:A1095"/>
    <mergeCell ref="A1096:A1100"/>
    <mergeCell ref="A1101:A1105"/>
    <mergeCell ref="A1046:A1050"/>
    <mergeCell ref="A1051:A1055"/>
    <mergeCell ref="A1056:A1060"/>
    <mergeCell ref="A1061:A1065"/>
    <mergeCell ref="A1066:A1070"/>
    <mergeCell ref="A1071:A1075"/>
    <mergeCell ref="A1016:A1020"/>
    <mergeCell ref="A1021:A1025"/>
    <mergeCell ref="A1026:A1030"/>
    <mergeCell ref="A1031:A1035"/>
    <mergeCell ref="A1036:A1040"/>
    <mergeCell ref="A1041:A1045"/>
    <mergeCell ref="A986:A990"/>
    <mergeCell ref="A991:A995"/>
    <mergeCell ref="A996:A1000"/>
    <mergeCell ref="A1001:A1005"/>
    <mergeCell ref="A1006:A1010"/>
    <mergeCell ref="A1011:A1015"/>
    <mergeCell ref="A956:A960"/>
    <mergeCell ref="A961:A965"/>
    <mergeCell ref="A966:A970"/>
    <mergeCell ref="A971:A975"/>
    <mergeCell ref="A976:A980"/>
    <mergeCell ref="A981:A985"/>
    <mergeCell ref="A926:A930"/>
    <mergeCell ref="A931:A935"/>
    <mergeCell ref="A936:A940"/>
    <mergeCell ref="A941:A945"/>
    <mergeCell ref="A946:A950"/>
    <mergeCell ref="A951:A955"/>
    <mergeCell ref="A896:A900"/>
    <mergeCell ref="A901:A905"/>
    <mergeCell ref="A906:A910"/>
    <mergeCell ref="A911:A915"/>
    <mergeCell ref="A916:A920"/>
    <mergeCell ref="A921:A925"/>
    <mergeCell ref="A866:A870"/>
    <mergeCell ref="A871:A875"/>
    <mergeCell ref="A876:A880"/>
    <mergeCell ref="A881:A885"/>
    <mergeCell ref="A886:A890"/>
    <mergeCell ref="A891:A895"/>
    <mergeCell ref="A836:A840"/>
    <mergeCell ref="A841:A845"/>
    <mergeCell ref="A846:A850"/>
    <mergeCell ref="A851:A855"/>
    <mergeCell ref="A856:A860"/>
    <mergeCell ref="A861:A865"/>
    <mergeCell ref="A806:A810"/>
    <mergeCell ref="A811:A815"/>
    <mergeCell ref="A816:A820"/>
    <mergeCell ref="A821:A825"/>
    <mergeCell ref="A826:A830"/>
    <mergeCell ref="A831:A835"/>
    <mergeCell ref="A776:A780"/>
    <mergeCell ref="A781:A785"/>
    <mergeCell ref="A786:A790"/>
    <mergeCell ref="A791:A795"/>
    <mergeCell ref="A796:A800"/>
    <mergeCell ref="A801:A805"/>
    <mergeCell ref="A746:A750"/>
    <mergeCell ref="A751:A755"/>
    <mergeCell ref="A756:A760"/>
    <mergeCell ref="A761:A765"/>
    <mergeCell ref="A766:A770"/>
    <mergeCell ref="A771:A775"/>
    <mergeCell ref="A716:A720"/>
    <mergeCell ref="A721:A725"/>
    <mergeCell ref="A726:A730"/>
    <mergeCell ref="A731:A735"/>
    <mergeCell ref="A736:A740"/>
    <mergeCell ref="A741:A745"/>
    <mergeCell ref="A686:A690"/>
    <mergeCell ref="A691:A695"/>
    <mergeCell ref="A696:A700"/>
    <mergeCell ref="A701:A705"/>
    <mergeCell ref="A706:A710"/>
    <mergeCell ref="A711:A715"/>
    <mergeCell ref="A656:A660"/>
    <mergeCell ref="A661:A665"/>
    <mergeCell ref="A666:A670"/>
    <mergeCell ref="A671:A675"/>
    <mergeCell ref="A676:A680"/>
    <mergeCell ref="A681:A685"/>
    <mergeCell ref="A626:A630"/>
    <mergeCell ref="A631:A635"/>
    <mergeCell ref="A636:A640"/>
    <mergeCell ref="A641:A645"/>
    <mergeCell ref="A646:A650"/>
    <mergeCell ref="A651:A655"/>
    <mergeCell ref="A596:A600"/>
    <mergeCell ref="A601:A605"/>
    <mergeCell ref="A606:A610"/>
    <mergeCell ref="A611:A615"/>
    <mergeCell ref="A616:A620"/>
    <mergeCell ref="A621:A625"/>
    <mergeCell ref="A566:A570"/>
    <mergeCell ref="A571:A575"/>
    <mergeCell ref="A576:A580"/>
    <mergeCell ref="A581:A585"/>
    <mergeCell ref="A586:A590"/>
    <mergeCell ref="A591:A595"/>
    <mergeCell ref="A536:A540"/>
    <mergeCell ref="A541:A545"/>
    <mergeCell ref="A546:A550"/>
    <mergeCell ref="A551:A555"/>
    <mergeCell ref="A556:A560"/>
    <mergeCell ref="A561:A565"/>
    <mergeCell ref="A506:A510"/>
    <mergeCell ref="A511:A515"/>
    <mergeCell ref="A516:A520"/>
    <mergeCell ref="A521:A525"/>
    <mergeCell ref="A526:A530"/>
    <mergeCell ref="A531:A535"/>
    <mergeCell ref="A476:A480"/>
    <mergeCell ref="A481:A485"/>
    <mergeCell ref="A486:A490"/>
    <mergeCell ref="A491:A495"/>
    <mergeCell ref="A496:A500"/>
    <mergeCell ref="A501:A505"/>
    <mergeCell ref="A446:A450"/>
    <mergeCell ref="A451:A455"/>
    <mergeCell ref="A456:A460"/>
    <mergeCell ref="A461:A465"/>
    <mergeCell ref="A466:A470"/>
    <mergeCell ref="A471:A475"/>
    <mergeCell ref="A416:A420"/>
    <mergeCell ref="A421:A425"/>
    <mergeCell ref="A426:A430"/>
    <mergeCell ref="A431:A435"/>
    <mergeCell ref="A436:A440"/>
    <mergeCell ref="A441:A445"/>
    <mergeCell ref="A386:A390"/>
    <mergeCell ref="A391:A395"/>
    <mergeCell ref="A396:A400"/>
    <mergeCell ref="A401:A405"/>
    <mergeCell ref="A406:A410"/>
    <mergeCell ref="A411:A415"/>
    <mergeCell ref="A356:A360"/>
    <mergeCell ref="A361:A365"/>
    <mergeCell ref="A366:A370"/>
    <mergeCell ref="A371:A375"/>
    <mergeCell ref="A376:A380"/>
    <mergeCell ref="A381:A385"/>
    <mergeCell ref="A326:A330"/>
    <mergeCell ref="A331:A335"/>
    <mergeCell ref="A336:A340"/>
    <mergeCell ref="A341:A345"/>
    <mergeCell ref="A346:A350"/>
    <mergeCell ref="A351:A355"/>
    <mergeCell ref="A296:A300"/>
    <mergeCell ref="A301:A305"/>
    <mergeCell ref="A306:A310"/>
    <mergeCell ref="A311:A315"/>
    <mergeCell ref="A316:A320"/>
    <mergeCell ref="A321:A325"/>
    <mergeCell ref="A266:A270"/>
    <mergeCell ref="A271:A275"/>
    <mergeCell ref="A276:A280"/>
    <mergeCell ref="A281:A285"/>
    <mergeCell ref="A286:A290"/>
    <mergeCell ref="A291:A295"/>
    <mergeCell ref="A236:A240"/>
    <mergeCell ref="A241:A245"/>
    <mergeCell ref="A246:A250"/>
    <mergeCell ref="A251:A255"/>
    <mergeCell ref="A256:A260"/>
    <mergeCell ref="A261:A265"/>
    <mergeCell ref="A206:A210"/>
    <mergeCell ref="A211:A215"/>
    <mergeCell ref="A216:A220"/>
    <mergeCell ref="A221:A225"/>
    <mergeCell ref="A226:A230"/>
    <mergeCell ref="A231:A235"/>
    <mergeCell ref="A176:A180"/>
    <mergeCell ref="A181:A185"/>
    <mergeCell ref="A186:A190"/>
    <mergeCell ref="A191:A195"/>
    <mergeCell ref="A196:A200"/>
    <mergeCell ref="A201:A205"/>
    <mergeCell ref="A146:A150"/>
    <mergeCell ref="A151:A155"/>
    <mergeCell ref="A156:A160"/>
    <mergeCell ref="A161:A165"/>
    <mergeCell ref="A166:A170"/>
    <mergeCell ref="A171:A175"/>
    <mergeCell ref="A116:A120"/>
    <mergeCell ref="A121:A125"/>
    <mergeCell ref="A126:A130"/>
    <mergeCell ref="A131:A135"/>
    <mergeCell ref="A136:A140"/>
    <mergeCell ref="A141:A145"/>
    <mergeCell ref="A89:A93"/>
    <mergeCell ref="A94:A98"/>
    <mergeCell ref="A99:A103"/>
    <mergeCell ref="A104:A108"/>
    <mergeCell ref="A109:A110"/>
    <mergeCell ref="A111:A115"/>
    <mergeCell ref="A59:A63"/>
    <mergeCell ref="A64:A68"/>
    <mergeCell ref="A69:A73"/>
    <mergeCell ref="A74:A78"/>
    <mergeCell ref="A79:A83"/>
    <mergeCell ref="A84:A88"/>
    <mergeCell ref="A32:A36"/>
    <mergeCell ref="A37:A41"/>
    <mergeCell ref="A42:A46"/>
    <mergeCell ref="A47:A48"/>
    <mergeCell ref="A49:A53"/>
    <mergeCell ref="A54:A58"/>
    <mergeCell ref="A2:A6"/>
    <mergeCell ref="A7:A11"/>
    <mergeCell ref="A12:A16"/>
    <mergeCell ref="A17:A21"/>
    <mergeCell ref="A22:A26"/>
    <mergeCell ref="A27:A31"/>
  </mergeCells>
  <phoneticPr fontId="143" type="noConversion"/>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40"/>
  <sheetViews>
    <sheetView workbookViewId="0">
      <pane ySplit="1" topLeftCell="A87" activePane="bottomLeft" state="frozen"/>
      <selection activeCell="D1" sqref="D1"/>
      <selection pane="bottomLeft" activeCell="I96" sqref="I96"/>
    </sheetView>
  </sheetViews>
  <sheetFormatPr defaultRowHeight="13.5"/>
  <cols>
    <col min="4" max="4" width="9" style="2939"/>
    <col min="5" max="6" width="11.875" bestFit="1" customWidth="1"/>
    <col min="8" max="8" width="11.875" bestFit="1" customWidth="1"/>
    <col min="10" max="11" width="11.875" bestFit="1" customWidth="1"/>
    <col min="12" max="12" width="11.875" customWidth="1"/>
    <col min="13" max="13" width="11.875" bestFit="1" customWidth="1"/>
    <col min="15" max="15" width="16.75" style="3" customWidth="1"/>
  </cols>
  <sheetData>
    <row r="1" spans="1:15" ht="18.75">
      <c r="A1" s="2937" t="s">
        <v>3042</v>
      </c>
      <c r="B1" s="2937" t="s">
        <v>3038</v>
      </c>
      <c r="C1" s="2937" t="s">
        <v>3046</v>
      </c>
      <c r="D1" s="2938" t="s">
        <v>3039</v>
      </c>
      <c r="E1" s="2937" t="s">
        <v>3048</v>
      </c>
      <c r="F1" s="2937" t="s">
        <v>3047</v>
      </c>
      <c r="G1" s="2937" t="s">
        <v>3040</v>
      </c>
      <c r="H1" s="2937" t="s">
        <v>3053</v>
      </c>
      <c r="I1" s="2937" t="s">
        <v>3060</v>
      </c>
      <c r="J1" s="2937" t="s">
        <v>3064</v>
      </c>
      <c r="K1" s="2937" t="s">
        <v>3065</v>
      </c>
      <c r="L1" s="2937" t="s">
        <v>3061</v>
      </c>
      <c r="M1" s="2937" t="s">
        <v>3062</v>
      </c>
      <c r="N1" s="2937" t="s">
        <v>3041</v>
      </c>
    </row>
    <row r="2" spans="1:15" ht="81">
      <c r="A2" s="2942" t="s">
        <v>3043</v>
      </c>
      <c r="B2" s="2943">
        <v>86</v>
      </c>
      <c r="C2" s="2942" t="s">
        <v>3045</v>
      </c>
      <c r="D2" s="2944">
        <v>101</v>
      </c>
      <c r="E2" s="2943">
        <v>191.84</v>
      </c>
      <c r="F2" s="2943"/>
      <c r="G2" s="2943">
        <v>115.81</v>
      </c>
      <c r="H2" s="2943"/>
      <c r="I2" s="2943"/>
      <c r="J2" s="2943"/>
      <c r="K2" s="2943"/>
      <c r="L2" s="2943"/>
      <c r="M2" s="2943"/>
      <c r="N2" s="2943">
        <f>SUM(E2:M2)</f>
        <v>307.64999999999998</v>
      </c>
      <c r="O2" s="2947" t="s">
        <v>3073</v>
      </c>
    </row>
    <row r="3" spans="1:15">
      <c r="A3" s="2943"/>
      <c r="B3" s="2943">
        <f>86-4</f>
        <v>82</v>
      </c>
      <c r="C3" s="2942" t="s">
        <v>3045</v>
      </c>
      <c r="D3" s="2944">
        <v>102</v>
      </c>
      <c r="E3" s="2943">
        <v>167.58</v>
      </c>
      <c r="F3" s="2943"/>
      <c r="G3" s="2943">
        <v>95.3</v>
      </c>
      <c r="H3" s="2943"/>
      <c r="I3" s="2943"/>
      <c r="J3" s="2943"/>
      <c r="K3" s="2943"/>
      <c r="L3" s="2943"/>
      <c r="M3" s="2943"/>
      <c r="N3" s="2943">
        <f t="shared" ref="N3:N66" si="0">SUM(E3:M3)</f>
        <v>262.88</v>
      </c>
    </row>
    <row r="4" spans="1:15" hidden="1">
      <c r="A4" s="2943"/>
      <c r="B4" s="2943"/>
      <c r="C4" s="2942" t="s">
        <v>3044</v>
      </c>
      <c r="D4" s="2945">
        <v>201</v>
      </c>
      <c r="E4" s="2943"/>
      <c r="F4" s="2943">
        <v>159.53</v>
      </c>
      <c r="G4" s="2943"/>
      <c r="H4" s="2943"/>
      <c r="I4" s="2943"/>
      <c r="J4" s="2943"/>
      <c r="K4" s="2943"/>
      <c r="L4" s="2943"/>
      <c r="M4" s="2943"/>
      <c r="N4" s="2943">
        <f t="shared" si="0"/>
        <v>159.53</v>
      </c>
    </row>
    <row r="5" spans="1:15" hidden="1">
      <c r="A5" s="2943"/>
      <c r="B5" s="2943"/>
      <c r="C5" s="2942" t="s">
        <v>3044</v>
      </c>
      <c r="D5" s="2945">
        <v>202</v>
      </c>
      <c r="E5" s="2943"/>
      <c r="F5" s="2943">
        <v>136.83000000000001</v>
      </c>
      <c r="G5" s="2943"/>
      <c r="H5" s="2943"/>
      <c r="I5" s="2943"/>
      <c r="J5" s="2943"/>
      <c r="K5" s="2943"/>
      <c r="L5" s="2943"/>
      <c r="M5" s="2943"/>
      <c r="N5" s="2943">
        <f t="shared" si="0"/>
        <v>136.83000000000001</v>
      </c>
    </row>
    <row r="6" spans="1:15" hidden="1">
      <c r="A6" s="2943"/>
      <c r="B6" s="2943"/>
      <c r="C6" s="2942" t="s">
        <v>3044</v>
      </c>
      <c r="D6" s="2945">
        <v>301</v>
      </c>
      <c r="E6" s="2943"/>
      <c r="F6" s="2943">
        <v>165.3</v>
      </c>
      <c r="G6" s="2943"/>
      <c r="H6" s="2943"/>
      <c r="I6" s="2943"/>
      <c r="J6" s="2943"/>
      <c r="K6" s="2943"/>
      <c r="L6" s="2943"/>
      <c r="M6" s="2943"/>
      <c r="N6" s="2943">
        <f t="shared" si="0"/>
        <v>165.3</v>
      </c>
    </row>
    <row r="7" spans="1:15" hidden="1">
      <c r="A7" s="2943"/>
      <c r="B7" s="2943"/>
      <c r="C7" s="2942" t="s">
        <v>3044</v>
      </c>
      <c r="D7" s="2945">
        <v>302</v>
      </c>
      <c r="E7" s="2943"/>
      <c r="F7" s="2943">
        <v>142.6</v>
      </c>
      <c r="G7" s="2943"/>
      <c r="H7" s="2943"/>
      <c r="I7" s="2943"/>
      <c r="J7" s="2943"/>
      <c r="K7" s="2943"/>
      <c r="L7" s="2943"/>
      <c r="M7" s="2943"/>
      <c r="N7" s="2943">
        <f t="shared" si="0"/>
        <v>142.6</v>
      </c>
    </row>
    <row r="8" spans="1:15" hidden="1">
      <c r="A8" s="2943"/>
      <c r="B8" s="2943"/>
      <c r="C8" s="2942" t="s">
        <v>3044</v>
      </c>
      <c r="D8" s="2945">
        <v>401</v>
      </c>
      <c r="E8" s="2943"/>
      <c r="F8" s="2943">
        <v>165.3</v>
      </c>
      <c r="G8" s="2943"/>
      <c r="H8" s="2943"/>
      <c r="I8" s="2943"/>
      <c r="J8" s="2943"/>
      <c r="K8" s="2943"/>
      <c r="L8" s="2943"/>
      <c r="M8" s="2943"/>
      <c r="N8" s="2943">
        <f t="shared" si="0"/>
        <v>165.3</v>
      </c>
    </row>
    <row r="9" spans="1:15" hidden="1">
      <c r="A9" s="2943"/>
      <c r="B9" s="2943"/>
      <c r="C9" s="2942" t="s">
        <v>3044</v>
      </c>
      <c r="D9" s="2945">
        <v>402</v>
      </c>
      <c r="E9" s="2943"/>
      <c r="F9" s="2943">
        <v>142.6</v>
      </c>
      <c r="G9" s="2943"/>
      <c r="H9" s="2943"/>
      <c r="I9" s="2943"/>
      <c r="J9" s="2943"/>
      <c r="K9" s="2943"/>
      <c r="L9" s="2943"/>
      <c r="M9" s="2943"/>
      <c r="N9" s="2943">
        <f t="shared" si="0"/>
        <v>142.6</v>
      </c>
    </row>
    <row r="10" spans="1:15" hidden="1">
      <c r="A10" s="2943"/>
      <c r="B10" s="2943"/>
      <c r="C10" s="2942" t="s">
        <v>3044</v>
      </c>
      <c r="D10" s="2945">
        <v>501</v>
      </c>
      <c r="E10" s="2943"/>
      <c r="F10" s="2943">
        <v>165.3</v>
      </c>
      <c r="G10" s="2943"/>
      <c r="H10" s="2943"/>
      <c r="I10" s="2943"/>
      <c r="J10" s="2943"/>
      <c r="K10" s="2943"/>
      <c r="L10" s="2943"/>
      <c r="M10" s="2943"/>
      <c r="N10" s="2943">
        <f t="shared" si="0"/>
        <v>165.3</v>
      </c>
    </row>
    <row r="11" spans="1:15" hidden="1">
      <c r="A11" s="2943"/>
      <c r="B11" s="2943"/>
      <c r="C11" s="2942" t="s">
        <v>3044</v>
      </c>
      <c r="D11" s="2945">
        <v>502</v>
      </c>
      <c r="E11" s="2943"/>
      <c r="F11" s="2943">
        <v>142.6</v>
      </c>
      <c r="G11" s="2943"/>
      <c r="H11" s="2943"/>
      <c r="I11" s="2943"/>
      <c r="J11" s="2943"/>
      <c r="K11" s="2943"/>
      <c r="L11" s="2943"/>
      <c r="M11" s="2943"/>
      <c r="N11" s="2943">
        <f t="shared" si="0"/>
        <v>142.6</v>
      </c>
    </row>
    <row r="12" spans="1:15" hidden="1">
      <c r="A12" s="2943"/>
      <c r="B12" s="2943"/>
      <c r="C12" s="2942" t="s">
        <v>3044</v>
      </c>
      <c r="D12" s="2945">
        <v>601</v>
      </c>
      <c r="E12" s="2943"/>
      <c r="F12" s="2943">
        <v>165.3</v>
      </c>
      <c r="G12" s="2943"/>
      <c r="H12" s="2943"/>
      <c r="I12" s="2943"/>
      <c r="J12" s="2943"/>
      <c r="K12" s="2943"/>
      <c r="L12" s="2943"/>
      <c r="M12" s="2943"/>
      <c r="N12" s="2943">
        <f t="shared" si="0"/>
        <v>165.3</v>
      </c>
    </row>
    <row r="13" spans="1:15" hidden="1">
      <c r="A13" s="2943"/>
      <c r="B13" s="2943"/>
      <c r="C13" s="2942" t="s">
        <v>3044</v>
      </c>
      <c r="D13" s="2945">
        <v>602</v>
      </c>
      <c r="E13" s="2943"/>
      <c r="F13" s="2943">
        <v>142.6</v>
      </c>
      <c r="G13" s="2943"/>
      <c r="H13" s="2943"/>
      <c r="I13" s="2943"/>
      <c r="J13" s="2943"/>
      <c r="K13" s="2943"/>
      <c r="L13" s="2943"/>
      <c r="M13" s="2943"/>
      <c r="N13" s="2943">
        <f t="shared" si="0"/>
        <v>142.6</v>
      </c>
    </row>
    <row r="14" spans="1:15" hidden="1">
      <c r="A14" s="2943"/>
      <c r="B14" s="2943"/>
      <c r="C14" s="2942" t="s">
        <v>3044</v>
      </c>
      <c r="D14" s="2945">
        <v>701</v>
      </c>
      <c r="E14" s="2943"/>
      <c r="F14" s="2943">
        <v>165.3</v>
      </c>
      <c r="G14" s="2943"/>
      <c r="H14" s="2943"/>
      <c r="I14" s="2943"/>
      <c r="J14" s="2943"/>
      <c r="K14" s="2943"/>
      <c r="L14" s="2943"/>
      <c r="M14" s="2943"/>
      <c r="N14" s="2943">
        <f t="shared" si="0"/>
        <v>165.3</v>
      </c>
    </row>
    <row r="15" spans="1:15" hidden="1">
      <c r="A15" s="2943"/>
      <c r="B15" s="2943"/>
      <c r="C15" s="2942" t="s">
        <v>3044</v>
      </c>
      <c r="D15" s="2945">
        <v>702</v>
      </c>
      <c r="E15" s="2943"/>
      <c r="F15" s="2943">
        <v>142.6</v>
      </c>
      <c r="G15" s="2943"/>
      <c r="H15" s="2943"/>
      <c r="I15" s="2943"/>
      <c r="J15" s="2943"/>
      <c r="K15" s="2943"/>
      <c r="L15" s="2943"/>
      <c r="M15" s="2943"/>
      <c r="N15" s="2943">
        <f t="shared" si="0"/>
        <v>142.6</v>
      </c>
    </row>
    <row r="16" spans="1:15" hidden="1">
      <c r="A16" s="2943"/>
      <c r="B16" s="2943"/>
      <c r="C16" s="2942" t="s">
        <v>3044</v>
      </c>
      <c r="D16" s="2945">
        <v>801</v>
      </c>
      <c r="E16" s="2943"/>
      <c r="F16" s="2943">
        <v>167.75</v>
      </c>
      <c r="G16" s="2943"/>
      <c r="H16" s="2943"/>
      <c r="I16" s="2943"/>
      <c r="J16" s="2943"/>
      <c r="K16" s="2943"/>
      <c r="L16" s="2943"/>
      <c r="M16" s="2943"/>
      <c r="N16" s="2943">
        <f t="shared" si="0"/>
        <v>167.75</v>
      </c>
    </row>
    <row r="17" spans="1:14" hidden="1">
      <c r="A17" s="2943"/>
      <c r="B17" s="2943"/>
      <c r="C17" s="2942" t="s">
        <v>3044</v>
      </c>
      <c r="D17" s="2945">
        <v>802</v>
      </c>
      <c r="E17" s="2943"/>
      <c r="F17" s="2943">
        <v>142.6</v>
      </c>
      <c r="G17" s="2943"/>
      <c r="H17" s="2943"/>
      <c r="I17" s="2943"/>
      <c r="J17" s="2943"/>
      <c r="K17" s="2943"/>
      <c r="L17" s="2943"/>
      <c r="M17" s="2943"/>
      <c r="N17" s="2943">
        <f t="shared" si="0"/>
        <v>142.6</v>
      </c>
    </row>
    <row r="18" spans="1:14">
      <c r="A18" s="2943"/>
      <c r="B18" s="2943"/>
      <c r="C18" s="2942" t="s">
        <v>3050</v>
      </c>
      <c r="D18" s="2944">
        <v>101</v>
      </c>
      <c r="E18" s="2943">
        <v>167.58</v>
      </c>
      <c r="F18" s="2943"/>
      <c r="G18" s="2943">
        <v>95.3</v>
      </c>
      <c r="H18" s="2943"/>
      <c r="I18" s="2943"/>
      <c r="J18" s="2943"/>
      <c r="K18" s="2943"/>
      <c r="L18" s="2943"/>
      <c r="M18" s="2943"/>
      <c r="N18" s="2943">
        <f t="shared" si="0"/>
        <v>262.88</v>
      </c>
    </row>
    <row r="19" spans="1:14">
      <c r="A19" s="2943"/>
      <c r="B19" s="2943"/>
      <c r="C19" s="2942" t="s">
        <v>3050</v>
      </c>
      <c r="D19" s="2944">
        <v>102</v>
      </c>
      <c r="E19" s="2943">
        <v>167.8</v>
      </c>
      <c r="F19" s="2943"/>
      <c r="G19" s="2943">
        <v>95.29</v>
      </c>
      <c r="H19" s="2943"/>
      <c r="I19" s="2943"/>
      <c r="J19" s="2943"/>
      <c r="K19" s="2943"/>
      <c r="L19" s="2943"/>
      <c r="M19" s="2943"/>
      <c r="N19" s="2943">
        <f t="shared" si="0"/>
        <v>263.09000000000003</v>
      </c>
    </row>
    <row r="20" spans="1:14" hidden="1">
      <c r="A20" s="2943"/>
      <c r="B20" s="2943"/>
      <c r="C20" s="2942" t="s">
        <v>3049</v>
      </c>
      <c r="D20" s="2945">
        <v>201</v>
      </c>
      <c r="E20" s="2943"/>
      <c r="F20" s="2943">
        <v>136.83000000000001</v>
      </c>
      <c r="G20" s="2943"/>
      <c r="H20" s="2943"/>
      <c r="I20" s="2943"/>
      <c r="J20" s="2943"/>
      <c r="K20" s="2943"/>
      <c r="L20" s="2943"/>
      <c r="M20" s="2943"/>
      <c r="N20" s="2943">
        <f t="shared" si="0"/>
        <v>136.83000000000001</v>
      </c>
    </row>
    <row r="21" spans="1:14" hidden="1">
      <c r="A21" s="2943"/>
      <c r="B21" s="2943"/>
      <c r="C21" s="2942" t="s">
        <v>3049</v>
      </c>
      <c r="D21" s="2945">
        <v>202</v>
      </c>
      <c r="E21" s="2943"/>
      <c r="F21" s="2943">
        <v>136.83000000000001</v>
      </c>
      <c r="G21" s="2943"/>
      <c r="H21" s="2943"/>
      <c r="I21" s="2943"/>
      <c r="J21" s="2943"/>
      <c r="K21" s="2943"/>
      <c r="L21" s="2943"/>
      <c r="M21" s="2943"/>
      <c r="N21" s="2943">
        <f t="shared" si="0"/>
        <v>136.83000000000001</v>
      </c>
    </row>
    <row r="22" spans="1:14" hidden="1">
      <c r="A22" s="2943"/>
      <c r="B22" s="2943"/>
      <c r="C22" s="2942" t="s">
        <v>3049</v>
      </c>
      <c r="D22" s="2945">
        <v>301</v>
      </c>
      <c r="E22" s="2943"/>
      <c r="F22" s="2943">
        <v>142.6</v>
      </c>
      <c r="G22" s="2943"/>
      <c r="H22" s="2943"/>
      <c r="I22" s="2943"/>
      <c r="J22" s="2943"/>
      <c r="K22" s="2943"/>
      <c r="L22" s="2943"/>
      <c r="M22" s="2943"/>
      <c r="N22" s="2943">
        <f t="shared" si="0"/>
        <v>142.6</v>
      </c>
    </row>
    <row r="23" spans="1:14" hidden="1">
      <c r="A23" s="2943"/>
      <c r="B23" s="2943"/>
      <c r="C23" s="2942" t="s">
        <v>3049</v>
      </c>
      <c r="D23" s="2945">
        <v>302</v>
      </c>
      <c r="E23" s="2943"/>
      <c r="F23" s="2943">
        <v>142.6</v>
      </c>
      <c r="G23" s="2943"/>
      <c r="H23" s="2943"/>
      <c r="I23" s="2943"/>
      <c r="J23" s="2943"/>
      <c r="K23" s="2943"/>
      <c r="L23" s="2943"/>
      <c r="M23" s="2943"/>
      <c r="N23" s="2943">
        <f t="shared" si="0"/>
        <v>142.6</v>
      </c>
    </row>
    <row r="24" spans="1:14" hidden="1">
      <c r="A24" s="2943"/>
      <c r="B24" s="2943"/>
      <c r="C24" s="2942" t="s">
        <v>3049</v>
      </c>
      <c r="D24" s="2945">
        <v>401</v>
      </c>
      <c r="E24" s="2943"/>
      <c r="F24" s="2943">
        <v>142.6</v>
      </c>
      <c r="G24" s="2943"/>
      <c r="H24" s="2943"/>
      <c r="I24" s="2943"/>
      <c r="J24" s="2943"/>
      <c r="K24" s="2943"/>
      <c r="L24" s="2943"/>
      <c r="M24" s="2943"/>
      <c r="N24" s="2943">
        <f t="shared" si="0"/>
        <v>142.6</v>
      </c>
    </row>
    <row r="25" spans="1:14" hidden="1">
      <c r="A25" s="2943"/>
      <c r="B25" s="2943"/>
      <c r="C25" s="2942" t="s">
        <v>3049</v>
      </c>
      <c r="D25" s="2945">
        <v>402</v>
      </c>
      <c r="E25" s="2943"/>
      <c r="F25" s="2943">
        <v>142.6</v>
      </c>
      <c r="G25" s="2943"/>
      <c r="H25" s="2943"/>
      <c r="I25" s="2943"/>
      <c r="J25" s="2943"/>
      <c r="K25" s="2943"/>
      <c r="L25" s="2943"/>
      <c r="M25" s="2943"/>
      <c r="N25" s="2943">
        <f t="shared" si="0"/>
        <v>142.6</v>
      </c>
    </row>
    <row r="26" spans="1:14" hidden="1">
      <c r="A26" s="2943"/>
      <c r="B26" s="2943"/>
      <c r="C26" s="2942" t="s">
        <v>3049</v>
      </c>
      <c r="D26" s="2945">
        <v>501</v>
      </c>
      <c r="E26" s="2943"/>
      <c r="F26" s="2943">
        <v>142.6</v>
      </c>
      <c r="G26" s="2943"/>
      <c r="H26" s="2943"/>
      <c r="I26" s="2943"/>
      <c r="J26" s="2943"/>
      <c r="K26" s="2943"/>
      <c r="L26" s="2943"/>
      <c r="M26" s="2943"/>
      <c r="N26" s="2943">
        <f t="shared" si="0"/>
        <v>142.6</v>
      </c>
    </row>
    <row r="27" spans="1:14" hidden="1">
      <c r="A27" s="2943"/>
      <c r="B27" s="2943"/>
      <c r="C27" s="2942" t="s">
        <v>3049</v>
      </c>
      <c r="D27" s="2945">
        <v>502</v>
      </c>
      <c r="E27" s="2943"/>
      <c r="F27" s="2943">
        <v>142.6</v>
      </c>
      <c r="G27" s="2943"/>
      <c r="H27" s="2943"/>
      <c r="I27" s="2943"/>
      <c r="J27" s="2943"/>
      <c r="K27" s="2943"/>
      <c r="L27" s="2943"/>
      <c r="M27" s="2943"/>
      <c r="N27" s="2943">
        <f t="shared" si="0"/>
        <v>142.6</v>
      </c>
    </row>
    <row r="28" spans="1:14" hidden="1">
      <c r="A28" s="2943"/>
      <c r="B28" s="2943"/>
      <c r="C28" s="2942" t="s">
        <v>3049</v>
      </c>
      <c r="D28" s="2945">
        <v>601</v>
      </c>
      <c r="E28" s="2943"/>
      <c r="F28" s="2943">
        <v>142.6</v>
      </c>
      <c r="G28" s="2943"/>
      <c r="H28" s="2943"/>
      <c r="I28" s="2943"/>
      <c r="J28" s="2943"/>
      <c r="K28" s="2943"/>
      <c r="L28" s="2943"/>
      <c r="M28" s="2943"/>
      <c r="N28" s="2943">
        <f t="shared" si="0"/>
        <v>142.6</v>
      </c>
    </row>
    <row r="29" spans="1:14" hidden="1">
      <c r="A29" s="2943"/>
      <c r="B29" s="2943"/>
      <c r="C29" s="2942" t="s">
        <v>3049</v>
      </c>
      <c r="D29" s="2945">
        <v>602</v>
      </c>
      <c r="E29" s="2943"/>
      <c r="F29" s="2943">
        <v>142.6</v>
      </c>
      <c r="G29" s="2943"/>
      <c r="H29" s="2943"/>
      <c r="I29" s="2943"/>
      <c r="J29" s="2943"/>
      <c r="K29" s="2943"/>
      <c r="L29" s="2943"/>
      <c r="M29" s="2943"/>
      <c r="N29" s="2943">
        <f t="shared" si="0"/>
        <v>142.6</v>
      </c>
    </row>
    <row r="30" spans="1:14" hidden="1">
      <c r="A30" s="2943"/>
      <c r="B30" s="2943"/>
      <c r="C30" s="2942" t="s">
        <v>3049</v>
      </c>
      <c r="D30" s="2945">
        <v>701</v>
      </c>
      <c r="E30" s="2943"/>
      <c r="F30" s="2943">
        <v>142.6</v>
      </c>
      <c r="G30" s="2943"/>
      <c r="H30" s="2943"/>
      <c r="I30" s="2943"/>
      <c r="J30" s="2943"/>
      <c r="K30" s="2943"/>
      <c r="L30" s="2943"/>
      <c r="M30" s="2943"/>
      <c r="N30" s="2943">
        <f t="shared" si="0"/>
        <v>142.6</v>
      </c>
    </row>
    <row r="31" spans="1:14" hidden="1">
      <c r="A31" s="2943"/>
      <c r="B31" s="2943"/>
      <c r="C31" s="2942" t="s">
        <v>3049</v>
      </c>
      <c r="D31" s="2945">
        <v>702</v>
      </c>
      <c r="E31" s="2943"/>
      <c r="F31" s="2943">
        <v>142.6</v>
      </c>
      <c r="G31" s="2943"/>
      <c r="H31" s="2943"/>
      <c r="I31" s="2943"/>
      <c r="J31" s="2943"/>
      <c r="K31" s="2943"/>
      <c r="L31" s="2943"/>
      <c r="M31" s="2943"/>
      <c r="N31" s="2943">
        <f t="shared" si="0"/>
        <v>142.6</v>
      </c>
    </row>
    <row r="32" spans="1:14" hidden="1">
      <c r="A32" s="2943"/>
      <c r="B32" s="2943"/>
      <c r="C32" s="2942" t="s">
        <v>3049</v>
      </c>
      <c r="D32" s="2945">
        <v>801</v>
      </c>
      <c r="E32" s="2943"/>
      <c r="F32" s="2943">
        <v>142.6</v>
      </c>
      <c r="G32" s="2943"/>
      <c r="H32" s="2943"/>
      <c r="I32" s="2943"/>
      <c r="J32" s="2943"/>
      <c r="K32" s="2943"/>
      <c r="L32" s="2943"/>
      <c r="M32" s="2943"/>
      <c r="N32" s="2943">
        <f t="shared" si="0"/>
        <v>142.6</v>
      </c>
    </row>
    <row r="33" spans="1:14" hidden="1">
      <c r="A33" s="2943"/>
      <c r="B33" s="2943"/>
      <c r="C33" s="2942" t="s">
        <v>3049</v>
      </c>
      <c r="D33" s="2945">
        <v>802</v>
      </c>
      <c r="E33" s="2943"/>
      <c r="F33" s="2943">
        <v>142.6</v>
      </c>
      <c r="G33" s="2943"/>
      <c r="H33" s="2943"/>
      <c r="I33" s="2943"/>
      <c r="J33" s="2943"/>
      <c r="K33" s="2943"/>
      <c r="L33" s="2943"/>
      <c r="M33" s="2943"/>
      <c r="N33" s="2943">
        <f t="shared" si="0"/>
        <v>142.6</v>
      </c>
    </row>
    <row r="34" spans="1:14">
      <c r="A34" s="2943"/>
      <c r="B34" s="2943"/>
      <c r="C34" s="2942" t="s">
        <v>3052</v>
      </c>
      <c r="D34" s="2944">
        <v>101</v>
      </c>
      <c r="E34" s="2943">
        <v>167.58</v>
      </c>
      <c r="F34" s="2943"/>
      <c r="G34" s="2943">
        <v>95.3</v>
      </c>
      <c r="H34" s="2943"/>
      <c r="I34" s="2943"/>
      <c r="J34" s="2943"/>
      <c r="K34" s="2943"/>
      <c r="L34" s="2943"/>
      <c r="M34" s="2943"/>
      <c r="N34" s="2943">
        <f t="shared" si="0"/>
        <v>262.88</v>
      </c>
    </row>
    <row r="35" spans="1:14">
      <c r="A35" s="2943"/>
      <c r="B35" s="2943"/>
      <c r="C35" s="2942" t="s">
        <v>3052</v>
      </c>
      <c r="D35" s="2944">
        <v>102</v>
      </c>
      <c r="E35" s="2943">
        <v>193.22</v>
      </c>
      <c r="F35" s="2943"/>
      <c r="G35" s="2943">
        <v>113.97</v>
      </c>
      <c r="H35" s="2943"/>
      <c r="I35" s="2943"/>
      <c r="J35" s="2943"/>
      <c r="K35" s="2943"/>
      <c r="L35" s="2943"/>
      <c r="M35" s="2943"/>
      <c r="N35" s="2943">
        <f t="shared" si="0"/>
        <v>307.19</v>
      </c>
    </row>
    <row r="36" spans="1:14" hidden="1">
      <c r="A36" s="2943"/>
      <c r="B36" s="2943"/>
      <c r="C36" s="2942" t="s">
        <v>3051</v>
      </c>
      <c r="D36" s="2945">
        <v>201</v>
      </c>
      <c r="E36" s="2943"/>
      <c r="F36" s="2943">
        <v>136.83000000000001</v>
      </c>
      <c r="G36" s="2943"/>
      <c r="H36" s="2943"/>
      <c r="I36" s="2943"/>
      <c r="J36" s="2943"/>
      <c r="K36" s="2943"/>
      <c r="L36" s="2943"/>
      <c r="M36" s="2943"/>
      <c r="N36" s="2943">
        <f t="shared" si="0"/>
        <v>136.83000000000001</v>
      </c>
    </row>
    <row r="37" spans="1:14" hidden="1">
      <c r="A37" s="2943"/>
      <c r="B37" s="2943"/>
      <c r="C37" s="2942" t="s">
        <v>3051</v>
      </c>
      <c r="D37" s="2945">
        <v>202</v>
      </c>
      <c r="E37" s="2943"/>
      <c r="F37" s="2943">
        <v>159.53</v>
      </c>
      <c r="G37" s="2943"/>
      <c r="H37" s="2943"/>
      <c r="I37" s="2943"/>
      <c r="J37" s="2943"/>
      <c r="K37" s="2943"/>
      <c r="L37" s="2943"/>
      <c r="M37" s="2943"/>
      <c r="N37" s="2943">
        <f t="shared" si="0"/>
        <v>159.53</v>
      </c>
    </row>
    <row r="38" spans="1:14" hidden="1">
      <c r="A38" s="2943"/>
      <c r="B38" s="2943"/>
      <c r="C38" s="2942" t="s">
        <v>3051</v>
      </c>
      <c r="D38" s="2945">
        <v>301</v>
      </c>
      <c r="E38" s="2943"/>
      <c r="F38" s="2943">
        <v>142.6</v>
      </c>
      <c r="G38" s="2943"/>
      <c r="H38" s="2943"/>
      <c r="I38" s="2943"/>
      <c r="J38" s="2943"/>
      <c r="K38" s="2943"/>
      <c r="L38" s="2943"/>
      <c r="M38" s="2943"/>
      <c r="N38" s="2943">
        <f t="shared" si="0"/>
        <v>142.6</v>
      </c>
    </row>
    <row r="39" spans="1:14" hidden="1">
      <c r="A39" s="2943"/>
      <c r="B39" s="2943"/>
      <c r="C39" s="2942" t="s">
        <v>3051</v>
      </c>
      <c r="D39" s="2945">
        <v>302</v>
      </c>
      <c r="E39" s="2943"/>
      <c r="F39" s="2943">
        <v>165.3</v>
      </c>
      <c r="G39" s="2943"/>
      <c r="H39" s="2943"/>
      <c r="I39" s="2943"/>
      <c r="J39" s="2943"/>
      <c r="K39" s="2943"/>
      <c r="L39" s="2943"/>
      <c r="M39" s="2943"/>
      <c r="N39" s="2943">
        <f t="shared" si="0"/>
        <v>165.3</v>
      </c>
    </row>
    <row r="40" spans="1:14" hidden="1">
      <c r="A40" s="2943"/>
      <c r="B40" s="2943"/>
      <c r="C40" s="2942" t="s">
        <v>3051</v>
      </c>
      <c r="D40" s="2945">
        <v>401</v>
      </c>
      <c r="E40" s="2943"/>
      <c r="F40" s="2943">
        <v>142.6</v>
      </c>
      <c r="G40" s="2943"/>
      <c r="H40" s="2943"/>
      <c r="I40" s="2943"/>
      <c r="J40" s="2943"/>
      <c r="K40" s="2943"/>
      <c r="L40" s="2943"/>
      <c r="M40" s="2943"/>
      <c r="N40" s="2943">
        <f t="shared" si="0"/>
        <v>142.6</v>
      </c>
    </row>
    <row r="41" spans="1:14" hidden="1">
      <c r="A41" s="2943"/>
      <c r="B41" s="2943"/>
      <c r="C41" s="2942" t="s">
        <v>3051</v>
      </c>
      <c r="D41" s="2945">
        <v>402</v>
      </c>
      <c r="E41" s="2943"/>
      <c r="F41" s="2943">
        <v>165.3</v>
      </c>
      <c r="G41" s="2943"/>
      <c r="H41" s="2943"/>
      <c r="I41" s="2943"/>
      <c r="J41" s="2943"/>
      <c r="K41" s="2943"/>
      <c r="L41" s="2943"/>
      <c r="M41" s="2943"/>
      <c r="N41" s="2943">
        <f t="shared" si="0"/>
        <v>165.3</v>
      </c>
    </row>
    <row r="42" spans="1:14" hidden="1">
      <c r="A42" s="2943"/>
      <c r="B42" s="2943"/>
      <c r="C42" s="2942" t="s">
        <v>3051</v>
      </c>
      <c r="D42" s="2945">
        <v>501</v>
      </c>
      <c r="E42" s="2943"/>
      <c r="F42" s="2943">
        <v>142.6</v>
      </c>
      <c r="G42" s="2943"/>
      <c r="H42" s="2943"/>
      <c r="I42" s="2943"/>
      <c r="J42" s="2943"/>
      <c r="K42" s="2943"/>
      <c r="L42" s="2943"/>
      <c r="M42" s="2943"/>
      <c r="N42" s="2943">
        <f t="shared" si="0"/>
        <v>142.6</v>
      </c>
    </row>
    <row r="43" spans="1:14" hidden="1">
      <c r="A43" s="2943"/>
      <c r="B43" s="2943"/>
      <c r="C43" s="2942" t="s">
        <v>3051</v>
      </c>
      <c r="D43" s="2945">
        <v>502</v>
      </c>
      <c r="E43" s="2943"/>
      <c r="F43" s="2943">
        <v>165.3</v>
      </c>
      <c r="G43" s="2943"/>
      <c r="H43" s="2943"/>
      <c r="I43" s="2943"/>
      <c r="J43" s="2943"/>
      <c r="K43" s="2943"/>
      <c r="L43" s="2943"/>
      <c r="M43" s="2943"/>
      <c r="N43" s="2943">
        <f t="shared" si="0"/>
        <v>165.3</v>
      </c>
    </row>
    <row r="44" spans="1:14" hidden="1">
      <c r="A44" s="2943"/>
      <c r="B44" s="2943"/>
      <c r="C44" s="2942" t="s">
        <v>3051</v>
      </c>
      <c r="D44" s="2945">
        <v>601</v>
      </c>
      <c r="E44" s="2943"/>
      <c r="F44" s="2943">
        <v>142.6</v>
      </c>
      <c r="G44" s="2943"/>
      <c r="H44" s="2943"/>
      <c r="I44" s="2943"/>
      <c r="J44" s="2943"/>
      <c r="K44" s="2943"/>
      <c r="L44" s="2943"/>
      <c r="M44" s="2943"/>
      <c r="N44" s="2943">
        <f t="shared" si="0"/>
        <v>142.6</v>
      </c>
    </row>
    <row r="45" spans="1:14" hidden="1">
      <c r="A45" s="2943"/>
      <c r="B45" s="2943"/>
      <c r="C45" s="2942" t="s">
        <v>3051</v>
      </c>
      <c r="D45" s="2945">
        <v>602</v>
      </c>
      <c r="E45" s="2943"/>
      <c r="F45" s="2943">
        <v>165.3</v>
      </c>
      <c r="G45" s="2943"/>
      <c r="H45" s="2943"/>
      <c r="I45" s="2943"/>
      <c r="J45" s="2943"/>
      <c r="K45" s="2943"/>
      <c r="L45" s="2943"/>
      <c r="M45" s="2943"/>
      <c r="N45" s="2943">
        <f t="shared" si="0"/>
        <v>165.3</v>
      </c>
    </row>
    <row r="46" spans="1:14" hidden="1">
      <c r="A46" s="2943"/>
      <c r="B46" s="2943"/>
      <c r="C46" s="2942" t="s">
        <v>3051</v>
      </c>
      <c r="D46" s="2945">
        <v>701</v>
      </c>
      <c r="E46" s="2943"/>
      <c r="F46" s="2943">
        <v>142.6</v>
      </c>
      <c r="G46" s="2943"/>
      <c r="H46" s="2943"/>
      <c r="I46" s="2943"/>
      <c r="J46" s="2943"/>
      <c r="K46" s="2943"/>
      <c r="L46" s="2943"/>
      <c r="M46" s="2943"/>
      <c r="N46" s="2943">
        <f t="shared" si="0"/>
        <v>142.6</v>
      </c>
    </row>
    <row r="47" spans="1:14" hidden="1">
      <c r="A47" s="2943"/>
      <c r="B47" s="2943"/>
      <c r="C47" s="2942" t="s">
        <v>3051</v>
      </c>
      <c r="D47" s="2945">
        <v>702</v>
      </c>
      <c r="E47" s="2943"/>
      <c r="F47" s="2943">
        <v>165.3</v>
      </c>
      <c r="G47" s="2943"/>
      <c r="H47" s="2943"/>
      <c r="I47" s="2943"/>
      <c r="J47" s="2943"/>
      <c r="K47" s="2943"/>
      <c r="L47" s="2943"/>
      <c r="M47" s="2943"/>
      <c r="N47" s="2943">
        <f t="shared" si="0"/>
        <v>165.3</v>
      </c>
    </row>
    <row r="48" spans="1:14" hidden="1">
      <c r="A48" s="2943"/>
      <c r="B48" s="2943"/>
      <c r="C48" s="2942" t="s">
        <v>3051</v>
      </c>
      <c r="D48" s="2945">
        <v>801</v>
      </c>
      <c r="E48" s="2943"/>
      <c r="F48" s="2943">
        <v>142.6</v>
      </c>
      <c r="G48" s="2943"/>
      <c r="H48" s="2943"/>
      <c r="I48" s="2943"/>
      <c r="J48" s="2943"/>
      <c r="K48" s="2943"/>
      <c r="L48" s="2943"/>
      <c r="M48" s="2943"/>
      <c r="N48" s="2943">
        <f t="shared" si="0"/>
        <v>142.6</v>
      </c>
    </row>
    <row r="49" spans="1:14" hidden="1">
      <c r="A49" s="2943"/>
      <c r="B49" s="2943"/>
      <c r="C49" s="2942" t="s">
        <v>3051</v>
      </c>
      <c r="D49" s="2945">
        <v>802</v>
      </c>
      <c r="E49" s="2943"/>
      <c r="F49" s="2943">
        <v>165.3</v>
      </c>
      <c r="G49" s="2943"/>
      <c r="H49" s="2943"/>
      <c r="I49" s="2943"/>
      <c r="J49" s="2943"/>
      <c r="K49" s="2943"/>
      <c r="L49" s="2943"/>
      <c r="M49" s="2943"/>
      <c r="N49" s="2943">
        <f t="shared" si="0"/>
        <v>165.3</v>
      </c>
    </row>
    <row r="50" spans="1:14" hidden="1">
      <c r="A50" s="2943"/>
      <c r="B50" s="2943">
        <v>34</v>
      </c>
      <c r="C50" s="2942" t="s">
        <v>3054</v>
      </c>
      <c r="D50" s="2945">
        <v>-301</v>
      </c>
      <c r="E50" s="2943"/>
      <c r="F50" s="2943"/>
      <c r="G50" s="2943"/>
      <c r="H50" s="2943">
        <v>20.149999999999999</v>
      </c>
      <c r="I50" s="2943"/>
      <c r="J50" s="2943"/>
      <c r="K50" s="2943"/>
      <c r="L50" s="2943"/>
      <c r="M50" s="2943"/>
      <c r="N50" s="2943">
        <f t="shared" si="0"/>
        <v>20.149999999999999</v>
      </c>
    </row>
    <row r="51" spans="1:14" hidden="1">
      <c r="A51" s="2943"/>
      <c r="B51" s="2943"/>
      <c r="C51" s="2942" t="s">
        <v>3054</v>
      </c>
      <c r="D51" s="2945">
        <v>-302</v>
      </c>
      <c r="E51" s="2943"/>
      <c r="F51" s="2943"/>
      <c r="G51" s="2943"/>
      <c r="H51" s="2943">
        <v>22.87</v>
      </c>
      <c r="I51" s="2943"/>
      <c r="J51" s="2943"/>
      <c r="K51" s="2943"/>
      <c r="L51" s="2943"/>
      <c r="M51" s="2943"/>
      <c r="N51" s="2943">
        <f t="shared" si="0"/>
        <v>22.87</v>
      </c>
    </row>
    <row r="52" spans="1:14" hidden="1">
      <c r="A52" s="2943"/>
      <c r="B52" s="2943"/>
      <c r="C52" s="2942" t="s">
        <v>3054</v>
      </c>
      <c r="D52" s="2945">
        <v>-303</v>
      </c>
      <c r="E52" s="2943"/>
      <c r="F52" s="2943"/>
      <c r="G52" s="2943"/>
      <c r="H52" s="2943">
        <v>23.1</v>
      </c>
      <c r="I52" s="2943"/>
      <c r="J52" s="2943"/>
      <c r="K52" s="2943"/>
      <c r="L52" s="2943"/>
      <c r="M52" s="2943"/>
      <c r="N52" s="2943">
        <f t="shared" si="0"/>
        <v>23.1</v>
      </c>
    </row>
    <row r="53" spans="1:14" hidden="1">
      <c r="A53" s="2943"/>
      <c r="B53" s="2943"/>
      <c r="C53" s="2942" t="s">
        <v>3054</v>
      </c>
      <c r="D53" s="2945">
        <v>-304</v>
      </c>
      <c r="E53" s="2943"/>
      <c r="F53" s="2943"/>
      <c r="G53" s="2943"/>
      <c r="H53" s="2943">
        <v>28.46</v>
      </c>
      <c r="I53" s="2943"/>
      <c r="J53" s="2943"/>
      <c r="K53" s="2943"/>
      <c r="L53" s="2943"/>
      <c r="M53" s="2943"/>
      <c r="N53" s="2943">
        <f t="shared" si="0"/>
        <v>28.46</v>
      </c>
    </row>
    <row r="54" spans="1:14" hidden="1">
      <c r="A54" s="2943"/>
      <c r="B54" s="2943"/>
      <c r="C54" s="2942" t="s">
        <v>3054</v>
      </c>
      <c r="D54" s="2945">
        <v>-305</v>
      </c>
      <c r="E54" s="2943"/>
      <c r="F54" s="2943"/>
      <c r="G54" s="2943"/>
      <c r="H54" s="2943">
        <v>18.21</v>
      </c>
      <c r="I54" s="2943"/>
      <c r="J54" s="2943"/>
      <c r="K54" s="2943"/>
      <c r="L54" s="2943"/>
      <c r="M54" s="2943"/>
      <c r="N54" s="2943">
        <f t="shared" si="0"/>
        <v>18.21</v>
      </c>
    </row>
    <row r="55" spans="1:14" hidden="1">
      <c r="A55" s="2943"/>
      <c r="B55" s="2943"/>
      <c r="C55" s="2942" t="s">
        <v>3054</v>
      </c>
      <c r="D55" s="2945">
        <v>-306</v>
      </c>
      <c r="E55" s="2943"/>
      <c r="F55" s="2943"/>
      <c r="G55" s="2943"/>
      <c r="H55" s="2943">
        <v>10.61</v>
      </c>
      <c r="I55" s="2943"/>
      <c r="J55" s="2943"/>
      <c r="K55" s="2943"/>
      <c r="L55" s="2943"/>
      <c r="M55" s="2943"/>
      <c r="N55" s="2943">
        <f t="shared" si="0"/>
        <v>10.61</v>
      </c>
    </row>
    <row r="56" spans="1:14" hidden="1">
      <c r="A56" s="2943"/>
      <c r="B56" s="2943"/>
      <c r="C56" s="2942" t="s">
        <v>3054</v>
      </c>
      <c r="D56" s="2945">
        <v>-307</v>
      </c>
      <c r="E56" s="2943"/>
      <c r="F56" s="2943"/>
      <c r="G56" s="2943"/>
      <c r="H56" s="2942">
        <v>17.899999999999999</v>
      </c>
      <c r="I56" s="2943"/>
      <c r="J56" s="2943"/>
      <c r="K56" s="2943"/>
      <c r="L56" s="2943"/>
      <c r="M56" s="2943"/>
      <c r="N56" s="2943">
        <f t="shared" si="0"/>
        <v>17.899999999999999</v>
      </c>
    </row>
    <row r="57" spans="1:14" hidden="1">
      <c r="A57" s="2943"/>
      <c r="B57" s="2943"/>
      <c r="C57" s="2942" t="s">
        <v>3054</v>
      </c>
      <c r="D57" s="2945">
        <v>-308</v>
      </c>
      <c r="E57" s="2943"/>
      <c r="F57" s="2943"/>
      <c r="G57" s="2943"/>
      <c r="H57" s="2942">
        <v>21.99</v>
      </c>
      <c r="I57" s="2943"/>
      <c r="J57" s="2943"/>
      <c r="K57" s="2943"/>
      <c r="L57" s="2943"/>
      <c r="M57" s="2943"/>
      <c r="N57" s="2943">
        <f t="shared" si="0"/>
        <v>21.99</v>
      </c>
    </row>
    <row r="58" spans="1:14" hidden="1">
      <c r="A58" s="2943"/>
      <c r="B58" s="2943"/>
      <c r="C58" s="2942" t="s">
        <v>3054</v>
      </c>
      <c r="D58" s="2945">
        <v>-309</v>
      </c>
      <c r="E58" s="2943"/>
      <c r="F58" s="2943"/>
      <c r="G58" s="2943"/>
      <c r="H58" s="2942">
        <v>21.99</v>
      </c>
      <c r="I58" s="2943"/>
      <c r="J58" s="2943"/>
      <c r="K58" s="2943"/>
      <c r="L58" s="2943"/>
      <c r="M58" s="2943"/>
      <c r="N58" s="2943">
        <f t="shared" si="0"/>
        <v>21.99</v>
      </c>
    </row>
    <row r="59" spans="1:14" hidden="1">
      <c r="A59" s="2943"/>
      <c r="B59" s="2943"/>
      <c r="C59" s="2942" t="s">
        <v>3054</v>
      </c>
      <c r="D59" s="2945">
        <v>-310</v>
      </c>
      <c r="E59" s="2943"/>
      <c r="F59" s="2943"/>
      <c r="G59" s="2943"/>
      <c r="H59" s="2942">
        <v>17.899999999999999</v>
      </c>
      <c r="I59" s="2943"/>
      <c r="J59" s="2943"/>
      <c r="K59" s="2943"/>
      <c r="L59" s="2943"/>
      <c r="M59" s="2943"/>
      <c r="N59" s="2943">
        <f t="shared" si="0"/>
        <v>17.899999999999999</v>
      </c>
    </row>
    <row r="60" spans="1:14" hidden="1">
      <c r="A60" s="2943"/>
      <c r="B60" s="2943"/>
      <c r="C60" s="2942" t="s">
        <v>3054</v>
      </c>
      <c r="D60" s="2945">
        <v>-311</v>
      </c>
      <c r="E60" s="2943"/>
      <c r="F60" s="2943"/>
      <c r="G60" s="2943"/>
      <c r="H60" s="2943">
        <v>10.61</v>
      </c>
      <c r="I60" s="2943"/>
      <c r="J60" s="2943"/>
      <c r="K60" s="2943"/>
      <c r="L60" s="2943"/>
      <c r="M60" s="2943"/>
      <c r="N60" s="2943">
        <f t="shared" si="0"/>
        <v>10.61</v>
      </c>
    </row>
    <row r="61" spans="1:14" hidden="1">
      <c r="A61" s="2943"/>
      <c r="B61" s="2943"/>
      <c r="C61" s="2942" t="s">
        <v>3054</v>
      </c>
      <c r="D61" s="2945">
        <v>-312</v>
      </c>
      <c r="E61" s="2943"/>
      <c r="F61" s="2943"/>
      <c r="G61" s="2943"/>
      <c r="H61" s="2943">
        <v>12.14</v>
      </c>
      <c r="I61" s="2943"/>
      <c r="J61" s="2943"/>
      <c r="K61" s="2943"/>
      <c r="L61" s="2943"/>
      <c r="M61" s="2943"/>
      <c r="N61" s="2943">
        <f t="shared" si="0"/>
        <v>12.14</v>
      </c>
    </row>
    <row r="62" spans="1:14" hidden="1">
      <c r="A62" s="2943"/>
      <c r="B62" s="2943"/>
      <c r="C62" s="2942" t="s">
        <v>3054</v>
      </c>
      <c r="D62" s="2945">
        <v>-313</v>
      </c>
      <c r="E62" s="2943"/>
      <c r="F62" s="2943"/>
      <c r="G62" s="2943"/>
      <c r="H62" s="2943">
        <v>17.149999999999999</v>
      </c>
      <c r="I62" s="2943"/>
      <c r="J62" s="2943"/>
      <c r="K62" s="2943"/>
      <c r="L62" s="2943"/>
      <c r="M62" s="2943"/>
      <c r="N62" s="2943">
        <f t="shared" si="0"/>
        <v>17.149999999999999</v>
      </c>
    </row>
    <row r="63" spans="1:14" hidden="1">
      <c r="A63" s="2943"/>
      <c r="B63" s="2943"/>
      <c r="C63" s="2942" t="s">
        <v>3054</v>
      </c>
      <c r="D63" s="2945">
        <v>-314</v>
      </c>
      <c r="E63" s="2943"/>
      <c r="F63" s="2943"/>
      <c r="G63" s="2943"/>
      <c r="H63" s="2943">
        <v>16.350000000000001</v>
      </c>
      <c r="I63" s="2943"/>
      <c r="J63" s="2943"/>
      <c r="K63" s="2943"/>
      <c r="L63" s="2943"/>
      <c r="M63" s="2943"/>
      <c r="N63" s="2943">
        <f t="shared" si="0"/>
        <v>16.350000000000001</v>
      </c>
    </row>
    <row r="64" spans="1:14" hidden="1">
      <c r="A64" s="2943"/>
      <c r="B64" s="2943"/>
      <c r="C64" s="2942" t="s">
        <v>3054</v>
      </c>
      <c r="D64" s="2945">
        <v>-315</v>
      </c>
      <c r="E64" s="2943"/>
      <c r="F64" s="2943"/>
      <c r="G64" s="2943"/>
      <c r="H64" s="2943">
        <v>24.24</v>
      </c>
      <c r="I64" s="2943"/>
      <c r="J64" s="2943"/>
      <c r="K64" s="2943"/>
      <c r="L64" s="2943"/>
      <c r="M64" s="2943"/>
      <c r="N64" s="2943">
        <f t="shared" si="0"/>
        <v>24.24</v>
      </c>
    </row>
    <row r="65" spans="1:14" hidden="1">
      <c r="A65" s="2943"/>
      <c r="B65" s="2943"/>
      <c r="C65" s="2942" t="s">
        <v>3054</v>
      </c>
      <c r="D65" s="2945">
        <v>-316</v>
      </c>
      <c r="E65" s="2943"/>
      <c r="F65" s="2943"/>
      <c r="G65" s="2943"/>
      <c r="H65" s="2943">
        <v>24.24</v>
      </c>
      <c r="I65" s="2943"/>
      <c r="J65" s="2943"/>
      <c r="K65" s="2943"/>
      <c r="L65" s="2943"/>
      <c r="M65" s="2943"/>
      <c r="N65" s="2943">
        <f t="shared" si="0"/>
        <v>24.24</v>
      </c>
    </row>
    <row r="66" spans="1:14" hidden="1">
      <c r="A66" s="2943"/>
      <c r="B66" s="2943"/>
      <c r="C66" s="2942" t="s">
        <v>3054</v>
      </c>
      <c r="D66" s="2945">
        <v>-317</v>
      </c>
      <c r="E66" s="2943"/>
      <c r="F66" s="2943"/>
      <c r="G66" s="2943"/>
      <c r="H66" s="2943">
        <v>16.350000000000001</v>
      </c>
      <c r="I66" s="2943"/>
      <c r="J66" s="2943"/>
      <c r="K66" s="2943"/>
      <c r="L66" s="2943"/>
      <c r="M66" s="2943"/>
      <c r="N66" s="2943">
        <f t="shared" si="0"/>
        <v>16.350000000000001</v>
      </c>
    </row>
    <row r="67" spans="1:14" hidden="1">
      <c r="A67" s="2943"/>
      <c r="B67" s="2943"/>
      <c r="C67" s="2942" t="s">
        <v>3054</v>
      </c>
      <c r="D67" s="2945">
        <v>-318</v>
      </c>
      <c r="E67" s="2943"/>
      <c r="F67" s="2943"/>
      <c r="G67" s="2943"/>
      <c r="H67" s="2943">
        <v>17.149999999999999</v>
      </c>
      <c r="I67" s="2943"/>
      <c r="J67" s="2943"/>
      <c r="K67" s="2943"/>
      <c r="L67" s="2943"/>
      <c r="M67" s="2943"/>
      <c r="N67" s="2943">
        <f t="shared" ref="N67:N83" si="1">SUM(E67:M67)</f>
        <v>17.149999999999999</v>
      </c>
    </row>
    <row r="68" spans="1:14" hidden="1">
      <c r="A68" s="2943"/>
      <c r="B68" s="2943"/>
      <c r="C68" s="2942" t="s">
        <v>3054</v>
      </c>
      <c r="D68" s="2945">
        <v>-319</v>
      </c>
      <c r="E68" s="2943"/>
      <c r="F68" s="2943"/>
      <c r="G68" s="2943"/>
      <c r="H68" s="2943">
        <v>12.14</v>
      </c>
      <c r="I68" s="2943"/>
      <c r="J68" s="2943"/>
      <c r="K68" s="2943"/>
      <c r="L68" s="2943"/>
      <c r="M68" s="2943"/>
      <c r="N68" s="2943">
        <f t="shared" si="1"/>
        <v>12.14</v>
      </c>
    </row>
    <row r="69" spans="1:14" hidden="1">
      <c r="A69" s="2943"/>
      <c r="B69" s="2943"/>
      <c r="C69" s="2942" t="s">
        <v>3054</v>
      </c>
      <c r="D69" s="2945">
        <v>-320</v>
      </c>
      <c r="E69" s="2943"/>
      <c r="F69" s="2943"/>
      <c r="G69" s="2943"/>
      <c r="H69" s="2943">
        <v>10.61</v>
      </c>
      <c r="I69" s="2943"/>
      <c r="J69" s="2943"/>
      <c r="K69" s="2943"/>
      <c r="L69" s="2943"/>
      <c r="M69" s="2943"/>
      <c r="N69" s="2943">
        <f t="shared" si="1"/>
        <v>10.61</v>
      </c>
    </row>
    <row r="70" spans="1:14" hidden="1">
      <c r="A70" s="2943"/>
      <c r="B70" s="2943"/>
      <c r="C70" s="2942" t="s">
        <v>3054</v>
      </c>
      <c r="D70" s="2945">
        <v>-321</v>
      </c>
      <c r="E70" s="2943"/>
      <c r="F70" s="2943"/>
      <c r="G70" s="2943"/>
      <c r="H70" s="2943">
        <v>17.899999999999999</v>
      </c>
      <c r="I70" s="2943"/>
      <c r="J70" s="2943"/>
      <c r="K70" s="2943"/>
      <c r="L70" s="2943"/>
      <c r="M70" s="2943"/>
      <c r="N70" s="2943">
        <f t="shared" si="1"/>
        <v>17.899999999999999</v>
      </c>
    </row>
    <row r="71" spans="1:14" hidden="1">
      <c r="A71" s="2943"/>
      <c r="B71" s="2943"/>
      <c r="C71" s="2942" t="s">
        <v>3054</v>
      </c>
      <c r="D71" s="2945">
        <v>-322</v>
      </c>
      <c r="E71" s="2943"/>
      <c r="F71" s="2943"/>
      <c r="G71" s="2943"/>
      <c r="H71" s="2943">
        <v>21.99</v>
      </c>
      <c r="I71" s="2943"/>
      <c r="J71" s="2943"/>
      <c r="K71" s="2943"/>
      <c r="L71" s="2943"/>
      <c r="M71" s="2943"/>
      <c r="N71" s="2943">
        <f t="shared" si="1"/>
        <v>21.99</v>
      </c>
    </row>
    <row r="72" spans="1:14" hidden="1">
      <c r="A72" s="2943"/>
      <c r="B72" s="2943"/>
      <c r="C72" s="2942" t="s">
        <v>3054</v>
      </c>
      <c r="D72" s="2945">
        <v>-323</v>
      </c>
      <c r="E72" s="2943"/>
      <c r="F72" s="2943"/>
      <c r="G72" s="2943"/>
      <c r="H72" s="2943">
        <v>21.99</v>
      </c>
      <c r="I72" s="2943"/>
      <c r="J72" s="2943"/>
      <c r="K72" s="2943"/>
      <c r="L72" s="2943"/>
      <c r="M72" s="2943"/>
      <c r="N72" s="2943">
        <f t="shared" si="1"/>
        <v>21.99</v>
      </c>
    </row>
    <row r="73" spans="1:14" hidden="1">
      <c r="A73" s="2943"/>
      <c r="B73" s="2943"/>
      <c r="C73" s="2942" t="s">
        <v>3054</v>
      </c>
      <c r="D73" s="2945">
        <v>-324</v>
      </c>
      <c r="E73" s="2943"/>
      <c r="F73" s="2943"/>
      <c r="G73" s="2943"/>
      <c r="H73" s="2943">
        <v>17.899999999999999</v>
      </c>
      <c r="I73" s="2943"/>
      <c r="J73" s="2943"/>
      <c r="K73" s="2943"/>
      <c r="L73" s="2943"/>
      <c r="M73" s="2943"/>
      <c r="N73" s="2943">
        <f t="shared" si="1"/>
        <v>17.899999999999999</v>
      </c>
    </row>
    <row r="74" spans="1:14" hidden="1">
      <c r="A74" s="2943"/>
      <c r="B74" s="2943"/>
      <c r="C74" s="2942" t="s">
        <v>3054</v>
      </c>
      <c r="D74" s="2945">
        <v>-325</v>
      </c>
      <c r="E74" s="2943"/>
      <c r="F74" s="2943"/>
      <c r="G74" s="2943"/>
      <c r="H74" s="2943">
        <v>10.61</v>
      </c>
      <c r="I74" s="2943"/>
      <c r="J74" s="2943"/>
      <c r="K74" s="2943"/>
      <c r="L74" s="2943"/>
      <c r="M74" s="2943"/>
      <c r="N74" s="2943">
        <f t="shared" si="1"/>
        <v>10.61</v>
      </c>
    </row>
    <row r="75" spans="1:14" hidden="1">
      <c r="A75" s="2943"/>
      <c r="B75" s="2943"/>
      <c r="C75" s="2942" t="s">
        <v>3054</v>
      </c>
      <c r="D75" s="2945">
        <v>-326</v>
      </c>
      <c r="E75" s="2943"/>
      <c r="F75" s="2943"/>
      <c r="G75" s="2943"/>
      <c r="H75" s="2943">
        <v>20.55</v>
      </c>
      <c r="I75" s="2943"/>
      <c r="J75" s="2943"/>
      <c r="K75" s="2943"/>
      <c r="L75" s="2943"/>
      <c r="M75" s="2943"/>
      <c r="N75" s="2943">
        <f t="shared" si="1"/>
        <v>20.55</v>
      </c>
    </row>
    <row r="76" spans="1:14" hidden="1">
      <c r="A76" s="2943"/>
      <c r="B76" s="2943"/>
      <c r="C76" s="2942" t="s">
        <v>3054</v>
      </c>
      <c r="D76" s="2945">
        <v>-327</v>
      </c>
      <c r="E76" s="2943"/>
      <c r="F76" s="2943"/>
      <c r="G76" s="2943"/>
      <c r="H76" s="2943">
        <v>18.71</v>
      </c>
      <c r="I76" s="2943"/>
      <c r="J76" s="2943"/>
      <c r="K76" s="2943"/>
      <c r="L76" s="2943"/>
      <c r="M76" s="2943"/>
      <c r="N76" s="2943">
        <f t="shared" si="1"/>
        <v>18.71</v>
      </c>
    </row>
    <row r="77" spans="1:14" hidden="1">
      <c r="A77" s="2943"/>
      <c r="B77" s="2943"/>
      <c r="C77" s="2942" t="s">
        <v>3054</v>
      </c>
      <c r="D77" s="2945">
        <v>-328</v>
      </c>
      <c r="E77" s="2943"/>
      <c r="F77" s="2943"/>
      <c r="G77" s="2943"/>
      <c r="H77" s="2943">
        <v>17.149999999999999</v>
      </c>
      <c r="I77" s="2943"/>
      <c r="J77" s="2943"/>
      <c r="K77" s="2943"/>
      <c r="L77" s="2943"/>
      <c r="M77" s="2943"/>
      <c r="N77" s="2943">
        <f t="shared" si="1"/>
        <v>17.149999999999999</v>
      </c>
    </row>
    <row r="78" spans="1:14" hidden="1">
      <c r="A78" s="2943"/>
      <c r="B78" s="2943"/>
      <c r="C78" s="2942" t="s">
        <v>3054</v>
      </c>
      <c r="D78" s="2945">
        <v>-329</v>
      </c>
      <c r="E78" s="2943"/>
      <c r="F78" s="2943"/>
      <c r="G78" s="2943"/>
      <c r="H78" s="2943">
        <v>16.350000000000001</v>
      </c>
      <c r="I78" s="2943"/>
      <c r="J78" s="2943"/>
      <c r="K78" s="2943"/>
      <c r="L78" s="2943"/>
      <c r="M78" s="2943"/>
      <c r="N78" s="2943">
        <f t="shared" si="1"/>
        <v>16.350000000000001</v>
      </c>
    </row>
    <row r="79" spans="1:14" hidden="1">
      <c r="A79" s="2943"/>
      <c r="B79" s="2943"/>
      <c r="C79" s="2942" t="s">
        <v>3054</v>
      </c>
      <c r="D79" s="2945">
        <v>-330</v>
      </c>
      <c r="E79" s="2943"/>
      <c r="F79" s="2943"/>
      <c r="G79" s="2943"/>
      <c r="H79" s="2943">
        <v>24.24</v>
      </c>
      <c r="I79" s="2943"/>
      <c r="J79" s="2943"/>
      <c r="K79" s="2943"/>
      <c r="L79" s="2943"/>
      <c r="M79" s="2943"/>
      <c r="N79" s="2943">
        <f t="shared" si="1"/>
        <v>24.24</v>
      </c>
    </row>
    <row r="80" spans="1:14" hidden="1">
      <c r="A80" s="2943"/>
      <c r="B80" s="2943"/>
      <c r="C80" s="2942" t="s">
        <v>3054</v>
      </c>
      <c r="D80" s="2945">
        <v>-331</v>
      </c>
      <c r="E80" s="2943"/>
      <c r="F80" s="2943"/>
      <c r="G80" s="2943"/>
      <c r="H80" s="2943">
        <v>16.350000000000001</v>
      </c>
      <c r="I80" s="2943"/>
      <c r="J80" s="2943"/>
      <c r="K80" s="2943"/>
      <c r="L80" s="2943"/>
      <c r="M80" s="2943"/>
      <c r="N80" s="2943">
        <f t="shared" si="1"/>
        <v>16.350000000000001</v>
      </c>
    </row>
    <row r="81" spans="1:15" hidden="1">
      <c r="A81" s="2943"/>
      <c r="B81" s="2943"/>
      <c r="C81" s="2942" t="s">
        <v>3054</v>
      </c>
      <c r="D81" s="2945">
        <v>-332</v>
      </c>
      <c r="E81" s="2943"/>
      <c r="F81" s="2943"/>
      <c r="G81" s="2943"/>
      <c r="H81" s="2943">
        <v>17.149999999999999</v>
      </c>
      <c r="I81" s="2943"/>
      <c r="J81" s="2943"/>
      <c r="K81" s="2943"/>
      <c r="L81" s="2943"/>
      <c r="M81" s="2943"/>
      <c r="N81" s="2943">
        <f t="shared" si="1"/>
        <v>17.149999999999999</v>
      </c>
    </row>
    <row r="82" spans="1:15" hidden="1">
      <c r="A82" s="2943"/>
      <c r="B82" s="2943"/>
      <c r="C82" s="2942" t="s">
        <v>3054</v>
      </c>
      <c r="D82" s="2945">
        <v>-333</v>
      </c>
      <c r="E82" s="2943"/>
      <c r="F82" s="2943"/>
      <c r="G82" s="2943"/>
      <c r="H82" s="2943">
        <v>10.61</v>
      </c>
      <c r="I82" s="2943"/>
      <c r="J82" s="2943"/>
      <c r="K82" s="2943"/>
      <c r="L82" s="2943"/>
      <c r="M82" s="2943"/>
      <c r="N82" s="2943">
        <f t="shared" si="1"/>
        <v>10.61</v>
      </c>
    </row>
    <row r="83" spans="1:15" hidden="1">
      <c r="A83" s="2943"/>
      <c r="B83" s="2943"/>
      <c r="C83" s="2942" t="s">
        <v>3054</v>
      </c>
      <c r="D83" s="2945">
        <v>-334</v>
      </c>
      <c r="E83" s="2943"/>
      <c r="F83" s="2943"/>
      <c r="G83" s="2943"/>
      <c r="H83" s="2943">
        <v>17.899999999999999</v>
      </c>
      <c r="I83" s="2943"/>
      <c r="J83" s="2943"/>
      <c r="K83" s="2943"/>
      <c r="L83" s="2943"/>
      <c r="M83" s="2943"/>
      <c r="N83" s="2943">
        <f t="shared" si="1"/>
        <v>17.899999999999999</v>
      </c>
    </row>
    <row r="84" spans="1:15">
      <c r="A84" s="2943"/>
      <c r="B84" s="2943"/>
      <c r="C84" s="2942" t="s">
        <v>3057</v>
      </c>
      <c r="D84" s="2945"/>
      <c r="E84" s="2943"/>
      <c r="F84" s="2943"/>
      <c r="G84" s="2943"/>
      <c r="H84" s="2943"/>
      <c r="I84" s="2943"/>
      <c r="J84" s="2943"/>
      <c r="K84" s="2943"/>
      <c r="L84" s="2943">
        <v>75.55</v>
      </c>
      <c r="M84" s="2943">
        <f>86.59+58.62+55.3+854.04</f>
        <v>1054.55</v>
      </c>
      <c r="N84" s="2943">
        <f>SUM(E84:M84)</f>
        <v>1130.0999999999999</v>
      </c>
    </row>
    <row r="85" spans="1:15" s="2940" customFormat="1">
      <c r="A85" s="3213" t="s">
        <v>3058</v>
      </c>
      <c r="B85" s="3213"/>
      <c r="C85" s="3213"/>
      <c r="D85" s="3213"/>
      <c r="E85" s="2941">
        <f>SUM(E2:E84)</f>
        <v>1055.5999999999999</v>
      </c>
      <c r="F85" s="2941">
        <f t="shared" ref="F85:M85" si="2">SUM(F2:F84)</f>
        <v>6274.8300000000017</v>
      </c>
      <c r="G85" s="2941">
        <f t="shared" si="2"/>
        <v>610.97</v>
      </c>
      <c r="H85" s="2941">
        <f>SUM(H2:H84)</f>
        <v>613.55999999999995</v>
      </c>
      <c r="I85" s="2941">
        <f t="shared" si="2"/>
        <v>0</v>
      </c>
      <c r="J85" s="2941"/>
      <c r="K85" s="2941">
        <f>SUM(K2:K84)</f>
        <v>0</v>
      </c>
      <c r="L85" s="2941">
        <f t="shared" si="2"/>
        <v>75.55</v>
      </c>
      <c r="M85" s="2941">
        <f t="shared" si="2"/>
        <v>1054.55</v>
      </c>
      <c r="N85" s="2941">
        <f>SUM(N2:N84)</f>
        <v>9685.0600000000013</v>
      </c>
      <c r="O85" s="2948">
        <f>9684.97-N85</f>
        <v>-9.0000000001964509E-2</v>
      </c>
    </row>
    <row r="86" spans="1:15" ht="81">
      <c r="A86" s="2943">
        <v>86</v>
      </c>
      <c r="B86" s="2943"/>
      <c r="C86" s="2942" t="s">
        <v>3045</v>
      </c>
      <c r="D86" s="2944" t="s">
        <v>3055</v>
      </c>
      <c r="E86" s="2943">
        <v>191.39</v>
      </c>
      <c r="F86" s="2943"/>
      <c r="G86" s="2943">
        <v>115.54</v>
      </c>
      <c r="H86" s="2943"/>
      <c r="I86" s="2943"/>
      <c r="J86" s="2943"/>
      <c r="K86" s="2943"/>
      <c r="L86" s="2943"/>
      <c r="M86" s="2943"/>
      <c r="N86" s="2943">
        <f t="shared" ref="N86:N107" si="3">SUM(E86:M86)</f>
        <v>306.93</v>
      </c>
      <c r="O86" s="2947" t="s">
        <v>4445</v>
      </c>
    </row>
    <row r="87" spans="1:15">
      <c r="A87" s="2943"/>
      <c r="B87" s="2943"/>
      <c r="C87" s="2943"/>
      <c r="D87" s="2944" t="s">
        <v>3056</v>
      </c>
      <c r="E87" s="2943">
        <v>167.34</v>
      </c>
      <c r="F87" s="2943"/>
      <c r="G87" s="2943">
        <v>95.16</v>
      </c>
      <c r="H87" s="2943"/>
      <c r="I87" s="2943"/>
      <c r="J87" s="2943"/>
      <c r="K87" s="2943"/>
      <c r="L87" s="2943"/>
      <c r="M87" s="2943"/>
      <c r="N87" s="2943">
        <f t="shared" si="3"/>
        <v>262.5</v>
      </c>
    </row>
    <row r="88" spans="1:15">
      <c r="A88" s="2943"/>
      <c r="B88" s="2943"/>
      <c r="C88" s="2942" t="s">
        <v>3050</v>
      </c>
      <c r="D88" s="2944" t="s">
        <v>3055</v>
      </c>
      <c r="E88" s="2943">
        <v>167.34</v>
      </c>
      <c r="F88" s="2943"/>
      <c r="G88" s="2943">
        <v>95.16</v>
      </c>
      <c r="H88" s="2943"/>
      <c r="I88" s="2943"/>
      <c r="J88" s="2943"/>
      <c r="K88" s="2943"/>
      <c r="L88" s="2943"/>
      <c r="M88" s="2943"/>
      <c r="N88" s="2943">
        <f t="shared" si="3"/>
        <v>262.5</v>
      </c>
    </row>
    <row r="89" spans="1:15">
      <c r="A89" s="2943"/>
      <c r="B89" s="2943"/>
      <c r="C89" s="2943"/>
      <c r="D89" s="2944" t="s">
        <v>3056</v>
      </c>
      <c r="E89" s="2943">
        <v>167.56</v>
      </c>
      <c r="F89" s="2943"/>
      <c r="G89" s="2943">
        <v>95.15</v>
      </c>
      <c r="H89" s="2943"/>
      <c r="I89" s="2943"/>
      <c r="J89" s="2943"/>
      <c r="K89" s="2943"/>
      <c r="L89" s="2943"/>
      <c r="M89" s="2943"/>
      <c r="N89" s="2943">
        <f t="shared" si="3"/>
        <v>262.71000000000004</v>
      </c>
    </row>
    <row r="90" spans="1:15">
      <c r="A90" s="2943"/>
      <c r="B90" s="2943"/>
      <c r="C90" s="2942" t="s">
        <v>3052</v>
      </c>
      <c r="D90" s="2944" t="s">
        <v>3055</v>
      </c>
      <c r="E90" s="2943">
        <v>167.34</v>
      </c>
      <c r="F90" s="2943"/>
      <c r="G90" s="2943">
        <v>95.16</v>
      </c>
      <c r="H90" s="2943"/>
      <c r="I90" s="2943"/>
      <c r="J90" s="2943"/>
      <c r="K90" s="2943"/>
      <c r="L90" s="2943"/>
      <c r="M90" s="2943"/>
      <c r="N90" s="2943">
        <f t="shared" si="3"/>
        <v>262.5</v>
      </c>
    </row>
    <row r="91" spans="1:15">
      <c r="A91" s="2943"/>
      <c r="B91" s="2943"/>
      <c r="C91" s="2943"/>
      <c r="D91" s="2944" t="s">
        <v>3056</v>
      </c>
      <c r="E91" s="2943">
        <v>193.04</v>
      </c>
      <c r="F91" s="2943"/>
      <c r="G91" s="2943">
        <v>113.54</v>
      </c>
      <c r="H91" s="2943"/>
      <c r="I91" s="2943"/>
      <c r="J91" s="2943"/>
      <c r="K91" s="2943"/>
      <c r="L91" s="2943"/>
      <c r="M91" s="2943"/>
      <c r="N91" s="2943">
        <f t="shared" si="3"/>
        <v>306.58</v>
      </c>
    </row>
    <row r="92" spans="1:15">
      <c r="A92" s="2943"/>
      <c r="B92" s="2943"/>
      <c r="C92" s="2942" t="s">
        <v>3057</v>
      </c>
      <c r="D92" s="2945"/>
      <c r="E92" s="2943"/>
      <c r="F92" s="2943">
        <v>6263.47</v>
      </c>
      <c r="G92" s="2943"/>
      <c r="H92" s="2943">
        <v>753.23</v>
      </c>
      <c r="I92" s="2943"/>
      <c r="J92" s="2943"/>
      <c r="K92" s="2943"/>
      <c r="L92" s="2943">
        <v>75.55</v>
      </c>
      <c r="M92" s="2943"/>
      <c r="N92" s="2943">
        <f t="shared" si="3"/>
        <v>7092.2500000000009</v>
      </c>
    </row>
    <row r="93" spans="1:15" s="2940" customFormat="1">
      <c r="A93" s="3213" t="s">
        <v>3059</v>
      </c>
      <c r="B93" s="3213"/>
      <c r="C93" s="3213"/>
      <c r="D93" s="3213"/>
      <c r="E93" s="2941">
        <f>SUM(E86:E92)</f>
        <v>1054.0100000000002</v>
      </c>
      <c r="F93" s="2941">
        <f t="shared" ref="F93:L93" si="4">SUM(F86:F92)</f>
        <v>6263.47</v>
      </c>
      <c r="G93" s="2941">
        <f t="shared" si="4"/>
        <v>609.70999999999992</v>
      </c>
      <c r="H93" s="2941">
        <f t="shared" si="4"/>
        <v>753.23</v>
      </c>
      <c r="I93" s="2941">
        <f t="shared" si="4"/>
        <v>0</v>
      </c>
      <c r="J93" s="2941"/>
      <c r="K93" s="2941">
        <f t="shared" si="4"/>
        <v>0</v>
      </c>
      <c r="L93" s="2941">
        <f t="shared" si="4"/>
        <v>75.55</v>
      </c>
      <c r="M93" s="2941">
        <f>SUM(M86:M92)</f>
        <v>0</v>
      </c>
      <c r="N93" s="2941">
        <f t="shared" si="3"/>
        <v>8755.9699999999993</v>
      </c>
      <c r="O93" s="2948">
        <f>8756.04-N93</f>
        <v>7.0000000001527951E-2</v>
      </c>
    </row>
    <row r="94" spans="1:15" ht="54">
      <c r="A94" s="2943">
        <v>87</v>
      </c>
      <c r="B94" s="2943"/>
      <c r="C94" s="2942" t="s">
        <v>3045</v>
      </c>
      <c r="D94" s="2944" t="s">
        <v>3055</v>
      </c>
      <c r="E94" s="2943">
        <v>190.69</v>
      </c>
      <c r="F94" s="2943"/>
      <c r="G94" s="2943">
        <v>115.38</v>
      </c>
      <c r="H94" s="2943"/>
      <c r="I94" s="2943"/>
      <c r="J94" s="2943"/>
      <c r="K94" s="2943"/>
      <c r="L94" s="2943"/>
      <c r="M94" s="2943"/>
      <c r="N94" s="2943">
        <f t="shared" si="3"/>
        <v>306.07</v>
      </c>
      <c r="O94" s="2947" t="s">
        <v>3074</v>
      </c>
    </row>
    <row r="95" spans="1:15">
      <c r="A95" s="2943"/>
      <c r="B95" s="2943"/>
      <c r="C95" s="2943"/>
      <c r="D95" s="2944" t="s">
        <v>3056</v>
      </c>
      <c r="E95" s="2943">
        <v>167.1</v>
      </c>
      <c r="F95" s="2943"/>
      <c r="G95" s="2943">
        <v>94.9</v>
      </c>
      <c r="H95" s="2943"/>
      <c r="I95" s="2943"/>
      <c r="J95" s="2943"/>
      <c r="K95" s="2943"/>
      <c r="L95" s="2943"/>
      <c r="M95" s="2943"/>
      <c r="N95" s="2943">
        <f t="shared" si="3"/>
        <v>262</v>
      </c>
    </row>
    <row r="96" spans="1:15">
      <c r="A96" s="2943"/>
      <c r="B96" s="2943"/>
      <c r="C96" s="2942" t="s">
        <v>3057</v>
      </c>
      <c r="D96" s="2945"/>
      <c r="E96" s="2943"/>
      <c r="F96" s="2943">
        <v>4299.51</v>
      </c>
      <c r="G96" s="2943"/>
      <c r="H96" s="2943">
        <v>789.76</v>
      </c>
      <c r="I96" s="2943">
        <f>382.04+210.97+52.95</f>
        <v>645.96</v>
      </c>
      <c r="J96" s="2943">
        <f>467.51+206.12</f>
        <v>673.63</v>
      </c>
      <c r="K96" s="2943"/>
      <c r="L96" s="2943">
        <f>53.59+87.7</f>
        <v>141.29000000000002</v>
      </c>
      <c r="M96" s="2943">
        <f>793.02-L96</f>
        <v>651.73</v>
      </c>
      <c r="N96" s="2943">
        <f t="shared" si="3"/>
        <v>7201.880000000001</v>
      </c>
    </row>
    <row r="97" spans="1:18" s="2940" customFormat="1">
      <c r="A97" s="3213" t="s">
        <v>3063</v>
      </c>
      <c r="B97" s="3213"/>
      <c r="C97" s="3213"/>
      <c r="D97" s="3213"/>
      <c r="E97" s="2941">
        <f>SUM(E94:E96)</f>
        <v>357.78999999999996</v>
      </c>
      <c r="F97" s="2941">
        <f t="shared" ref="F97:L97" si="5">SUM(F94:F96)</f>
        <v>4299.51</v>
      </c>
      <c r="G97" s="2941">
        <f t="shared" si="5"/>
        <v>210.28</v>
      </c>
      <c r="H97" s="2941">
        <f t="shared" si="5"/>
        <v>789.76</v>
      </c>
      <c r="I97" s="2941">
        <f>SUM(I94:I96)</f>
        <v>645.96</v>
      </c>
      <c r="J97" s="2941">
        <f>SUM(J94:J96)</f>
        <v>673.63</v>
      </c>
      <c r="K97" s="2941">
        <f t="shared" si="5"/>
        <v>0</v>
      </c>
      <c r="L97" s="2941">
        <f t="shared" si="5"/>
        <v>141.29000000000002</v>
      </c>
      <c r="M97" s="2941">
        <f>SUM(M94:M96)</f>
        <v>651.73</v>
      </c>
      <c r="N97" s="2941">
        <f t="shared" si="3"/>
        <v>7769.9500000000007</v>
      </c>
      <c r="O97" s="2948">
        <f>7769.94-N97</f>
        <v>-1.0000000001127773E-2</v>
      </c>
    </row>
    <row r="98" spans="1:18" ht="54">
      <c r="A98" s="2943">
        <v>88</v>
      </c>
      <c r="B98" s="2943"/>
      <c r="C98" s="2942" t="s">
        <v>3045</v>
      </c>
      <c r="D98" s="2944" t="s">
        <v>3055</v>
      </c>
      <c r="E98" s="2943">
        <v>191.08</v>
      </c>
      <c r="F98" s="2943"/>
      <c r="G98" s="2943">
        <v>115.66</v>
      </c>
      <c r="H98" s="2943"/>
      <c r="I98" s="2943"/>
      <c r="J98" s="2943"/>
      <c r="K98" s="2943"/>
      <c r="L98" s="2943"/>
      <c r="M98" s="2943"/>
      <c r="N98" s="2943">
        <f t="shared" si="3"/>
        <v>306.74</v>
      </c>
      <c r="O98" s="2947" t="s">
        <v>4459</v>
      </c>
    </row>
    <row r="99" spans="1:18">
      <c r="A99" s="2943"/>
      <c r="B99" s="2943"/>
      <c r="C99" s="2943"/>
      <c r="D99" s="2944" t="s">
        <v>3056</v>
      </c>
      <c r="E99" s="2943">
        <v>167.61</v>
      </c>
      <c r="F99" s="2943"/>
      <c r="G99" s="2943">
        <v>95.19</v>
      </c>
      <c r="H99" s="2943"/>
      <c r="I99" s="2943"/>
      <c r="J99" s="2943"/>
      <c r="K99" s="2943"/>
      <c r="L99" s="2943"/>
      <c r="M99" s="2943"/>
      <c r="N99" s="2943">
        <f t="shared" si="3"/>
        <v>262.8</v>
      </c>
    </row>
    <row r="100" spans="1:18">
      <c r="A100" s="2943"/>
      <c r="B100" s="2943"/>
      <c r="C100" s="2942" t="s">
        <v>3057</v>
      </c>
      <c r="D100" s="2944"/>
      <c r="E100" s="2943"/>
      <c r="F100" s="2943">
        <v>4316.55</v>
      </c>
      <c r="G100" s="2943"/>
      <c r="H100" s="2943">
        <v>607.74</v>
      </c>
      <c r="I100" s="2943"/>
      <c r="J100" s="2943">
        <f>151.92+112.45</f>
        <v>264.37</v>
      </c>
      <c r="K100" s="2943">
        <v>66.7</v>
      </c>
      <c r="L100" s="2943">
        <f>71.73+21.06+54.29</f>
        <v>147.08000000000001</v>
      </c>
      <c r="M100" s="2943">
        <v>105.86</v>
      </c>
      <c r="N100" s="2943">
        <f t="shared" si="3"/>
        <v>5508.2999999999993</v>
      </c>
    </row>
    <row r="101" spans="1:18" s="2940" customFormat="1">
      <c r="A101" s="3213" t="s">
        <v>3066</v>
      </c>
      <c r="B101" s="3213"/>
      <c r="C101" s="3213"/>
      <c r="D101" s="3213"/>
      <c r="E101" s="2941">
        <f>SUM(E98:E100)</f>
        <v>358.69000000000005</v>
      </c>
      <c r="F101" s="2941">
        <f t="shared" ref="F101:L101" si="6">SUM(F98:F100)</f>
        <v>4316.55</v>
      </c>
      <c r="G101" s="2941">
        <f t="shared" si="6"/>
        <v>210.85</v>
      </c>
      <c r="H101" s="2941">
        <f t="shared" si="6"/>
        <v>607.74</v>
      </c>
      <c r="I101" s="2941">
        <f t="shared" si="6"/>
        <v>0</v>
      </c>
      <c r="J101" s="2941">
        <f t="shared" si="6"/>
        <v>264.37</v>
      </c>
      <c r="K101" s="2941">
        <f t="shared" si="6"/>
        <v>66.7</v>
      </c>
      <c r="L101" s="2941">
        <f t="shared" si="6"/>
        <v>147.08000000000001</v>
      </c>
      <c r="M101" s="2941">
        <f>SUM(M98:M100)</f>
        <v>105.86</v>
      </c>
      <c r="N101" s="2941">
        <f t="shared" si="3"/>
        <v>6077.8399999999992</v>
      </c>
      <c r="O101" s="2948">
        <f>6077.79-N101</f>
        <v>-4.9999999999272404E-2</v>
      </c>
    </row>
    <row r="102" spans="1:18" ht="55.5" customHeight="1">
      <c r="A102" s="2943"/>
      <c r="B102" s="2943"/>
      <c r="C102" s="2942" t="s">
        <v>3045</v>
      </c>
      <c r="D102" s="2944" t="s">
        <v>3055</v>
      </c>
      <c r="E102" s="2943">
        <v>192.57</v>
      </c>
      <c r="F102" s="2943"/>
      <c r="G102" s="2943">
        <v>116.47</v>
      </c>
      <c r="H102" s="2943"/>
      <c r="I102" s="2943"/>
      <c r="J102" s="2943"/>
      <c r="K102" s="2943"/>
      <c r="L102" s="2943"/>
      <c r="M102" s="2943"/>
      <c r="N102" s="2943">
        <f t="shared" si="3"/>
        <v>309.03999999999996</v>
      </c>
      <c r="O102" s="2947" t="s">
        <v>4454</v>
      </c>
      <c r="P102" s="2946" t="s">
        <v>3071</v>
      </c>
      <c r="Q102">
        <v>601</v>
      </c>
      <c r="R102">
        <v>166.57</v>
      </c>
    </row>
    <row r="103" spans="1:18">
      <c r="A103" s="2943"/>
      <c r="B103" s="2943"/>
      <c r="C103" s="2943"/>
      <c r="D103" s="2944" t="s">
        <v>3056</v>
      </c>
      <c r="E103" s="2943">
        <v>168.68</v>
      </c>
      <c r="F103" s="2943"/>
      <c r="G103" s="2943">
        <v>95.81</v>
      </c>
      <c r="H103" s="2943"/>
      <c r="I103" s="2942"/>
      <c r="J103" s="2943"/>
      <c r="K103" s="2943"/>
      <c r="L103" s="2943"/>
      <c r="M103" s="2943"/>
      <c r="N103" s="2943">
        <f t="shared" si="3"/>
        <v>264.49</v>
      </c>
      <c r="Q103">
        <v>602</v>
      </c>
      <c r="R103">
        <v>143.72999999999999</v>
      </c>
    </row>
    <row r="104" spans="1:18">
      <c r="A104" s="2943"/>
      <c r="B104" s="2943"/>
      <c r="C104" s="2942" t="s">
        <v>3050</v>
      </c>
      <c r="D104" s="2944" t="s">
        <v>3055</v>
      </c>
      <c r="E104" s="2943">
        <v>168.88</v>
      </c>
      <c r="F104" s="2943"/>
      <c r="G104" s="2943">
        <v>95.93</v>
      </c>
      <c r="H104" s="2943"/>
      <c r="I104" s="2943"/>
      <c r="J104" s="2943"/>
      <c r="K104" s="2943"/>
      <c r="L104" s="2943"/>
      <c r="M104" s="2943"/>
      <c r="N104" s="2943">
        <f t="shared" si="3"/>
        <v>264.81</v>
      </c>
      <c r="Q104">
        <v>701</v>
      </c>
      <c r="R104">
        <v>169.23</v>
      </c>
    </row>
    <row r="105" spans="1:18">
      <c r="A105" s="2943"/>
      <c r="B105" s="2943"/>
      <c r="C105" s="2943"/>
      <c r="D105" s="2944" t="s">
        <v>3056</v>
      </c>
      <c r="E105" s="2943">
        <v>192.65</v>
      </c>
      <c r="F105" s="2943"/>
      <c r="G105" s="2943">
        <v>116.53</v>
      </c>
      <c r="H105" s="2943"/>
      <c r="I105" s="2943"/>
      <c r="J105" s="2943"/>
      <c r="K105" s="2943"/>
      <c r="L105" s="2943"/>
      <c r="M105" s="2943"/>
      <c r="N105" s="2943">
        <f t="shared" si="3"/>
        <v>309.18</v>
      </c>
      <c r="Q105">
        <v>702</v>
      </c>
      <c r="R105">
        <v>143.72999999999999</v>
      </c>
    </row>
    <row r="106" spans="1:18">
      <c r="A106" s="2943"/>
      <c r="B106" s="2943"/>
      <c r="C106" s="2942" t="s">
        <v>3057</v>
      </c>
      <c r="D106" s="2944"/>
      <c r="E106" s="2943">
        <f>3705.56-F106</f>
        <v>2292.4700000000003</v>
      </c>
      <c r="F106" s="2943">
        <f>R111</f>
        <v>1413.09</v>
      </c>
      <c r="G106" s="2943"/>
      <c r="H106" s="2943">
        <v>480.35</v>
      </c>
      <c r="I106" s="2943"/>
      <c r="J106" s="2943"/>
      <c r="K106" s="2943"/>
      <c r="L106" s="2943">
        <v>47.79</v>
      </c>
      <c r="M106" s="2943"/>
      <c r="N106" s="2943">
        <f t="shared" si="3"/>
        <v>4233.7000000000007</v>
      </c>
      <c r="P106" s="2946" t="s">
        <v>3076</v>
      </c>
      <c r="Q106">
        <v>502</v>
      </c>
      <c r="R106">
        <v>166.57</v>
      </c>
    </row>
    <row r="107" spans="1:18" s="2940" customFormat="1">
      <c r="A107" s="3213" t="s">
        <v>3067</v>
      </c>
      <c r="B107" s="3213"/>
      <c r="C107" s="3213"/>
      <c r="D107" s="3213"/>
      <c r="E107" s="2941">
        <f>SUM(E102:E106)</f>
        <v>3015.25</v>
      </c>
      <c r="F107" s="2959">
        <f t="shared" ref="F107:M107" si="7">SUM(F102:F106)</f>
        <v>1413.09</v>
      </c>
      <c r="G107" s="2941">
        <f t="shared" si="7"/>
        <v>424.74</v>
      </c>
      <c r="H107" s="2941">
        <f t="shared" si="7"/>
        <v>480.35</v>
      </c>
      <c r="I107" s="2941">
        <f t="shared" si="7"/>
        <v>0</v>
      </c>
      <c r="J107" s="2941">
        <f t="shared" si="7"/>
        <v>0</v>
      </c>
      <c r="K107" s="2941">
        <f t="shared" si="7"/>
        <v>0</v>
      </c>
      <c r="L107" s="2941">
        <f t="shared" si="7"/>
        <v>47.79</v>
      </c>
      <c r="M107" s="2941">
        <f t="shared" si="7"/>
        <v>0</v>
      </c>
      <c r="N107" s="2941">
        <f t="shared" si="3"/>
        <v>5381.22</v>
      </c>
      <c r="O107" s="2948">
        <f>5381.2-N107</f>
        <v>-2.0000000000436557E-2</v>
      </c>
      <c r="Q107">
        <v>601</v>
      </c>
      <c r="R107">
        <v>143.72999999999999</v>
      </c>
    </row>
    <row r="108" spans="1:18">
      <c r="A108" s="2941"/>
      <c r="B108" s="2941"/>
      <c r="C108" s="2942" t="s">
        <v>3045</v>
      </c>
      <c r="D108" s="2944" t="s">
        <v>3055</v>
      </c>
      <c r="E108" s="2943">
        <v>192.58</v>
      </c>
      <c r="F108" s="2943"/>
      <c r="G108" s="2943">
        <v>116.47</v>
      </c>
      <c r="H108" s="2943"/>
      <c r="I108" s="2943"/>
      <c r="J108" s="2943"/>
      <c r="K108" s="2943"/>
      <c r="L108" s="2943"/>
      <c r="M108" s="2943"/>
      <c r="N108" s="2943">
        <f t="shared" ref="N108:N109" si="8">SUM(E108:M108)</f>
        <v>309.05</v>
      </c>
      <c r="Q108" s="2946">
        <v>602</v>
      </c>
      <c r="R108">
        <v>166.57</v>
      </c>
    </row>
    <row r="109" spans="1:18">
      <c r="A109" s="2941"/>
      <c r="B109" s="2941"/>
      <c r="C109" s="2943"/>
      <c r="D109" s="2944" t="s">
        <v>3056</v>
      </c>
      <c r="E109" s="2943">
        <v>168.68</v>
      </c>
      <c r="F109" s="2943"/>
      <c r="G109" s="2943">
        <v>95.82</v>
      </c>
      <c r="H109" s="2943"/>
      <c r="I109" s="2943"/>
      <c r="J109" s="2943"/>
      <c r="K109" s="2943"/>
      <c r="L109" s="2943"/>
      <c r="M109" s="2943"/>
      <c r="N109" s="2943">
        <f t="shared" si="8"/>
        <v>264.5</v>
      </c>
      <c r="Q109">
        <v>701</v>
      </c>
      <c r="R109">
        <v>143.72999999999999</v>
      </c>
    </row>
    <row r="110" spans="1:18">
      <c r="A110" s="2943"/>
      <c r="B110" s="2943"/>
      <c r="C110" s="2942" t="s">
        <v>3050</v>
      </c>
      <c r="D110" s="2944" t="s">
        <v>3055</v>
      </c>
      <c r="E110" s="2943">
        <v>168.89</v>
      </c>
      <c r="F110" s="2943"/>
      <c r="G110" s="2943">
        <v>95.93</v>
      </c>
      <c r="H110" s="2943"/>
      <c r="I110" s="2942"/>
      <c r="J110" s="2943"/>
      <c r="K110" s="2943"/>
      <c r="L110" s="2943"/>
      <c r="M110" s="2943"/>
      <c r="N110" s="2943">
        <f t="shared" ref="N110:N130" si="9">SUM(E110:M110)</f>
        <v>264.82</v>
      </c>
      <c r="Q110">
        <v>702</v>
      </c>
      <c r="R110">
        <v>169.23</v>
      </c>
    </row>
    <row r="111" spans="1:18">
      <c r="A111" s="2943"/>
      <c r="B111" s="2943"/>
      <c r="C111" s="2943"/>
      <c r="D111" s="2944" t="s">
        <v>3056</v>
      </c>
      <c r="E111" s="2943">
        <v>192.66</v>
      </c>
      <c r="F111" s="2943"/>
      <c r="G111" s="2943">
        <v>116.53</v>
      </c>
      <c r="H111" s="2943"/>
      <c r="I111" s="2943"/>
      <c r="J111" s="2943"/>
      <c r="K111" s="2943"/>
      <c r="L111" s="2943"/>
      <c r="M111" s="2943"/>
      <c r="N111" s="2943">
        <f t="shared" si="9"/>
        <v>309.19</v>
      </c>
      <c r="R111">
        <f>SUM(R102:R110)</f>
        <v>1413.09</v>
      </c>
    </row>
    <row r="112" spans="1:18">
      <c r="A112" s="2943"/>
      <c r="B112" s="2943"/>
      <c r="C112" s="2942" t="s">
        <v>3057</v>
      </c>
      <c r="D112" s="2945"/>
      <c r="E112" s="2943">
        <v>3705.8</v>
      </c>
      <c r="F112" s="2943"/>
      <c r="G112" s="2943"/>
      <c r="H112" s="2943">
        <v>480.06</v>
      </c>
      <c r="I112" s="2943"/>
      <c r="J112" s="2943"/>
      <c r="K112" s="2943"/>
      <c r="L112" s="2943">
        <v>47.79</v>
      </c>
      <c r="M112" s="2943"/>
      <c r="N112" s="2943">
        <f t="shared" si="9"/>
        <v>4233.6500000000005</v>
      </c>
    </row>
    <row r="113" spans="1:15" s="2940" customFormat="1">
      <c r="A113" s="3213" t="s">
        <v>3068</v>
      </c>
      <c r="B113" s="3213"/>
      <c r="C113" s="3213"/>
      <c r="D113" s="3213"/>
      <c r="E113" s="2941">
        <f>SUM(E108:E112)</f>
        <v>4428.6100000000006</v>
      </c>
      <c r="F113" s="2959">
        <f t="shared" ref="F113:M113" si="10">SUM(F108:F112)</f>
        <v>0</v>
      </c>
      <c r="G113" s="2941">
        <f t="shared" si="10"/>
        <v>424.75</v>
      </c>
      <c r="H113" s="2941">
        <f t="shared" si="10"/>
        <v>480.06</v>
      </c>
      <c r="I113" s="2941">
        <f t="shared" si="10"/>
        <v>0</v>
      </c>
      <c r="J113" s="2941">
        <f t="shared" si="10"/>
        <v>0</v>
      </c>
      <c r="K113" s="2941">
        <f t="shared" si="10"/>
        <v>0</v>
      </c>
      <c r="L113" s="2941">
        <f t="shared" si="10"/>
        <v>47.79</v>
      </c>
      <c r="M113" s="2941">
        <f t="shared" si="10"/>
        <v>0</v>
      </c>
      <c r="N113" s="2941">
        <f t="shared" si="9"/>
        <v>5381.2100000000009</v>
      </c>
      <c r="O113" s="2948">
        <f>5381.2-N113</f>
        <v>-1.0000000001127773E-2</v>
      </c>
    </row>
    <row r="114" spans="1:15" ht="54">
      <c r="A114" s="2943"/>
      <c r="B114" s="2943"/>
      <c r="C114" s="2942" t="s">
        <v>3045</v>
      </c>
      <c r="D114" s="2944" t="s">
        <v>3055</v>
      </c>
      <c r="E114" s="2943">
        <v>192.59</v>
      </c>
      <c r="F114" s="2943"/>
      <c r="G114" s="2943">
        <v>116.47</v>
      </c>
      <c r="H114" s="2943"/>
      <c r="I114" s="2943"/>
      <c r="J114" s="2943"/>
      <c r="K114" s="2943"/>
      <c r="L114" s="2943"/>
      <c r="M114" s="2943"/>
      <c r="N114" s="2943">
        <f t="shared" si="9"/>
        <v>309.06</v>
      </c>
      <c r="O114" s="2947" t="s">
        <v>4444</v>
      </c>
    </row>
    <row r="115" spans="1:15">
      <c r="A115" s="2943"/>
      <c r="B115" s="2943"/>
      <c r="C115" s="2943"/>
      <c r="D115" s="2944" t="s">
        <v>3056</v>
      </c>
      <c r="E115" s="2943">
        <v>168.69</v>
      </c>
      <c r="F115" s="2943"/>
      <c r="G115" s="2943">
        <v>95.83</v>
      </c>
      <c r="H115" s="2943"/>
      <c r="I115" s="2943"/>
      <c r="J115" s="2943"/>
      <c r="K115" s="2943"/>
      <c r="L115" s="2943"/>
      <c r="M115" s="2943"/>
      <c r="N115" s="2943">
        <f t="shared" si="9"/>
        <v>264.52</v>
      </c>
    </row>
    <row r="116" spans="1:15">
      <c r="A116" s="2943"/>
      <c r="B116" s="2943"/>
      <c r="C116" s="2942" t="s">
        <v>3050</v>
      </c>
      <c r="D116" s="2944" t="s">
        <v>3055</v>
      </c>
      <c r="E116" s="2943">
        <v>168.9</v>
      </c>
      <c r="F116" s="2943"/>
      <c r="G116" s="2943">
        <v>95.94</v>
      </c>
      <c r="H116" s="2943"/>
      <c r="I116" s="2943"/>
      <c r="J116" s="2943"/>
      <c r="K116" s="2943"/>
      <c r="L116" s="2943"/>
      <c r="M116" s="2943"/>
      <c r="N116" s="2943">
        <f t="shared" si="9"/>
        <v>264.84000000000003</v>
      </c>
    </row>
    <row r="117" spans="1:15">
      <c r="A117" s="2943"/>
      <c r="B117" s="2943"/>
      <c r="C117" s="2943"/>
      <c r="D117" s="2944" t="s">
        <v>3056</v>
      </c>
      <c r="E117" s="2943">
        <v>192.67</v>
      </c>
      <c r="F117" s="2943"/>
      <c r="G117" s="2943">
        <v>116.53</v>
      </c>
      <c r="H117" s="2943"/>
      <c r="I117" s="2943"/>
      <c r="J117" s="2943"/>
      <c r="K117" s="2943"/>
      <c r="L117" s="2943"/>
      <c r="M117" s="2943"/>
      <c r="N117" s="2943">
        <f t="shared" si="9"/>
        <v>309.2</v>
      </c>
    </row>
    <row r="118" spans="1:15">
      <c r="A118" s="2943"/>
      <c r="B118" s="2943"/>
      <c r="C118" s="2942" t="s">
        <v>3057</v>
      </c>
      <c r="D118" s="2945"/>
      <c r="E118" s="2943"/>
      <c r="F118" s="2949">
        <v>3705.92</v>
      </c>
      <c r="G118" s="2943"/>
      <c r="H118" s="2943">
        <v>479.77</v>
      </c>
      <c r="I118" s="2943"/>
      <c r="J118" s="2943"/>
      <c r="K118" s="2943"/>
      <c r="L118" s="2943">
        <v>47.79</v>
      </c>
      <c r="M118" s="2943"/>
      <c r="N118" s="2943">
        <f t="shared" si="9"/>
        <v>4233.4800000000005</v>
      </c>
    </row>
    <row r="119" spans="1:15" s="2940" customFormat="1">
      <c r="A119" s="3213" t="s">
        <v>3069</v>
      </c>
      <c r="B119" s="3213"/>
      <c r="C119" s="3213"/>
      <c r="D119" s="3213"/>
      <c r="E119" s="2941">
        <f>SUM(E114:E118)</f>
        <v>722.84999999999991</v>
      </c>
      <c r="F119" s="2941">
        <f t="shared" ref="F119:M119" si="11">SUM(F114:F118)</f>
        <v>3705.92</v>
      </c>
      <c r="G119" s="2941">
        <f t="shared" si="11"/>
        <v>424.77</v>
      </c>
      <c r="H119" s="2941">
        <f t="shared" si="11"/>
        <v>479.77</v>
      </c>
      <c r="I119" s="2941">
        <f t="shared" si="11"/>
        <v>0</v>
      </c>
      <c r="J119" s="2941">
        <f t="shared" si="11"/>
        <v>0</v>
      </c>
      <c r="K119" s="2941">
        <f t="shared" si="11"/>
        <v>0</v>
      </c>
      <c r="L119" s="2941">
        <f t="shared" si="11"/>
        <v>47.79</v>
      </c>
      <c r="M119" s="2941">
        <f t="shared" si="11"/>
        <v>0</v>
      </c>
      <c r="N119" s="2941">
        <f t="shared" si="9"/>
        <v>5381.1000000000013</v>
      </c>
      <c r="O119" s="2948">
        <f>5381.2-N119</f>
        <v>9.9999999998544808E-2</v>
      </c>
    </row>
    <row r="120" spans="1:15">
      <c r="A120" s="3211" t="s">
        <v>4447</v>
      </c>
      <c r="B120" s="3212"/>
      <c r="C120" s="3212"/>
      <c r="D120" s="3212"/>
      <c r="E120" s="2943">
        <f>E85+E93+E97+E101+E107+E113+E119</f>
        <v>10992.800000000001</v>
      </c>
      <c r="F120" s="2943">
        <f>F85+F93+F97+F101+F107+F113+F119</f>
        <v>26273.370000000003</v>
      </c>
      <c r="G120" s="2943">
        <f>G85+G93+G97+G101+G107+G113+G119</f>
        <v>2916.0699999999997</v>
      </c>
      <c r="H120" s="2943">
        <f t="shared" ref="H120:M120" si="12">H85+H93+H97+H101+H107+H113+H119</f>
        <v>4204.4699999999993</v>
      </c>
      <c r="I120" s="2943">
        <f>I85+I93+I97+I101+I107+I113+I119</f>
        <v>645.96</v>
      </c>
      <c r="J120" s="2943">
        <f>J85+J93+J97+J101+J107+J113+J119</f>
        <v>938</v>
      </c>
      <c r="K120" s="2943">
        <f t="shared" si="12"/>
        <v>66.7</v>
      </c>
      <c r="L120" s="2943">
        <f>L85+L93+L97+L101+L107+L113+L119</f>
        <v>582.84</v>
      </c>
      <c r="M120" s="2943">
        <f t="shared" si="12"/>
        <v>1812.1399999999999</v>
      </c>
      <c r="N120" s="2943">
        <f>SUM(E120:M120)</f>
        <v>48432.35</v>
      </c>
    </row>
    <row r="121" spans="1:15">
      <c r="H121">
        <f>34+39+37+28+24+24+23</f>
        <v>209</v>
      </c>
      <c r="N121">
        <f>SUM(E121:M121)</f>
        <v>209</v>
      </c>
    </row>
    <row r="122" spans="1:15">
      <c r="N122">
        <f t="shared" si="9"/>
        <v>0</v>
      </c>
    </row>
    <row r="123" spans="1:15">
      <c r="N123">
        <f t="shared" si="9"/>
        <v>0</v>
      </c>
    </row>
    <row r="124" spans="1:15">
      <c r="J124">
        <f>3399.68+规证!I110+规证!F117</f>
        <v>4627.92</v>
      </c>
      <c r="N124">
        <f t="shared" si="9"/>
        <v>4627.92</v>
      </c>
    </row>
    <row r="125" spans="1:15">
      <c r="N125">
        <f t="shared" si="9"/>
        <v>0</v>
      </c>
    </row>
    <row r="126" spans="1:15">
      <c r="N126">
        <f t="shared" si="9"/>
        <v>0</v>
      </c>
    </row>
    <row r="127" spans="1:15">
      <c r="N127">
        <f t="shared" si="9"/>
        <v>0</v>
      </c>
    </row>
    <row r="128" spans="1:15">
      <c r="N128">
        <f t="shared" si="9"/>
        <v>0</v>
      </c>
    </row>
    <row r="129" spans="2:14">
      <c r="N129">
        <f t="shared" si="9"/>
        <v>0</v>
      </c>
    </row>
    <row r="130" spans="2:14">
      <c r="B130" s="2966"/>
      <c r="C130" s="3210" t="s">
        <v>4777</v>
      </c>
      <c r="D130" s="3210" t="s">
        <v>4778</v>
      </c>
      <c r="E130" s="3210"/>
      <c r="F130" s="3210"/>
      <c r="G130" s="3210" t="s">
        <v>4779</v>
      </c>
      <c r="H130" s="3210"/>
      <c r="I130" s="3210"/>
      <c r="J130" s="3210"/>
      <c r="N130">
        <f t="shared" si="9"/>
        <v>0</v>
      </c>
    </row>
    <row r="131" spans="2:14">
      <c r="B131" s="2966"/>
      <c r="C131" s="3210"/>
      <c r="D131" s="3114" t="s">
        <v>3080</v>
      </c>
      <c r="E131" s="3114" t="s">
        <v>1372</v>
      </c>
      <c r="F131" s="3115" t="s">
        <v>4780</v>
      </c>
      <c r="G131" s="3114" t="s">
        <v>4781</v>
      </c>
      <c r="H131" s="3115" t="s">
        <v>4782</v>
      </c>
      <c r="I131" s="3115" t="s">
        <v>4783</v>
      </c>
      <c r="J131" s="3115" t="s">
        <v>4784</v>
      </c>
      <c r="N131">
        <f t="shared" ref="N131:N134" si="13">SUM(E131:M131)</f>
        <v>0</v>
      </c>
    </row>
    <row r="132" spans="2:14">
      <c r="B132" s="3116" t="s">
        <v>3199</v>
      </c>
      <c r="C132" s="2966">
        <f>SUM(D132:J132)</f>
        <v>9685.0600000000013</v>
      </c>
      <c r="D132" s="2967">
        <f>E85+F85</f>
        <v>7330.4300000000021</v>
      </c>
      <c r="E132" s="2966">
        <v>0</v>
      </c>
      <c r="F132" s="2966">
        <f>L85</f>
        <v>75.55</v>
      </c>
      <c r="G132" s="2966">
        <f>G85+H85</f>
        <v>1224.53</v>
      </c>
      <c r="H132" s="2966">
        <v>0</v>
      </c>
      <c r="I132" s="2966">
        <v>0</v>
      </c>
      <c r="J132" s="2966">
        <f>M85</f>
        <v>1054.55</v>
      </c>
      <c r="N132">
        <f t="shared" si="13"/>
        <v>2354.63</v>
      </c>
    </row>
    <row r="133" spans="2:14">
      <c r="B133" s="3116" t="s">
        <v>3200</v>
      </c>
      <c r="C133" s="2966">
        <f t="shared" ref="C133:C139" si="14">SUM(D133:J133)</f>
        <v>8835.02</v>
      </c>
      <c r="D133" s="2966">
        <f>规证!D110</f>
        <v>6984.06</v>
      </c>
      <c r="E133" s="2966">
        <v>0</v>
      </c>
      <c r="F133" s="2966">
        <v>0</v>
      </c>
      <c r="G133" s="2966">
        <f>规证!H110</f>
        <v>1622.72</v>
      </c>
      <c r="H133" s="2966">
        <v>0</v>
      </c>
      <c r="I133" s="2966">
        <v>0</v>
      </c>
      <c r="J133" s="2966">
        <f>规证!I110</f>
        <v>228.24</v>
      </c>
      <c r="N133">
        <f t="shared" si="13"/>
        <v>1850.96</v>
      </c>
    </row>
    <row r="134" spans="2:14">
      <c r="B134" s="3116" t="s">
        <v>3201</v>
      </c>
      <c r="C134" s="2966">
        <f t="shared" si="14"/>
        <v>8755.9700000000012</v>
      </c>
      <c r="D134" s="2966">
        <f>E93+F93</f>
        <v>7317.4800000000005</v>
      </c>
      <c r="E134" s="2966">
        <v>0</v>
      </c>
      <c r="F134" s="2966">
        <f>L93</f>
        <v>75.55</v>
      </c>
      <c r="G134" s="2966">
        <f>G93+H93</f>
        <v>1362.94</v>
      </c>
      <c r="H134" s="2966">
        <v>0</v>
      </c>
      <c r="I134" s="2966">
        <v>0</v>
      </c>
      <c r="J134" s="2966">
        <v>0</v>
      </c>
      <c r="N134">
        <f t="shared" si="13"/>
        <v>1438.49</v>
      </c>
    </row>
    <row r="135" spans="2:14">
      <c r="B135" s="3116" t="s">
        <v>3202</v>
      </c>
      <c r="C135" s="2966">
        <f>SUM(D135:J135)</f>
        <v>7769.9500000000007</v>
      </c>
      <c r="D135" s="2966">
        <f>E97+F97</f>
        <v>4657.3</v>
      </c>
      <c r="E135" s="2966">
        <f>I96-I135</f>
        <v>263.92</v>
      </c>
      <c r="F135" s="2966">
        <f>L97+J97</f>
        <v>814.92000000000007</v>
      </c>
      <c r="G135" s="2966">
        <f>G97+H97</f>
        <v>1000.04</v>
      </c>
      <c r="H135" s="3050">
        <v>0</v>
      </c>
      <c r="I135" s="3050">
        <v>382.04</v>
      </c>
      <c r="J135" s="2966">
        <f>M97</f>
        <v>651.73</v>
      </c>
    </row>
    <row r="136" spans="2:14">
      <c r="B136" s="3116" t="s">
        <v>3203</v>
      </c>
      <c r="C136" s="2966">
        <f t="shared" si="14"/>
        <v>6077.84</v>
      </c>
      <c r="D136" s="2966">
        <f>E101+F101</f>
        <v>4675.24</v>
      </c>
      <c r="E136" s="3050">
        <v>0</v>
      </c>
      <c r="F136" s="2966">
        <f>J101+L101</f>
        <v>411.45000000000005</v>
      </c>
      <c r="G136" s="2966">
        <f>G101+H101</f>
        <v>818.59</v>
      </c>
      <c r="H136" s="3050">
        <v>0</v>
      </c>
      <c r="I136" s="3050">
        <v>0</v>
      </c>
      <c r="J136" s="2966">
        <f>M101+K101</f>
        <v>172.56</v>
      </c>
    </row>
    <row r="137" spans="2:14">
      <c r="B137" s="3116" t="s">
        <v>3204</v>
      </c>
      <c r="C137" s="2966">
        <f t="shared" si="14"/>
        <v>5381.22</v>
      </c>
      <c r="D137" s="2966">
        <f>E107+F107</f>
        <v>4428.34</v>
      </c>
      <c r="E137" s="3050">
        <v>0</v>
      </c>
      <c r="F137" s="2966">
        <f>L107</f>
        <v>47.79</v>
      </c>
      <c r="G137" s="2966">
        <f>H107+G107</f>
        <v>905.09</v>
      </c>
      <c r="H137" s="3050">
        <v>0</v>
      </c>
      <c r="I137" s="3050">
        <v>0</v>
      </c>
      <c r="J137" s="3050">
        <v>0</v>
      </c>
    </row>
    <row r="138" spans="2:14">
      <c r="B138" s="3116" t="s">
        <v>3205</v>
      </c>
      <c r="C138" s="2966">
        <f t="shared" si="14"/>
        <v>5381.2100000000009</v>
      </c>
      <c r="D138" s="2966">
        <f>E113</f>
        <v>4428.6100000000006</v>
      </c>
      <c r="E138" s="3050">
        <v>0</v>
      </c>
      <c r="F138" s="2966">
        <f>L113</f>
        <v>47.79</v>
      </c>
      <c r="G138" s="2966">
        <f>G113+H113</f>
        <v>904.81</v>
      </c>
      <c r="H138" s="3050">
        <v>0</v>
      </c>
      <c r="I138" s="3050">
        <v>0</v>
      </c>
      <c r="J138" s="3050">
        <v>0</v>
      </c>
    </row>
    <row r="139" spans="2:14">
      <c r="B139" s="3116" t="s">
        <v>3206</v>
      </c>
      <c r="C139" s="3117">
        <f t="shared" si="14"/>
        <v>5381.1</v>
      </c>
      <c r="D139" s="2966">
        <f>E119+F119</f>
        <v>4428.7700000000004</v>
      </c>
      <c r="E139" s="3050">
        <v>0</v>
      </c>
      <c r="F139" s="2966">
        <f>L119</f>
        <v>47.79</v>
      </c>
      <c r="G139" s="2966">
        <f>G119+H119</f>
        <v>904.54</v>
      </c>
      <c r="H139" s="3050">
        <v>0</v>
      </c>
      <c r="I139" s="3050">
        <v>0</v>
      </c>
      <c r="J139" s="3050">
        <v>0</v>
      </c>
    </row>
    <row r="140" spans="2:14">
      <c r="B140" s="3087"/>
      <c r="C140" s="3087"/>
      <c r="D140" s="3118"/>
      <c r="E140" s="3087"/>
      <c r="F140" s="3087"/>
      <c r="G140" s="3087"/>
      <c r="H140" s="3087"/>
      <c r="I140" s="3087"/>
      <c r="J140" s="3087"/>
    </row>
  </sheetData>
  <mergeCells count="11">
    <mergeCell ref="A85:D85"/>
    <mergeCell ref="A93:D93"/>
    <mergeCell ref="A97:D97"/>
    <mergeCell ref="A101:D101"/>
    <mergeCell ref="A107:D107"/>
    <mergeCell ref="C130:C131"/>
    <mergeCell ref="D130:F130"/>
    <mergeCell ref="G130:J130"/>
    <mergeCell ref="A120:D120"/>
    <mergeCell ref="A113:D113"/>
    <mergeCell ref="A119:D119"/>
  </mergeCells>
  <phoneticPr fontId="143" type="noConversion"/>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9"/>
  <sheetViews>
    <sheetView topLeftCell="A70" workbookViewId="0">
      <selection activeCell="K78" sqref="K78"/>
    </sheetView>
  </sheetViews>
  <sheetFormatPr defaultColWidth="8.875" defaultRowHeight="16.5"/>
  <cols>
    <col min="1" max="3" width="4.375" style="3011" customWidth="1"/>
    <col min="4" max="4" width="6.625" style="3011" customWidth="1"/>
    <col min="5" max="5" width="10.375" style="3011" customWidth="1"/>
    <col min="6" max="6" width="8.875" style="3007"/>
    <col min="7" max="7" width="10.5" style="3007" bestFit="1" customWidth="1"/>
    <col min="8" max="9" width="8.875" style="3007"/>
    <col min="10" max="10" width="15.625" style="3007" bestFit="1" customWidth="1"/>
    <col min="11" max="11" width="8.875" style="3007"/>
    <col min="12" max="12" width="45.875" style="3007" customWidth="1"/>
    <col min="13" max="13" width="10.5" style="3007" bestFit="1" customWidth="1"/>
    <col min="14" max="14" width="10.875" style="3007" customWidth="1"/>
    <col min="15" max="15" width="8.875" style="3007"/>
    <col min="16" max="16" width="12.125" style="3007" bestFit="1" customWidth="1"/>
    <col min="17" max="16384" width="8.875" style="3007"/>
  </cols>
  <sheetData>
    <row r="1" spans="1:16">
      <c r="A1" s="3215" t="s">
        <v>4421</v>
      </c>
      <c r="B1" s="3215" t="s">
        <v>4422</v>
      </c>
      <c r="C1" s="3214" t="s">
        <v>4423</v>
      </c>
      <c r="D1" s="3215" t="s">
        <v>4424</v>
      </c>
      <c r="E1" s="3216" t="s">
        <v>3216</v>
      </c>
      <c r="F1" s="3098"/>
      <c r="G1" s="3006"/>
      <c r="H1" s="3006"/>
      <c r="M1" s="3007" t="s">
        <v>4449</v>
      </c>
      <c r="N1" s="3007" t="s">
        <v>4452</v>
      </c>
      <c r="O1" s="3007" t="s">
        <v>4450</v>
      </c>
    </row>
    <row r="2" spans="1:16" ht="27">
      <c r="A2" s="3215"/>
      <c r="B2" s="3215"/>
      <c r="C2" s="3214"/>
      <c r="D2" s="3215"/>
      <c r="E2" s="3216"/>
      <c r="F2" s="3046"/>
      <c r="G2" s="3007" t="s">
        <v>4536</v>
      </c>
      <c r="K2" s="3007">
        <v>84</v>
      </c>
      <c r="L2" s="2947" t="s">
        <v>3072</v>
      </c>
      <c r="M2" s="2946" t="s">
        <v>4448</v>
      </c>
      <c r="N2" s="2946">
        <v>42</v>
      </c>
      <c r="O2" s="3007">
        <f>洋房测绘!F85</f>
        <v>6274.8300000000017</v>
      </c>
      <c r="P2" s="3007">
        <f>ROUND(O2/N2,2)</f>
        <v>149.4</v>
      </c>
    </row>
    <row r="3" spans="1:16" s="3009" customFormat="1" ht="14.25">
      <c r="A3" s="3217">
        <v>1</v>
      </c>
      <c r="B3" s="3047">
        <v>84</v>
      </c>
      <c r="C3" s="3047">
        <v>1</v>
      </c>
      <c r="D3" s="3047">
        <v>101</v>
      </c>
      <c r="E3" s="3047">
        <v>191.84</v>
      </c>
      <c r="F3" s="3099" t="s">
        <v>3219</v>
      </c>
      <c r="G3" s="3008">
        <v>7352268</v>
      </c>
      <c r="L3" s="3"/>
      <c r="M3"/>
      <c r="N3"/>
    </row>
    <row r="4" spans="1:16" s="3009" customFormat="1" ht="27">
      <c r="A4" s="3217"/>
      <c r="B4" s="3047">
        <v>84</v>
      </c>
      <c r="C4" s="3047">
        <v>1</v>
      </c>
      <c r="D4" s="3047">
        <v>101</v>
      </c>
      <c r="E4" s="3047">
        <v>115.81</v>
      </c>
      <c r="F4" s="3099" t="s">
        <v>3222</v>
      </c>
      <c r="G4" s="3008">
        <v>2192862</v>
      </c>
      <c r="K4" s="3009">
        <v>86</v>
      </c>
      <c r="L4" s="2947" t="s">
        <v>3072</v>
      </c>
      <c r="M4" s="2946" t="s">
        <v>4455</v>
      </c>
      <c r="N4">
        <v>42</v>
      </c>
      <c r="O4" s="3009">
        <f>洋房测绘!F93</f>
        <v>6263.47</v>
      </c>
      <c r="P4" s="3007">
        <f>ROUND(O4/N4,2)</f>
        <v>149.13</v>
      </c>
    </row>
    <row r="5" spans="1:16" s="3010" customFormat="1" ht="14.25">
      <c r="A5" s="3218">
        <v>2</v>
      </c>
      <c r="B5" s="3048">
        <v>84</v>
      </c>
      <c r="C5" s="3048">
        <v>1</v>
      </c>
      <c r="D5" s="3048">
        <v>102</v>
      </c>
      <c r="E5" s="3048">
        <v>167.58</v>
      </c>
      <c r="F5" s="3100" t="s">
        <v>3219</v>
      </c>
      <c r="G5" s="3008">
        <v>7376704</v>
      </c>
      <c r="L5" s="3"/>
      <c r="M5"/>
      <c r="N5"/>
    </row>
    <row r="6" spans="1:16" s="3010" customFormat="1" ht="14.25">
      <c r="A6" s="3218"/>
      <c r="B6" s="3048">
        <v>84</v>
      </c>
      <c r="C6" s="3048">
        <v>1</v>
      </c>
      <c r="D6" s="3048">
        <v>102</v>
      </c>
      <c r="E6" s="3048">
        <v>95.3</v>
      </c>
      <c r="F6" s="3100" t="s">
        <v>3222</v>
      </c>
      <c r="G6" s="3008">
        <v>1804506</v>
      </c>
      <c r="L6" s="2947"/>
      <c r="M6"/>
      <c r="N6"/>
    </row>
    <row r="7" spans="1:16" s="3009" customFormat="1" ht="14.25">
      <c r="A7" s="3217">
        <v>3</v>
      </c>
      <c r="B7" s="3047">
        <v>84</v>
      </c>
      <c r="C7" s="3047">
        <v>2</v>
      </c>
      <c r="D7" s="3047">
        <v>101</v>
      </c>
      <c r="E7" s="3047">
        <v>167.58</v>
      </c>
      <c r="F7" s="3100" t="s">
        <v>3219</v>
      </c>
      <c r="G7" s="3008">
        <v>7387783</v>
      </c>
      <c r="H7" s="3010"/>
      <c r="L7" s="3"/>
      <c r="M7"/>
      <c r="N7"/>
    </row>
    <row r="8" spans="1:16" s="3009" customFormat="1" ht="27">
      <c r="A8" s="3217"/>
      <c r="B8" s="3047">
        <v>84</v>
      </c>
      <c r="C8" s="3047">
        <v>2</v>
      </c>
      <c r="D8" s="3047">
        <v>101</v>
      </c>
      <c r="E8" s="3047">
        <v>95.3</v>
      </c>
      <c r="F8" s="3100" t="s">
        <v>3222</v>
      </c>
      <c r="G8" s="3008">
        <v>1816418</v>
      </c>
      <c r="H8" s="3010"/>
      <c r="K8" s="3009">
        <v>87</v>
      </c>
      <c r="L8" s="2947" t="s">
        <v>4461</v>
      </c>
      <c r="M8" s="2946" t="s">
        <v>4443</v>
      </c>
      <c r="N8" s="2946">
        <v>28</v>
      </c>
      <c r="O8" s="3009">
        <f>洋房测绘!F97</f>
        <v>4299.51</v>
      </c>
      <c r="P8" s="3007">
        <f>ROUND(O8/N8,2)</f>
        <v>153.55000000000001</v>
      </c>
    </row>
    <row r="9" spans="1:16" s="3010" customFormat="1" ht="14.25">
      <c r="A9" s="3218">
        <v>4</v>
      </c>
      <c r="B9" s="3048">
        <v>84</v>
      </c>
      <c r="C9" s="3048">
        <v>2</v>
      </c>
      <c r="D9" s="3048">
        <v>102</v>
      </c>
      <c r="E9" s="3048">
        <v>167.8</v>
      </c>
      <c r="F9" s="3100" t="s">
        <v>3219</v>
      </c>
      <c r="G9" s="3008">
        <v>7397482</v>
      </c>
      <c r="L9" s="3"/>
      <c r="M9"/>
      <c r="N9"/>
    </row>
    <row r="10" spans="1:16" s="3010" customFormat="1" ht="14.25">
      <c r="A10" s="3218"/>
      <c r="B10" s="3048">
        <v>84</v>
      </c>
      <c r="C10" s="3048">
        <v>2</v>
      </c>
      <c r="D10" s="3048">
        <v>102</v>
      </c>
      <c r="E10" s="3048">
        <v>95.29</v>
      </c>
      <c r="F10" s="3100" t="s">
        <v>3222</v>
      </c>
      <c r="G10" s="3008">
        <v>1816227</v>
      </c>
      <c r="L10" s="3"/>
      <c r="M10"/>
      <c r="N10"/>
    </row>
    <row r="11" spans="1:16" s="3010" customFormat="1" ht="14.25">
      <c r="A11" s="3218">
        <v>5</v>
      </c>
      <c r="B11" s="3048">
        <v>84</v>
      </c>
      <c r="C11" s="3048">
        <v>3</v>
      </c>
      <c r="D11" s="3048">
        <v>101</v>
      </c>
      <c r="E11" s="3048">
        <v>167.58</v>
      </c>
      <c r="F11" s="3100" t="s">
        <v>3219</v>
      </c>
      <c r="G11" s="3008">
        <v>7387783</v>
      </c>
      <c r="L11" s="3"/>
      <c r="M11"/>
      <c r="N11"/>
    </row>
    <row r="12" spans="1:16" s="3010" customFormat="1" ht="27">
      <c r="A12" s="3218"/>
      <c r="B12" s="3048">
        <v>84</v>
      </c>
      <c r="C12" s="3048">
        <v>3</v>
      </c>
      <c r="D12" s="3048">
        <v>101</v>
      </c>
      <c r="E12" s="3048">
        <v>95.3</v>
      </c>
      <c r="F12" s="3100" t="s">
        <v>3222</v>
      </c>
      <c r="G12" s="3008">
        <v>1816418</v>
      </c>
      <c r="K12" s="3010">
        <v>88</v>
      </c>
      <c r="L12" s="2947" t="s">
        <v>4461</v>
      </c>
      <c r="M12" s="2946" t="s">
        <v>4456</v>
      </c>
      <c r="N12">
        <f>14+14</f>
        <v>28</v>
      </c>
      <c r="O12" s="3010">
        <f>洋房测绘!F101</f>
        <v>4316.55</v>
      </c>
      <c r="P12" s="3007">
        <f>ROUND(O12/N12,2)</f>
        <v>154.16</v>
      </c>
    </row>
    <row r="13" spans="1:16" s="3010" customFormat="1" ht="14.25">
      <c r="A13" s="3218">
        <v>6</v>
      </c>
      <c r="B13" s="3048">
        <v>84</v>
      </c>
      <c r="C13" s="3048">
        <v>3</v>
      </c>
      <c r="D13" s="3048">
        <v>102</v>
      </c>
      <c r="E13" s="3048">
        <v>193.22</v>
      </c>
      <c r="F13" s="3100" t="s">
        <v>3219</v>
      </c>
      <c r="G13" s="3008">
        <v>7883108</v>
      </c>
      <c r="L13" s="3"/>
      <c r="M13"/>
      <c r="N13"/>
    </row>
    <row r="14" spans="1:16" s="3010" customFormat="1" ht="14.25">
      <c r="A14" s="3218"/>
      <c r="B14" s="3048">
        <v>84</v>
      </c>
      <c r="C14" s="3048">
        <v>3</v>
      </c>
      <c r="D14" s="3048">
        <v>102</v>
      </c>
      <c r="E14" s="3048">
        <v>113.97</v>
      </c>
      <c r="F14" s="3100" t="s">
        <v>3222</v>
      </c>
      <c r="G14" s="3008">
        <v>2172268</v>
      </c>
      <c r="I14" s="3010">
        <f>SUM(E3:E14)</f>
        <v>1666.57</v>
      </c>
      <c r="J14" s="3010" t="s">
        <v>4425</v>
      </c>
      <c r="L14" s="3"/>
      <c r="M14"/>
      <c r="N14"/>
    </row>
    <row r="15" spans="1:16" s="3009" customFormat="1" ht="14.25">
      <c r="A15" s="3217">
        <v>7</v>
      </c>
      <c r="B15" s="3047">
        <v>86</v>
      </c>
      <c r="C15" s="3047">
        <v>1</v>
      </c>
      <c r="D15" s="3047">
        <v>101</v>
      </c>
      <c r="E15" s="3047">
        <v>191.39</v>
      </c>
      <c r="F15" s="3100" t="s">
        <v>3219</v>
      </c>
      <c r="G15" s="3008">
        <v>9111910</v>
      </c>
      <c r="H15" s="3010"/>
      <c r="L15" s="2948"/>
      <c r="M15"/>
      <c r="N15"/>
    </row>
    <row r="16" spans="1:16" s="3009" customFormat="1" ht="27">
      <c r="A16" s="3217"/>
      <c r="B16" s="3047">
        <v>86</v>
      </c>
      <c r="C16" s="3047">
        <v>1</v>
      </c>
      <c r="D16" s="3047">
        <v>101</v>
      </c>
      <c r="E16" s="3047">
        <v>115.54</v>
      </c>
      <c r="F16" s="3100" t="s">
        <v>3222</v>
      </c>
      <c r="G16" s="3008">
        <v>3055977</v>
      </c>
      <c r="H16" s="3010"/>
      <c r="K16" s="3009">
        <v>89</v>
      </c>
      <c r="L16" s="2947" t="s">
        <v>3070</v>
      </c>
      <c r="M16" s="2946" t="s">
        <v>4457</v>
      </c>
      <c r="N16">
        <f>9</f>
        <v>9</v>
      </c>
      <c r="O16">
        <f>洋房测绘!F107</f>
        <v>1413.09</v>
      </c>
      <c r="P16" s="3007">
        <f>ROUND(O16/N16,2)</f>
        <v>157.01</v>
      </c>
    </row>
    <row r="17" spans="1:16" s="3009" customFormat="1" ht="14.25">
      <c r="A17" s="3217">
        <v>8</v>
      </c>
      <c r="B17" s="3047">
        <v>86</v>
      </c>
      <c r="C17" s="3047">
        <v>1</v>
      </c>
      <c r="D17" s="3047">
        <v>102</v>
      </c>
      <c r="E17" s="3047">
        <v>167.34</v>
      </c>
      <c r="F17" s="3100" t="s">
        <v>3219</v>
      </c>
      <c r="G17" s="3008">
        <v>7547057</v>
      </c>
      <c r="H17" s="3010"/>
      <c r="L17" s="3"/>
      <c r="M17"/>
      <c r="N17"/>
      <c r="O17"/>
    </row>
    <row r="18" spans="1:16" s="3009" customFormat="1" ht="27">
      <c r="A18" s="3217"/>
      <c r="B18" s="3047">
        <v>86</v>
      </c>
      <c r="C18" s="3047">
        <v>1</v>
      </c>
      <c r="D18" s="3047">
        <v>102</v>
      </c>
      <c r="E18" s="3047">
        <v>95.16</v>
      </c>
      <c r="F18" s="3100" t="s">
        <v>3222</v>
      </c>
      <c r="G18" s="3008">
        <v>2188680</v>
      </c>
      <c r="H18" s="3010"/>
      <c r="K18" s="3009">
        <v>91</v>
      </c>
      <c r="L18" s="2947" t="s">
        <v>3075</v>
      </c>
      <c r="M18" s="2946" t="s">
        <v>4458</v>
      </c>
      <c r="N18">
        <f>12+12</f>
        <v>24</v>
      </c>
      <c r="O18">
        <f>洋房测绘!F119</f>
        <v>3705.92</v>
      </c>
      <c r="P18" s="3007">
        <f>ROUND(O18/N18,2)</f>
        <v>154.41</v>
      </c>
    </row>
    <row r="19" spans="1:16" s="3009" customFormat="1" ht="14.25">
      <c r="A19" s="3217">
        <v>9</v>
      </c>
      <c r="B19" s="3047">
        <v>86</v>
      </c>
      <c r="C19" s="3047">
        <v>3</v>
      </c>
      <c r="D19" s="3047">
        <v>101</v>
      </c>
      <c r="E19" s="3047">
        <v>167.34</v>
      </c>
      <c r="F19" s="3100" t="s">
        <v>3219</v>
      </c>
      <c r="G19" s="3008">
        <v>7547057</v>
      </c>
      <c r="H19" s="3010"/>
      <c r="L19" s="3"/>
      <c r="M19"/>
      <c r="N19">
        <f>SUM(N2:N18)</f>
        <v>173</v>
      </c>
      <c r="O19">
        <f>SUM(O2:O18)</f>
        <v>26273.370000000003</v>
      </c>
    </row>
    <row r="20" spans="1:16" s="3009" customFormat="1" ht="14.25">
      <c r="A20" s="3217"/>
      <c r="B20" s="3047">
        <v>86</v>
      </c>
      <c r="C20" s="3047">
        <v>3</v>
      </c>
      <c r="D20" s="3047">
        <v>101</v>
      </c>
      <c r="E20" s="3047">
        <v>95.16</v>
      </c>
      <c r="F20" s="3100" t="s">
        <v>3222</v>
      </c>
      <c r="G20" s="3008">
        <v>2188680</v>
      </c>
      <c r="H20" s="3010"/>
      <c r="L20" s="3"/>
      <c r="M20"/>
      <c r="N20"/>
      <c r="O20"/>
    </row>
    <row r="21" spans="1:16" s="3010" customFormat="1" ht="14.25">
      <c r="A21" s="3218">
        <v>10</v>
      </c>
      <c r="B21" s="3048">
        <v>86</v>
      </c>
      <c r="C21" s="3048">
        <v>3</v>
      </c>
      <c r="D21" s="3048">
        <v>102</v>
      </c>
      <c r="E21" s="3048">
        <v>193.04</v>
      </c>
      <c r="F21" s="3100" t="s">
        <v>3219</v>
      </c>
      <c r="G21" s="3008">
        <v>8243773</v>
      </c>
      <c r="L21" s="3"/>
      <c r="M21"/>
      <c r="N21"/>
      <c r="O21"/>
    </row>
    <row r="22" spans="1:16" s="3010" customFormat="1" ht="14.25">
      <c r="A22" s="3218"/>
      <c r="B22" s="3048">
        <v>86</v>
      </c>
      <c r="C22" s="3048">
        <v>3</v>
      </c>
      <c r="D22" s="3048">
        <v>102</v>
      </c>
      <c r="E22" s="3048">
        <v>113.54</v>
      </c>
      <c r="F22" s="3100" t="s">
        <v>3222</v>
      </c>
      <c r="G22" s="3008">
        <v>2149880</v>
      </c>
      <c r="I22" s="3010">
        <f>SUM(E15:E22)</f>
        <v>1138.51</v>
      </c>
      <c r="J22" s="3010" t="s">
        <v>4426</v>
      </c>
      <c r="L22" s="3"/>
      <c r="M22"/>
      <c r="N22"/>
      <c r="O22"/>
    </row>
    <row r="23" spans="1:16" s="3009" customFormat="1" ht="14.25">
      <c r="A23" s="3217">
        <v>11</v>
      </c>
      <c r="B23" s="3047">
        <v>87</v>
      </c>
      <c r="C23" s="3047">
        <v>1</v>
      </c>
      <c r="D23" s="3047">
        <v>101</v>
      </c>
      <c r="E23" s="3047">
        <v>190.69</v>
      </c>
      <c r="F23" s="3100" t="s">
        <v>4427</v>
      </c>
      <c r="G23" s="3008">
        <v>8143416</v>
      </c>
      <c r="H23" s="3010"/>
      <c r="L23" s="3"/>
      <c r="M23"/>
      <c r="N23"/>
      <c r="O23"/>
    </row>
    <row r="24" spans="1:16" s="3009" customFormat="1" ht="14.25">
      <c r="A24" s="3217"/>
      <c r="B24" s="3047">
        <v>87</v>
      </c>
      <c r="C24" s="3047">
        <v>1</v>
      </c>
      <c r="D24" s="3047">
        <v>101</v>
      </c>
      <c r="E24" s="3047">
        <v>115.38</v>
      </c>
      <c r="F24" s="3100" t="s">
        <v>4428</v>
      </c>
      <c r="G24" s="3008">
        <v>2184720</v>
      </c>
      <c r="H24" s="3010"/>
      <c r="L24" s="3"/>
      <c r="M24"/>
      <c r="N24"/>
      <c r="O24"/>
    </row>
    <row r="25" spans="1:16" s="3009" customFormat="1" ht="14.25">
      <c r="A25" s="3217">
        <v>12</v>
      </c>
      <c r="B25" s="3047">
        <v>87</v>
      </c>
      <c r="C25" s="3047">
        <v>1</v>
      </c>
      <c r="D25" s="3047">
        <v>102</v>
      </c>
      <c r="E25" s="3047">
        <v>167.1</v>
      </c>
      <c r="F25" s="3100" t="s">
        <v>4427</v>
      </c>
      <c r="G25" s="3008">
        <v>7136006</v>
      </c>
      <c r="H25" s="3010"/>
      <c r="L25" s="3"/>
      <c r="M25"/>
      <c r="N25"/>
      <c r="O25"/>
    </row>
    <row r="26" spans="1:16" s="3009" customFormat="1" ht="14.25">
      <c r="A26" s="3217"/>
      <c r="B26" s="3047">
        <v>87</v>
      </c>
      <c r="C26" s="3047">
        <v>1</v>
      </c>
      <c r="D26" s="3047">
        <v>102</v>
      </c>
      <c r="E26" s="3047">
        <v>94.9</v>
      </c>
      <c r="F26" s="3100" t="s">
        <v>4428</v>
      </c>
      <c r="G26" s="3008">
        <v>1796932</v>
      </c>
      <c r="H26" s="3010"/>
      <c r="I26" s="3009">
        <f>SUM(E23:E26)</f>
        <v>568.06999999999994</v>
      </c>
      <c r="J26" s="3009" t="s">
        <v>4429</v>
      </c>
      <c r="L26" s="3"/>
      <c r="M26"/>
      <c r="N26"/>
    </row>
    <row r="27" spans="1:16" s="3009" customFormat="1" ht="14.25">
      <c r="A27" s="3217">
        <v>13</v>
      </c>
      <c r="B27" s="3047">
        <v>89</v>
      </c>
      <c r="C27" s="3047">
        <v>1</v>
      </c>
      <c r="D27" s="3047">
        <v>102</v>
      </c>
      <c r="E27" s="3047">
        <v>168.68</v>
      </c>
      <c r="F27" s="3100" t="s">
        <v>4427</v>
      </c>
      <c r="G27" s="3008">
        <v>8465374</v>
      </c>
      <c r="H27" s="3010"/>
      <c r="L27" s="3"/>
      <c r="M27"/>
      <c r="N27"/>
    </row>
    <row r="28" spans="1:16" s="3009" customFormat="1" ht="14.25">
      <c r="A28" s="3217"/>
      <c r="B28" s="3047">
        <v>89</v>
      </c>
      <c r="C28" s="3047">
        <v>1</v>
      </c>
      <c r="D28" s="3047">
        <v>102</v>
      </c>
      <c r="E28" s="3047">
        <v>95.81</v>
      </c>
      <c r="F28" s="3100" t="s">
        <v>4428</v>
      </c>
      <c r="G28" s="3008">
        <v>1724580</v>
      </c>
      <c r="H28" s="3010"/>
      <c r="L28" s="3"/>
      <c r="M28"/>
      <c r="N28"/>
    </row>
    <row r="29" spans="1:16" s="3009" customFormat="1" ht="14.25">
      <c r="A29" s="3217">
        <v>14</v>
      </c>
      <c r="B29" s="3047">
        <v>89</v>
      </c>
      <c r="C29" s="3047">
        <v>2</v>
      </c>
      <c r="D29" s="3047">
        <v>101</v>
      </c>
      <c r="E29" s="3047">
        <v>168.88</v>
      </c>
      <c r="F29" s="3100" t="s">
        <v>4427</v>
      </c>
      <c r="G29" s="3008">
        <v>8475412</v>
      </c>
      <c r="H29" s="3010"/>
      <c r="L29" s="3"/>
      <c r="M29"/>
      <c r="N29"/>
    </row>
    <row r="30" spans="1:16" s="3009" customFormat="1" ht="14.25">
      <c r="A30" s="3217"/>
      <c r="B30" s="3047">
        <v>89</v>
      </c>
      <c r="C30" s="3047">
        <v>2</v>
      </c>
      <c r="D30" s="3047">
        <v>101</v>
      </c>
      <c r="E30" s="3047">
        <v>95.93</v>
      </c>
      <c r="F30" s="3100" t="s">
        <v>4428</v>
      </c>
      <c r="G30" s="3008">
        <v>1726740</v>
      </c>
      <c r="H30" s="3010"/>
      <c r="L30" s="3"/>
      <c r="M30"/>
      <c r="N30"/>
    </row>
    <row r="31" spans="1:16" s="3009" customFormat="1" ht="14.25">
      <c r="A31" s="3217">
        <v>15</v>
      </c>
      <c r="B31" s="3047">
        <v>89</v>
      </c>
      <c r="C31" s="3047">
        <v>2</v>
      </c>
      <c r="D31" s="3047">
        <v>102</v>
      </c>
      <c r="E31" s="3047">
        <v>192.65</v>
      </c>
      <c r="F31" s="3100" t="s">
        <v>4427</v>
      </c>
      <c r="G31" s="3008">
        <v>8356579</v>
      </c>
      <c r="H31" s="3010"/>
      <c r="L31" s="3"/>
      <c r="M31"/>
      <c r="N31"/>
    </row>
    <row r="32" spans="1:16" s="3009" customFormat="1" ht="14.25">
      <c r="A32" s="3217"/>
      <c r="B32" s="3047">
        <v>89</v>
      </c>
      <c r="C32" s="3047">
        <v>2</v>
      </c>
      <c r="D32" s="3047">
        <v>102</v>
      </c>
      <c r="E32" s="3047">
        <v>116.53</v>
      </c>
      <c r="F32" s="3100" t="s">
        <v>4428</v>
      </c>
      <c r="G32" s="3008">
        <v>2097540</v>
      </c>
      <c r="H32" s="3010"/>
      <c r="I32" s="3009">
        <f>SUM(E27:E32)</f>
        <v>838.4799999999999</v>
      </c>
      <c r="J32" s="3009" t="s">
        <v>4430</v>
      </c>
      <c r="L32" s="3"/>
      <c r="M32"/>
      <c r="N32"/>
    </row>
    <row r="33" spans="1:14" s="3009" customFormat="1" ht="18" customHeight="1">
      <c r="A33" s="3217">
        <v>16</v>
      </c>
      <c r="B33" s="3047">
        <v>90</v>
      </c>
      <c r="C33" s="3047">
        <v>1</v>
      </c>
      <c r="D33" s="3047">
        <v>102</v>
      </c>
      <c r="E33" s="3047">
        <v>168.68</v>
      </c>
      <c r="F33" s="3100" t="s">
        <v>4427</v>
      </c>
      <c r="G33" s="3008">
        <v>8465374</v>
      </c>
      <c r="H33" s="3010"/>
      <c r="L33" s="3"/>
      <c r="M33"/>
      <c r="N33"/>
    </row>
    <row r="34" spans="1:14" s="3009" customFormat="1" ht="19.350000000000001" customHeight="1">
      <c r="A34" s="3217"/>
      <c r="B34" s="3047">
        <v>90</v>
      </c>
      <c r="C34" s="3047">
        <v>1</v>
      </c>
      <c r="D34" s="3047">
        <v>102</v>
      </c>
      <c r="E34" s="3047">
        <v>95.82</v>
      </c>
      <c r="F34" s="3100" t="s">
        <v>4428</v>
      </c>
      <c r="G34" s="3008">
        <v>1724760</v>
      </c>
      <c r="H34" s="3010"/>
      <c r="L34" s="3"/>
      <c r="M34"/>
      <c r="N34"/>
    </row>
    <row r="35" spans="1:14" s="3009" customFormat="1" ht="19.350000000000001" customHeight="1">
      <c r="A35" s="3217">
        <v>17</v>
      </c>
      <c r="B35" s="3047">
        <v>90</v>
      </c>
      <c r="C35" s="3047">
        <v>2</v>
      </c>
      <c r="D35" s="3047">
        <v>102</v>
      </c>
      <c r="E35" s="3047">
        <v>192.66</v>
      </c>
      <c r="F35" s="3100" t="s">
        <v>4427</v>
      </c>
      <c r="G35" s="3008">
        <v>8357013</v>
      </c>
      <c r="H35" s="3010"/>
      <c r="L35" s="3"/>
      <c r="M35"/>
      <c r="N35"/>
    </row>
    <row r="36" spans="1:14" s="3009" customFormat="1" ht="19.350000000000001" customHeight="1">
      <c r="A36" s="3217"/>
      <c r="B36" s="3047">
        <v>90</v>
      </c>
      <c r="C36" s="3047">
        <v>2</v>
      </c>
      <c r="D36" s="3047">
        <v>102</v>
      </c>
      <c r="E36" s="3047">
        <v>116.53</v>
      </c>
      <c r="F36" s="3100" t="s">
        <v>4428</v>
      </c>
      <c r="G36" s="3008">
        <v>2097540</v>
      </c>
      <c r="H36" s="3010"/>
      <c r="I36" s="3009">
        <f>SUM(E33:E36)+I63</f>
        <v>2334.4</v>
      </c>
      <c r="K36" s="3009">
        <f>I36+2518.96</f>
        <v>4853.3600000000006</v>
      </c>
      <c r="L36" s="3"/>
      <c r="M36"/>
      <c r="N36"/>
    </row>
    <row r="37" spans="1:14" s="3009" customFormat="1" ht="19.350000000000001" customHeight="1">
      <c r="A37" s="3217">
        <v>18</v>
      </c>
      <c r="B37" s="3047">
        <v>91</v>
      </c>
      <c r="C37" s="3047">
        <v>1</v>
      </c>
      <c r="D37" s="3047">
        <v>101</v>
      </c>
      <c r="E37" s="3047">
        <v>192.59</v>
      </c>
      <c r="F37" s="3100" t="s">
        <v>3193</v>
      </c>
      <c r="G37" s="3008">
        <v>9209076</v>
      </c>
      <c r="H37" s="3010"/>
      <c r="L37" s="3"/>
      <c r="M37"/>
      <c r="N37"/>
    </row>
    <row r="38" spans="1:14" s="3009" customFormat="1" ht="19.350000000000001" customHeight="1">
      <c r="A38" s="3217"/>
      <c r="B38" s="3047">
        <v>91</v>
      </c>
      <c r="C38" s="3047">
        <v>1</v>
      </c>
      <c r="D38" s="3047">
        <v>101</v>
      </c>
      <c r="E38" s="3047">
        <v>116.47</v>
      </c>
      <c r="F38" s="3100" t="s">
        <v>4431</v>
      </c>
      <c r="G38" s="3008">
        <v>2096460</v>
      </c>
      <c r="H38" s="3010"/>
      <c r="L38" s="3"/>
      <c r="M38"/>
      <c r="N38"/>
    </row>
    <row r="39" spans="1:14" s="3009" customFormat="1" ht="19.350000000000001" customHeight="1">
      <c r="A39" s="3217">
        <v>19</v>
      </c>
      <c r="B39" s="3047">
        <v>91</v>
      </c>
      <c r="C39" s="3047">
        <v>1</v>
      </c>
      <c r="D39" s="3047">
        <v>102</v>
      </c>
      <c r="E39" s="3047">
        <v>168.69</v>
      </c>
      <c r="F39" s="3100" t="s">
        <v>3193</v>
      </c>
      <c r="G39" s="3008">
        <v>8465876</v>
      </c>
      <c r="H39" s="3010"/>
      <c r="L39" s="3"/>
      <c r="M39"/>
      <c r="N39"/>
    </row>
    <row r="40" spans="1:14" s="3009" customFormat="1" ht="19.350000000000001" customHeight="1">
      <c r="A40" s="3217"/>
      <c r="B40" s="3047">
        <v>91</v>
      </c>
      <c r="C40" s="3047">
        <v>1</v>
      </c>
      <c r="D40" s="3047">
        <v>102</v>
      </c>
      <c r="E40" s="3047">
        <v>95.83</v>
      </c>
      <c r="F40" s="3100" t="s">
        <v>4431</v>
      </c>
      <c r="G40" s="3008">
        <v>1724940</v>
      </c>
      <c r="H40" s="3010"/>
      <c r="L40" s="3"/>
      <c r="M40"/>
      <c r="N40"/>
    </row>
    <row r="41" spans="1:14" s="3009" customFormat="1" ht="19.350000000000001" customHeight="1">
      <c r="A41" s="3217">
        <v>20</v>
      </c>
      <c r="B41" s="3047">
        <v>91</v>
      </c>
      <c r="C41" s="3047">
        <v>2</v>
      </c>
      <c r="D41" s="3047">
        <v>101</v>
      </c>
      <c r="E41" s="3047">
        <v>168.9</v>
      </c>
      <c r="F41" s="3100" t="s">
        <v>3193</v>
      </c>
      <c r="G41" s="3008">
        <v>8476415</v>
      </c>
      <c r="H41" s="3010"/>
      <c r="L41" s="3"/>
      <c r="M41"/>
      <c r="N41"/>
    </row>
    <row r="42" spans="1:14" s="3009" customFormat="1" ht="19.350000000000001" customHeight="1">
      <c r="A42" s="3217"/>
      <c r="B42" s="3047">
        <v>91</v>
      </c>
      <c r="C42" s="3047">
        <v>2</v>
      </c>
      <c r="D42" s="3047">
        <v>101</v>
      </c>
      <c r="E42" s="3047">
        <v>95.94</v>
      </c>
      <c r="F42" s="3100" t="s">
        <v>4431</v>
      </c>
      <c r="G42" s="3008">
        <v>1726920</v>
      </c>
      <c r="H42" s="3010"/>
      <c r="L42" s="3"/>
      <c r="M42"/>
      <c r="N42"/>
    </row>
    <row r="43" spans="1:14" s="3009" customFormat="1" ht="19.350000000000001" customHeight="1">
      <c r="A43" s="3217">
        <v>21</v>
      </c>
      <c r="B43" s="3047">
        <v>91</v>
      </c>
      <c r="C43" s="3047">
        <v>2</v>
      </c>
      <c r="D43" s="3047">
        <v>102</v>
      </c>
      <c r="E43" s="3047">
        <v>192.67</v>
      </c>
      <c r="F43" s="3100" t="s">
        <v>3193</v>
      </c>
      <c r="G43" s="3008">
        <v>8357447</v>
      </c>
      <c r="H43" s="3010"/>
      <c r="L43" s="3"/>
      <c r="M43"/>
      <c r="N43"/>
    </row>
    <row r="44" spans="1:14" s="3009" customFormat="1" ht="19.350000000000001" customHeight="1">
      <c r="A44" s="3217"/>
      <c r="B44" s="3047">
        <v>91</v>
      </c>
      <c r="C44" s="3047">
        <v>2</v>
      </c>
      <c r="D44" s="3047">
        <v>102</v>
      </c>
      <c r="E44" s="3047">
        <v>116.53</v>
      </c>
      <c r="F44" s="3100" t="s">
        <v>4431</v>
      </c>
      <c r="G44" s="3008">
        <v>2097540</v>
      </c>
      <c r="H44" s="3010"/>
      <c r="I44" s="3009">
        <f>SUM(E37:E44)</f>
        <v>1147.6200000000001</v>
      </c>
      <c r="L44" s="3"/>
      <c r="M44"/>
      <c r="N44"/>
    </row>
    <row r="45" spans="1:14" s="3009" customFormat="1" ht="19.350000000000001" customHeight="1">
      <c r="A45" s="3047">
        <v>22</v>
      </c>
      <c r="B45" s="3047">
        <v>89</v>
      </c>
      <c r="C45" s="3047">
        <v>1</v>
      </c>
      <c r="D45" s="3047">
        <v>301</v>
      </c>
      <c r="E45" s="3047">
        <v>166.57</v>
      </c>
      <c r="F45" s="3099" t="s">
        <v>3193</v>
      </c>
      <c r="G45" s="3008">
        <v>7949376</v>
      </c>
      <c r="L45" s="3"/>
      <c r="M45"/>
      <c r="N45"/>
    </row>
    <row r="46" spans="1:14" s="3009" customFormat="1" ht="19.350000000000001" customHeight="1">
      <c r="A46" s="3047">
        <v>23</v>
      </c>
      <c r="B46" s="3047">
        <v>89</v>
      </c>
      <c r="C46" s="3047">
        <v>1</v>
      </c>
      <c r="D46" s="3047">
        <v>401</v>
      </c>
      <c r="E46" s="3047">
        <v>166.57</v>
      </c>
      <c r="F46" s="3099" t="s">
        <v>3193</v>
      </c>
      <c r="G46" s="3008">
        <v>7857940</v>
      </c>
      <c r="L46" s="3"/>
      <c r="M46"/>
      <c r="N46"/>
    </row>
    <row r="47" spans="1:14" s="3009" customFormat="1" ht="18.75" customHeight="1">
      <c r="A47" s="3047">
        <v>24</v>
      </c>
      <c r="B47" s="3047">
        <v>89</v>
      </c>
      <c r="C47" s="3047">
        <v>1</v>
      </c>
      <c r="D47" s="3047">
        <v>501</v>
      </c>
      <c r="E47" s="3047">
        <v>166.57</v>
      </c>
      <c r="F47" s="3099" t="s">
        <v>3193</v>
      </c>
      <c r="G47" s="3008">
        <v>8049304</v>
      </c>
      <c r="L47" s="3"/>
      <c r="M47"/>
      <c r="N47"/>
    </row>
    <row r="48" spans="1:14" s="3009" customFormat="1" ht="19.350000000000001" customHeight="1">
      <c r="A48" s="3047">
        <v>25</v>
      </c>
      <c r="B48" s="3047">
        <v>89</v>
      </c>
      <c r="C48" s="3047">
        <v>1</v>
      </c>
      <c r="D48" s="3047">
        <v>502</v>
      </c>
      <c r="E48" s="3047">
        <v>143.72999999999999</v>
      </c>
      <c r="F48" s="3099" t="s">
        <v>3193</v>
      </c>
      <c r="G48" s="3008">
        <v>7099379</v>
      </c>
      <c r="L48" s="3"/>
      <c r="M48"/>
      <c r="N48"/>
    </row>
    <row r="49" spans="1:14" s="3009" customFormat="1" ht="19.350000000000001" customHeight="1">
      <c r="A49" s="3047">
        <v>26</v>
      </c>
      <c r="B49" s="3047">
        <v>89</v>
      </c>
      <c r="C49" s="3047">
        <v>2</v>
      </c>
      <c r="D49" s="3047">
        <v>301</v>
      </c>
      <c r="E49" s="3047">
        <v>143.72999999999999</v>
      </c>
      <c r="F49" s="3099" t="s">
        <v>3193</v>
      </c>
      <c r="G49" s="3008">
        <v>7085345</v>
      </c>
      <c r="L49" s="3"/>
      <c r="M49"/>
      <c r="N49"/>
    </row>
    <row r="50" spans="1:14" s="3009" customFormat="1" ht="19.350000000000001" customHeight="1">
      <c r="A50" s="3047">
        <v>27</v>
      </c>
      <c r="B50" s="3047">
        <v>89</v>
      </c>
      <c r="C50" s="3047">
        <v>2</v>
      </c>
      <c r="D50" s="3047">
        <v>302</v>
      </c>
      <c r="E50" s="3047">
        <v>166.57</v>
      </c>
      <c r="F50" s="3099" t="s">
        <v>3193</v>
      </c>
      <c r="G50" s="3008">
        <v>7210815</v>
      </c>
      <c r="L50" s="3"/>
      <c r="M50"/>
      <c r="N50"/>
    </row>
    <row r="51" spans="1:14" s="3009" customFormat="1" ht="19.350000000000001" customHeight="1">
      <c r="A51" s="3047">
        <v>28</v>
      </c>
      <c r="B51" s="3047">
        <v>89</v>
      </c>
      <c r="C51" s="3047">
        <v>2</v>
      </c>
      <c r="D51" s="3047">
        <v>402</v>
      </c>
      <c r="E51" s="3047">
        <v>166.57</v>
      </c>
      <c r="F51" s="3099" t="s">
        <v>3193</v>
      </c>
      <c r="G51" s="3008">
        <v>7687309</v>
      </c>
      <c r="L51" s="3"/>
      <c r="M51"/>
      <c r="N51"/>
    </row>
    <row r="52" spans="1:14" s="3009" customFormat="1" ht="19.350000000000001" customHeight="1">
      <c r="A52" s="3047">
        <v>29</v>
      </c>
      <c r="B52" s="3047">
        <v>89</v>
      </c>
      <c r="C52" s="3047">
        <v>2</v>
      </c>
      <c r="D52" s="3047">
        <v>501</v>
      </c>
      <c r="E52" s="3047">
        <v>143.72999999999999</v>
      </c>
      <c r="F52" s="3099" t="s">
        <v>3193</v>
      </c>
      <c r="G52" s="3008">
        <v>7107957</v>
      </c>
      <c r="I52" s="3009">
        <f>SUM(E45:E52)</f>
        <v>1264.04</v>
      </c>
      <c r="L52" s="3"/>
      <c r="M52"/>
      <c r="N52"/>
    </row>
    <row r="53" spans="1:14" s="3009" customFormat="1" ht="19.350000000000001" customHeight="1">
      <c r="A53" s="3047">
        <v>30</v>
      </c>
      <c r="B53" s="3047">
        <v>90</v>
      </c>
      <c r="C53" s="3047">
        <v>1</v>
      </c>
      <c r="D53" s="3047">
        <v>401</v>
      </c>
      <c r="E53" s="3047">
        <v>166.58</v>
      </c>
      <c r="F53" s="3099" t="s">
        <v>3193</v>
      </c>
      <c r="G53" s="3008">
        <v>7858412</v>
      </c>
      <c r="L53" s="3"/>
      <c r="M53"/>
      <c r="N53"/>
    </row>
    <row r="54" spans="1:14" s="3009" customFormat="1" ht="19.350000000000001" customHeight="1">
      <c r="A54" s="3047">
        <v>31</v>
      </c>
      <c r="B54" s="3047">
        <v>90</v>
      </c>
      <c r="C54" s="3047">
        <v>1</v>
      </c>
      <c r="D54" s="3047">
        <v>701</v>
      </c>
      <c r="E54" s="3047">
        <v>169.24</v>
      </c>
      <c r="F54" s="3099" t="s">
        <v>3193</v>
      </c>
      <c r="G54" s="3008">
        <v>7695148</v>
      </c>
      <c r="L54" s="3"/>
      <c r="M54"/>
      <c r="N54"/>
    </row>
    <row r="55" spans="1:14" s="3009" customFormat="1" ht="19.350000000000001" customHeight="1">
      <c r="A55" s="3047">
        <v>32</v>
      </c>
      <c r="B55" s="3047">
        <v>90</v>
      </c>
      <c r="C55" s="3047">
        <v>2</v>
      </c>
      <c r="D55" s="3047">
        <v>402</v>
      </c>
      <c r="E55" s="3047">
        <v>166.58</v>
      </c>
      <c r="F55" s="3099" t="s">
        <v>3193</v>
      </c>
      <c r="G55" s="3008">
        <v>7687770</v>
      </c>
      <c r="L55" s="3"/>
      <c r="M55"/>
      <c r="N55"/>
    </row>
    <row r="56" spans="1:14" s="3009" customFormat="1" ht="19.350000000000001" customHeight="1">
      <c r="A56" s="3047">
        <v>33</v>
      </c>
      <c r="B56" s="3047">
        <v>90</v>
      </c>
      <c r="C56" s="3047">
        <v>2</v>
      </c>
      <c r="D56" s="3047">
        <v>502</v>
      </c>
      <c r="E56" s="3047">
        <v>166.58</v>
      </c>
      <c r="F56" s="3099" t="s">
        <v>3193</v>
      </c>
      <c r="G56" s="3008">
        <v>7862492</v>
      </c>
      <c r="L56" s="3"/>
      <c r="M56"/>
      <c r="N56"/>
    </row>
    <row r="57" spans="1:14" s="3009" customFormat="1" ht="19.350000000000001" customHeight="1">
      <c r="A57" s="3047">
        <v>34</v>
      </c>
      <c r="B57" s="3047">
        <v>90</v>
      </c>
      <c r="C57" s="3047">
        <v>2</v>
      </c>
      <c r="D57" s="3047">
        <v>602</v>
      </c>
      <c r="E57" s="3047">
        <v>166.58</v>
      </c>
      <c r="F57" s="3099" t="s">
        <v>3193</v>
      </c>
      <c r="G57" s="3008">
        <v>7765960</v>
      </c>
      <c r="L57" s="3"/>
      <c r="M57"/>
      <c r="N57"/>
    </row>
    <row r="58" spans="1:14" s="3009" customFormat="1" ht="19.350000000000001" customHeight="1">
      <c r="A58" s="3047">
        <v>35</v>
      </c>
      <c r="B58" s="3047">
        <v>90</v>
      </c>
      <c r="C58" s="3047">
        <v>1</v>
      </c>
      <c r="D58" s="3047">
        <v>201</v>
      </c>
      <c r="E58" s="3047">
        <v>160.77000000000001</v>
      </c>
      <c r="F58" s="3099" t="s">
        <v>3193</v>
      </c>
      <c r="G58" s="3008">
        <v>8769561</v>
      </c>
      <c r="L58" s="3"/>
      <c r="M58"/>
      <c r="N58"/>
    </row>
    <row r="59" spans="1:14" s="3009" customFormat="1" ht="19.350000000000001" customHeight="1">
      <c r="A59" s="3047">
        <v>36</v>
      </c>
      <c r="B59" s="3047">
        <v>90</v>
      </c>
      <c r="C59" s="3047">
        <v>1</v>
      </c>
      <c r="D59" s="3047">
        <v>302</v>
      </c>
      <c r="E59" s="3047">
        <v>143.74</v>
      </c>
      <c r="F59" s="3099" t="s">
        <v>3193</v>
      </c>
      <c r="G59" s="3008">
        <v>7008125</v>
      </c>
      <c r="L59" s="3"/>
      <c r="M59"/>
      <c r="N59"/>
    </row>
    <row r="60" spans="1:14" s="3009" customFormat="1" ht="19.350000000000001" customHeight="1">
      <c r="A60" s="3047">
        <v>37</v>
      </c>
      <c r="B60" s="3047">
        <v>90</v>
      </c>
      <c r="C60" s="3047">
        <v>1</v>
      </c>
      <c r="D60" s="3047">
        <v>501</v>
      </c>
      <c r="E60" s="3047">
        <v>166.58</v>
      </c>
      <c r="F60" s="3099" t="s">
        <v>3193</v>
      </c>
      <c r="G60" s="3008">
        <v>9085355</v>
      </c>
      <c r="L60" s="3"/>
      <c r="M60"/>
      <c r="N60"/>
    </row>
    <row r="61" spans="1:14" s="3009" customFormat="1" ht="19.350000000000001" customHeight="1">
      <c r="A61" s="3047">
        <v>38</v>
      </c>
      <c r="B61" s="3047">
        <v>90</v>
      </c>
      <c r="C61" s="3047">
        <v>1</v>
      </c>
      <c r="D61" s="3047">
        <v>502</v>
      </c>
      <c r="E61" s="3047">
        <v>143.74</v>
      </c>
      <c r="F61" s="3099" t="s">
        <v>3193</v>
      </c>
      <c r="G61" s="3008">
        <v>6935075</v>
      </c>
      <c r="L61" s="3"/>
      <c r="M61"/>
      <c r="N61"/>
    </row>
    <row r="62" spans="1:14" s="3009" customFormat="1" ht="19.350000000000001" customHeight="1">
      <c r="A62" s="3047">
        <v>39</v>
      </c>
      <c r="B62" s="3047">
        <v>90</v>
      </c>
      <c r="C62" s="3047">
        <v>2</v>
      </c>
      <c r="D62" s="3047">
        <v>302</v>
      </c>
      <c r="E62" s="3047">
        <v>166.58</v>
      </c>
      <c r="F62" s="3099" t="s">
        <v>3193</v>
      </c>
      <c r="G62" s="3008">
        <v>8811919</v>
      </c>
      <c r="L62" s="3"/>
      <c r="M62"/>
      <c r="N62"/>
    </row>
    <row r="63" spans="1:14" s="3009" customFormat="1" ht="19.350000000000001" customHeight="1">
      <c r="A63" s="3047">
        <v>40</v>
      </c>
      <c r="B63" s="3047">
        <v>90</v>
      </c>
      <c r="C63" s="3047">
        <v>2</v>
      </c>
      <c r="D63" s="3047">
        <v>601</v>
      </c>
      <c r="E63" s="3047">
        <v>143.74</v>
      </c>
      <c r="F63" s="3099" t="s">
        <v>3193</v>
      </c>
      <c r="G63" s="3008">
        <v>7085838</v>
      </c>
      <c r="I63" s="3009">
        <f>SUM(E53:E63)</f>
        <v>1760.71</v>
      </c>
      <c r="L63" s="3"/>
      <c r="M63"/>
      <c r="N63"/>
    </row>
    <row r="64" spans="1:14">
      <c r="A64" s="3219" t="s">
        <v>4734</v>
      </c>
      <c r="B64" s="3219"/>
      <c r="C64" s="3219"/>
      <c r="D64" s="3219"/>
      <c r="E64" s="3046">
        <f>SUM(E3:E63)</f>
        <v>8957.6899999999951</v>
      </c>
      <c r="F64" s="3046" t="s">
        <v>4735</v>
      </c>
      <c r="G64" s="3007">
        <f>SUM(G3:G63)</f>
        <v>357956581</v>
      </c>
      <c r="L64" s="3"/>
      <c r="M64"/>
      <c r="N64"/>
    </row>
    <row r="65" spans="1:16" ht="30" customHeight="1">
      <c r="A65" s="3219" t="s">
        <v>4460</v>
      </c>
      <c r="B65" s="3219"/>
      <c r="C65" s="3219"/>
      <c r="D65" s="3219"/>
      <c r="E65" s="3046">
        <f>洋房测绘!F120</f>
        <v>26273.370000000003</v>
      </c>
      <c r="F65" s="3046" t="s">
        <v>4729</v>
      </c>
      <c r="G65" s="3007">
        <f>'数据-汇总表'!F20+'数据-汇总表'!G26-洋房清单!E64</f>
        <v>868.66000000000349</v>
      </c>
      <c r="I65" s="3003" t="s">
        <v>4415</v>
      </c>
      <c r="J65" s="3003" t="s">
        <v>4416</v>
      </c>
      <c r="K65" s="1313" t="s">
        <v>4417</v>
      </c>
      <c r="L65" s="3"/>
      <c r="M65" s="1313" t="s">
        <v>4537</v>
      </c>
      <c r="N65" s="1313" t="s">
        <v>4540</v>
      </c>
      <c r="O65" s="1313" t="s">
        <v>4538</v>
      </c>
      <c r="P65" s="1313" t="s">
        <v>4539</v>
      </c>
    </row>
    <row r="66" spans="1:16" ht="31.5" customHeight="1">
      <c r="A66" s="3219" t="s">
        <v>4453</v>
      </c>
      <c r="B66" s="3219"/>
      <c r="C66" s="3219"/>
      <c r="D66" s="3219"/>
      <c r="E66" s="3046">
        <f>J68</f>
        <v>4204.4699999999993</v>
      </c>
      <c r="F66" s="3046" t="s">
        <v>4730</v>
      </c>
      <c r="I66" s="3018" t="s">
        <v>4432</v>
      </c>
      <c r="J66" s="3018">
        <v>6771.65</v>
      </c>
      <c r="K66" s="3018">
        <v>40</v>
      </c>
      <c r="L66" s="3"/>
      <c r="M66" s="1313">
        <f>J66</f>
        <v>6771.65</v>
      </c>
      <c r="N66" s="1313">
        <f>315755993/10000</f>
        <v>31575.599300000002</v>
      </c>
      <c r="O66" s="1313">
        <v>40</v>
      </c>
      <c r="P66" s="1313">
        <f>ROUND(N66/M66*10000,0)</f>
        <v>46629</v>
      </c>
    </row>
    <row r="67" spans="1:16" ht="33" customHeight="1">
      <c r="A67" s="3219" t="s">
        <v>4451</v>
      </c>
      <c r="B67" s="3219"/>
      <c r="C67" s="3219"/>
      <c r="D67" s="3219"/>
      <c r="E67" s="3046">
        <f>规证!C110</f>
        <v>8835.02</v>
      </c>
      <c r="F67" s="3046" t="s">
        <v>4731</v>
      </c>
      <c r="I67" s="3018" t="s">
        <v>4727</v>
      </c>
      <c r="J67" s="3018">
        <v>2186.04</v>
      </c>
      <c r="K67" s="3018">
        <v>21</v>
      </c>
      <c r="L67" s="3"/>
      <c r="M67" s="1313">
        <f>J67</f>
        <v>2186.04</v>
      </c>
      <c r="N67" s="1313">
        <f>42200588/10000</f>
        <v>4220.0587999999998</v>
      </c>
      <c r="O67" s="1313">
        <v>21</v>
      </c>
      <c r="P67" s="1313">
        <f t="shared" ref="P67" si="0">ROUND(N67/M67*10000,0)</f>
        <v>19305</v>
      </c>
    </row>
    <row r="68" spans="1:16" ht="33">
      <c r="A68" s="3219" t="s">
        <v>4728</v>
      </c>
      <c r="B68" s="3219"/>
      <c r="C68" s="3219"/>
      <c r="D68" s="3219"/>
      <c r="E68" s="3046">
        <f>'数据-汇总表'!E22</f>
        <v>645.96</v>
      </c>
      <c r="F68" s="3046" t="s">
        <v>4732</v>
      </c>
      <c r="I68" s="3018" t="s">
        <v>4446</v>
      </c>
      <c r="J68" s="3018">
        <f>洋房测绘!H120</f>
        <v>4204.4699999999993</v>
      </c>
      <c r="K68" s="3018">
        <v>209</v>
      </c>
      <c r="L68" s="3"/>
      <c r="M68" s="1313">
        <f>J68</f>
        <v>4204.4699999999993</v>
      </c>
      <c r="N68" s="1313"/>
      <c r="O68" s="1313"/>
      <c r="P68" s="1313"/>
    </row>
    <row r="69" spans="1:16">
      <c r="A69" s="3219" t="s">
        <v>4733</v>
      </c>
      <c r="B69" s="3219"/>
      <c r="C69" s="3219"/>
      <c r="D69" s="3219"/>
      <c r="E69" s="3046">
        <f>SUM(E64:E68)</f>
        <v>48916.51</v>
      </c>
      <c r="F69" s="3046" t="s">
        <v>4736</v>
      </c>
      <c r="G69" s="3007">
        <f>E69+合院清单!C1195-'数据-汇总表'!E27</f>
        <v>228.23999999929219</v>
      </c>
      <c r="J69" s="3007">
        <f>SUM(J66:J68)</f>
        <v>13162.159999999998</v>
      </c>
      <c r="L69" s="3"/>
      <c r="M69" s="1313">
        <f>SUBTOTAL(9,M66:M68)</f>
        <v>13162.159999999998</v>
      </c>
      <c r="N69" s="1313">
        <f>SUBTOTAL(9,N66:N68)</f>
        <v>35795.658100000001</v>
      </c>
      <c r="O69" s="1313" t="s">
        <v>4541</v>
      </c>
      <c r="P69" s="1313" t="s">
        <v>4541</v>
      </c>
    </row>
    <row r="70" spans="1:16">
      <c r="L70" s="3"/>
      <c r="M70"/>
      <c r="N70"/>
    </row>
    <row r="71" spans="1:16">
      <c r="H71" s="3007">
        <f>173+40</f>
        <v>213</v>
      </c>
      <c r="J71" s="3007">
        <f>假设开发法!D7</f>
        <v>7640.3099999999995</v>
      </c>
      <c r="L71" s="3"/>
      <c r="M71"/>
      <c r="N71"/>
    </row>
    <row r="72" spans="1:16">
      <c r="E72" s="3011">
        <f>合院清单!C1204+洋房清单!E64+E66+洋房清单!E65+洋房清单!E67+洋房测绘!I120+洋房测绘!J120+洋房测绘!K120+洋房测绘!L120+洋房测绘!M120+规证!F117</f>
        <v>149246.94999999998</v>
      </c>
      <c r="J72" s="3007">
        <f>假设开发法!J7</f>
        <v>2186.04</v>
      </c>
      <c r="L72" s="3"/>
      <c r="M72"/>
      <c r="N72"/>
    </row>
    <row r="73" spans="1:16">
      <c r="E73" s="3011">
        <f>'数据-汇总表'!E3-洋房清单!E72</f>
        <v>0</v>
      </c>
      <c r="J73" s="3007">
        <f>假设开发法!H7</f>
        <v>5827.19</v>
      </c>
      <c r="L73" s="3"/>
      <c r="M73"/>
      <c r="N73"/>
    </row>
    <row r="74" spans="1:16">
      <c r="H74" s="3007">
        <f>J74-E64-E66-E67</f>
        <v>-6343.6399999999976</v>
      </c>
      <c r="J74" s="3007">
        <f>SUM(J71:J73)</f>
        <v>15653.539999999997</v>
      </c>
      <c r="L74" s="3"/>
      <c r="M74"/>
      <c r="N74"/>
    </row>
    <row r="75" spans="1:16">
      <c r="L75" s="3"/>
      <c r="M75"/>
      <c r="N75"/>
    </row>
    <row r="76" spans="1:16">
      <c r="L76" s="3"/>
      <c r="M76"/>
      <c r="N76"/>
    </row>
    <row r="77" spans="1:16">
      <c r="I77" s="3007">
        <f>8.25+(697125-10000)*0.01%</f>
        <v>76.962500000000006</v>
      </c>
      <c r="L77" s="3"/>
      <c r="M77"/>
      <c r="N77"/>
    </row>
    <row r="78" spans="1:16">
      <c r="L78" s="3"/>
      <c r="M78"/>
      <c r="N78"/>
    </row>
    <row r="79" spans="1:16">
      <c r="L79" s="3"/>
      <c r="M79"/>
      <c r="N79"/>
    </row>
    <row r="80" spans="1:16">
      <c r="L80" s="3"/>
      <c r="M80"/>
      <c r="N80"/>
    </row>
    <row r="81" spans="12:14">
      <c r="L81" s="3"/>
      <c r="M81"/>
      <c r="N81"/>
    </row>
    <row r="82" spans="12:14">
      <c r="L82" s="3"/>
      <c r="M82"/>
      <c r="N82"/>
    </row>
    <row r="83" spans="12:14">
      <c r="L83" s="3"/>
      <c r="M83"/>
      <c r="N83"/>
    </row>
    <row r="84" spans="12:14">
      <c r="L84" s="3"/>
      <c r="M84"/>
      <c r="N84"/>
    </row>
    <row r="85" spans="12:14">
      <c r="L85" s="2948"/>
      <c r="M85" s="2940"/>
      <c r="N85" s="2940"/>
    </row>
    <row r="86" spans="12:14">
      <c r="M86"/>
      <c r="N86"/>
    </row>
    <row r="87" spans="12:14">
      <c r="L87" s="3"/>
      <c r="M87"/>
      <c r="N87"/>
    </row>
    <row r="88" spans="12:14">
      <c r="L88" s="3"/>
      <c r="M88"/>
      <c r="N88"/>
    </row>
    <row r="89" spans="12:14">
      <c r="L89" s="3"/>
      <c r="M89"/>
      <c r="N89"/>
    </row>
    <row r="90" spans="12:14">
      <c r="L90" s="3"/>
      <c r="M90"/>
      <c r="N90"/>
    </row>
    <row r="91" spans="12:14">
      <c r="L91" s="3"/>
      <c r="M91"/>
      <c r="N91"/>
    </row>
    <row r="92" spans="12:14">
      <c r="L92" s="3"/>
      <c r="M92"/>
      <c r="N92"/>
    </row>
    <row r="93" spans="12:14">
      <c r="L93" s="2948"/>
      <c r="M93" s="2940"/>
      <c r="N93" s="2940"/>
    </row>
    <row r="94" spans="12:14">
      <c r="M94"/>
      <c r="N94"/>
    </row>
    <row r="95" spans="12:14">
      <c r="L95" s="3"/>
      <c r="M95"/>
      <c r="N95"/>
    </row>
    <row r="96" spans="12:14">
      <c r="L96" s="3"/>
      <c r="M96"/>
      <c r="N96"/>
    </row>
    <row r="97" spans="12:14">
      <c r="L97" s="2948"/>
      <c r="M97" s="2940"/>
      <c r="N97" s="2940"/>
    </row>
    <row r="98" spans="12:14">
      <c r="M98"/>
      <c r="N98"/>
    </row>
    <row r="99" spans="12:14">
      <c r="M99"/>
      <c r="N99"/>
    </row>
    <row r="100" spans="12:14">
      <c r="M100"/>
      <c r="N100"/>
    </row>
    <row r="101" spans="12:14">
      <c r="M101" s="2940"/>
      <c r="N101" s="2940"/>
    </row>
    <row r="103" spans="12:14">
      <c r="L103" s="3"/>
    </row>
    <row r="104" spans="12:14">
      <c r="L104" s="3"/>
    </row>
    <row r="105" spans="12:14">
      <c r="L105" s="3"/>
    </row>
    <row r="106" spans="12:14">
      <c r="L106" s="3"/>
    </row>
    <row r="107" spans="12:14">
      <c r="L107" s="2948"/>
    </row>
    <row r="108" spans="12:14">
      <c r="L108" s="3"/>
    </row>
    <row r="109" spans="12:14">
      <c r="L109" s="3"/>
    </row>
    <row r="110" spans="12:14">
      <c r="L110" s="3"/>
    </row>
    <row r="111" spans="12:14">
      <c r="L111" s="3"/>
    </row>
    <row r="112" spans="12:14">
      <c r="L112" s="3"/>
      <c r="M112"/>
      <c r="N112"/>
    </row>
    <row r="113" spans="12:14">
      <c r="L113" s="2948"/>
      <c r="M113" s="2940"/>
      <c r="N113" s="2940"/>
    </row>
    <row r="114" spans="12:14">
      <c r="L114" s="2947"/>
      <c r="M114"/>
      <c r="N114"/>
    </row>
    <row r="115" spans="12:14">
      <c r="L115" s="3"/>
      <c r="M115"/>
      <c r="N115"/>
    </row>
    <row r="116" spans="12:14">
      <c r="L116" s="3"/>
      <c r="M116"/>
      <c r="N116"/>
    </row>
    <row r="117" spans="12:14">
      <c r="L117" s="3"/>
      <c r="M117"/>
      <c r="N117"/>
    </row>
    <row r="118" spans="12:14">
      <c r="L118" s="3"/>
      <c r="M118"/>
      <c r="N118"/>
    </row>
    <row r="119" spans="12:14">
      <c r="L119" s="2948"/>
      <c r="M119" s="2940"/>
      <c r="N119" s="2940"/>
    </row>
  </sheetData>
  <autoFilter ref="A1:P67"/>
  <mergeCells count="32">
    <mergeCell ref="A1:A2"/>
    <mergeCell ref="B1:B2"/>
    <mergeCell ref="A68:D68"/>
    <mergeCell ref="A69:D69"/>
    <mergeCell ref="A67:D67"/>
    <mergeCell ref="A29:A30"/>
    <mergeCell ref="A31:A32"/>
    <mergeCell ref="A33:A34"/>
    <mergeCell ref="A35:A36"/>
    <mergeCell ref="A37:A38"/>
    <mergeCell ref="A39:A40"/>
    <mergeCell ref="A41:A42"/>
    <mergeCell ref="A43:A44"/>
    <mergeCell ref="A64:D64"/>
    <mergeCell ref="A65:D65"/>
    <mergeCell ref="A66:D66"/>
    <mergeCell ref="C1:C2"/>
    <mergeCell ref="D1:D2"/>
    <mergeCell ref="E1:E2"/>
    <mergeCell ref="A27:A28"/>
    <mergeCell ref="A5:A6"/>
    <mergeCell ref="A7:A8"/>
    <mergeCell ref="A9:A10"/>
    <mergeCell ref="A11:A12"/>
    <mergeCell ref="A13:A14"/>
    <mergeCell ref="A15:A16"/>
    <mergeCell ref="A17:A18"/>
    <mergeCell ref="A19:A20"/>
    <mergeCell ref="A21:A22"/>
    <mergeCell ref="A23:A24"/>
    <mergeCell ref="A25:A26"/>
    <mergeCell ref="A3:A4"/>
  </mergeCells>
  <phoneticPr fontId="14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topLeftCell="A10" zoomScale="90" zoomScaleNormal="100" zoomScaleSheetLayoutView="90" workbookViewId="0">
      <selection activeCell="E27" sqref="E27"/>
    </sheetView>
  </sheetViews>
  <sheetFormatPr defaultColWidth="9.25" defaultRowHeight="14.25"/>
  <cols>
    <col min="1" max="1" width="12.125" style="2211" customWidth="1"/>
    <col min="2" max="2" width="10.25" style="2211" customWidth="1"/>
    <col min="3" max="3" width="18.5" style="2211" customWidth="1"/>
    <col min="4" max="4" width="11.625" style="2211" customWidth="1"/>
    <col min="5" max="5" width="13.375" style="2211" customWidth="1"/>
    <col min="6" max="8" width="11.5" style="2211" customWidth="1"/>
    <col min="9" max="9" width="11.125" style="2211" customWidth="1"/>
    <col min="10" max="10" width="3.125" style="2211" customWidth="1"/>
    <col min="11" max="16" width="10" style="2211" customWidth="1"/>
    <col min="17" max="17" width="2.625" style="2211" customWidth="1"/>
    <col min="18" max="18" width="9.375" style="2211" bestFit="1" customWidth="1"/>
    <col min="19" max="19" width="10.5" style="2211" bestFit="1" customWidth="1"/>
    <col min="20" max="16384" width="9.25" style="2211"/>
  </cols>
  <sheetData>
    <row r="1" spans="1:16" ht="18.75">
      <c r="A1" s="2210" t="s">
        <v>1926</v>
      </c>
      <c r="B1" s="1388"/>
      <c r="C1" s="1388"/>
      <c r="D1" s="1388"/>
      <c r="E1" s="1388"/>
      <c r="F1" s="1388"/>
      <c r="G1" s="1388"/>
      <c r="H1" s="1388"/>
      <c r="I1" s="1388"/>
      <c r="J1" s="1388"/>
      <c r="K1" s="1388"/>
      <c r="L1" s="1388"/>
      <c r="M1" s="1388"/>
      <c r="N1" s="1388"/>
      <c r="O1" s="1388"/>
      <c r="P1" s="1388"/>
    </row>
    <row r="2" spans="1:16" ht="15">
      <c r="A2" s="3229" t="s">
        <v>1927</v>
      </c>
      <c r="B2" s="3229"/>
      <c r="C2" s="3229"/>
      <c r="D2" s="965" t="s">
        <v>1903</v>
      </c>
      <c r="E2" s="2212" t="s">
        <v>1904</v>
      </c>
      <c r="F2" s="1388"/>
      <c r="G2" s="2213"/>
      <c r="H2" s="2214"/>
      <c r="I2" s="2215" t="s">
        <v>1928</v>
      </c>
      <c r="J2" s="1388"/>
      <c r="K2" s="1388"/>
      <c r="L2" s="1388"/>
      <c r="M2" s="1388"/>
      <c r="N2" s="1423"/>
      <c r="O2" s="1388"/>
      <c r="P2" s="1388"/>
    </row>
    <row r="3" spans="1:16" ht="15.75" thickBot="1">
      <c r="A3" s="3230" t="s">
        <v>1901</v>
      </c>
      <c r="B3" s="3230"/>
      <c r="C3" s="3230"/>
      <c r="D3" s="3105">
        <f>'数据-基础表'!AY6</f>
        <v>59319.7</v>
      </c>
      <c r="E3" s="46">
        <f>'数据-基础表'!AZ5</f>
        <v>149246.95000000001</v>
      </c>
      <c r="F3" s="1388"/>
      <c r="G3" s="1395"/>
      <c r="H3" s="1243" t="s">
        <v>1902</v>
      </c>
      <c r="I3" s="55">
        <f>ROUND('数据-基础表'!B3/'数据-基础表'!A3,2)</f>
        <v>2.52</v>
      </c>
      <c r="J3" s="1388"/>
      <c r="K3" s="1388"/>
      <c r="L3" s="1388"/>
      <c r="M3" s="1388"/>
      <c r="N3" s="1423"/>
      <c r="O3" s="1388"/>
      <c r="P3" s="1388"/>
    </row>
    <row r="4" spans="1:16" ht="15">
      <c r="A4" s="3231"/>
      <c r="B4" s="3232"/>
      <c r="C4" s="3233"/>
      <c r="D4" s="2216" t="s">
        <v>1903</v>
      </c>
      <c r="E4" s="2217" t="s">
        <v>1904</v>
      </c>
      <c r="F4" s="1388"/>
      <c r="G4" s="2218" t="s">
        <v>1929</v>
      </c>
      <c r="H4" s="1243" t="s">
        <v>1909</v>
      </c>
      <c r="I4" s="55">
        <f>ROUND(SUMIF('数据-基础表'!I9:AS9,"地上",'数据-基础表'!I5:AS5)/'数据-基础表'!A3,2)</f>
        <v>1.27</v>
      </c>
      <c r="J4" s="1388"/>
      <c r="K4" s="1388"/>
      <c r="L4" s="1388"/>
      <c r="M4" s="1388"/>
      <c r="N4" s="1423"/>
      <c r="O4" s="1388"/>
      <c r="P4" s="1388"/>
    </row>
    <row r="5" spans="1:16">
      <c r="A5" s="47" t="s">
        <v>1905</v>
      </c>
      <c r="B5" s="3234" t="s">
        <v>1906</v>
      </c>
      <c r="C5" s="3234"/>
      <c r="D5" s="48">
        <f>ROUND($D$3*E5/$E$3,2)</f>
        <v>28914.2</v>
      </c>
      <c r="E5" s="49">
        <f>SUMIF('数据-基础表'!$11:$11,"住宅",'数据-基础表'!$5:$5)</f>
        <v>72747.44</v>
      </c>
      <c r="F5" s="1388"/>
      <c r="G5" s="1395"/>
      <c r="H5" s="1243" t="s">
        <v>1902</v>
      </c>
      <c r="I5" s="55">
        <f>ROUND(E31/D31,2)</f>
        <v>2.52</v>
      </c>
      <c r="J5" s="1388"/>
      <c r="K5" s="1388"/>
      <c r="L5" s="1388"/>
      <c r="M5" s="1388"/>
      <c r="N5" s="1388"/>
      <c r="O5" s="1388"/>
      <c r="P5" s="1388"/>
    </row>
    <row r="6" spans="1:16" ht="15" thickBot="1">
      <c r="A6" s="2219"/>
      <c r="B6" s="3234" t="s">
        <v>1907</v>
      </c>
      <c r="C6" s="3234"/>
      <c r="D6" s="48">
        <f>ROUND($D$3*E6/$E$3,2)</f>
        <v>30405.5</v>
      </c>
      <c r="E6" s="49">
        <f>E3-E5</f>
        <v>76499.510000000009</v>
      </c>
      <c r="F6" s="1388"/>
      <c r="G6" s="2220" t="s">
        <v>1908</v>
      </c>
      <c r="H6" s="1395" t="s">
        <v>1909</v>
      </c>
      <c r="I6" s="937">
        <f>ROUND(F31/D31,2)</f>
        <v>1.27</v>
      </c>
      <c r="J6" s="1388"/>
      <c r="K6" s="1388"/>
      <c r="L6" s="1388"/>
      <c r="M6" s="1388"/>
      <c r="N6" s="1388"/>
      <c r="O6" s="1388"/>
      <c r="P6" s="1388"/>
    </row>
    <row r="7" spans="1:16" ht="15">
      <c r="A7" s="3226"/>
      <c r="B7" s="3227"/>
      <c r="C7" s="3228"/>
      <c r="D7" s="2216" t="s">
        <v>1903</v>
      </c>
      <c r="E7" s="2221" t="s">
        <v>1910</v>
      </c>
      <c r="F7" s="1388"/>
      <c r="G7" s="2213" t="s">
        <v>1911</v>
      </c>
      <c r="H7" s="63"/>
      <c r="I7" s="418">
        <f>ROUND((规证!C105+规证!D105+规证!E105+规证!F105)/规证!C121,2)</f>
        <v>1.01</v>
      </c>
      <c r="J7" s="1388"/>
      <c r="K7" s="1388"/>
      <c r="L7" s="1388"/>
      <c r="M7" s="1388"/>
      <c r="N7" s="1388"/>
      <c r="O7" s="1388"/>
      <c r="P7" s="1388"/>
    </row>
    <row r="8" spans="1:16">
      <c r="A8" s="47" t="s">
        <v>1912</v>
      </c>
      <c r="B8" s="50" t="s">
        <v>1913</v>
      </c>
      <c r="C8" s="48" t="s">
        <v>1914</v>
      </c>
      <c r="D8" s="48">
        <f t="shared" ref="D8:D15" si="0">ROUND($D$3*E8/$E$3,2)</f>
        <v>29019.1</v>
      </c>
      <c r="E8" s="51">
        <f>SUMIF('数据-基础表'!BB10:BK10,"地上",'数据-基础表'!BB5:BK5)</f>
        <v>73011.360000000001</v>
      </c>
      <c r="F8" s="1388"/>
      <c r="G8" s="2222"/>
      <c r="H8" s="2222"/>
      <c r="I8" s="1388"/>
      <c r="J8" s="1388"/>
      <c r="K8" s="1388"/>
      <c r="L8" s="1388"/>
      <c r="M8" s="1388"/>
      <c r="N8" s="1388"/>
      <c r="O8" s="1388"/>
      <c r="P8" s="1388"/>
    </row>
    <row r="9" spans="1:16">
      <c r="A9" s="2223"/>
      <c r="B9" s="2224"/>
      <c r="C9" s="48" t="s">
        <v>1915</v>
      </c>
      <c r="D9" s="48">
        <f t="shared" si="0"/>
        <v>0</v>
      </c>
      <c r="E9" s="52">
        <v>0</v>
      </c>
      <c r="F9" s="1388"/>
      <c r="G9" s="2222"/>
      <c r="H9" s="2222"/>
      <c r="I9" s="1388"/>
      <c r="J9" s="1388"/>
      <c r="K9" s="1388"/>
      <c r="L9" s="1388"/>
      <c r="M9" s="1388"/>
      <c r="N9" s="1388"/>
      <c r="O9" s="1388"/>
      <c r="P9" s="1388"/>
    </row>
    <row r="10" spans="1:16">
      <c r="A10" s="2223"/>
      <c r="B10" s="2224"/>
      <c r="C10" s="48" t="s">
        <v>1924</v>
      </c>
      <c r="D10" s="48">
        <f t="shared" si="0"/>
        <v>151.85</v>
      </c>
      <c r="E10" s="51">
        <f>SUMPRODUCT(('数据-基础表'!BB10:BK10="地下")*('数据-基础表'!BB11:BK11="商业")*('数据-基础表'!BB5:BK5))</f>
        <v>382.04</v>
      </c>
      <c r="F10" s="1388"/>
      <c r="G10" s="2222"/>
      <c r="H10" s="2222"/>
      <c r="I10" s="1388"/>
      <c r="J10" s="1388"/>
      <c r="K10" s="1388"/>
      <c r="L10" s="1388"/>
      <c r="M10" s="1388"/>
      <c r="N10" s="1388"/>
      <c r="O10" s="1388"/>
      <c r="P10" s="1388"/>
    </row>
    <row r="11" spans="1:16">
      <c r="A11" s="2223"/>
      <c r="B11" s="2224"/>
      <c r="C11" s="48" t="s">
        <v>1916</v>
      </c>
      <c r="D11" s="48">
        <f t="shared" si="0"/>
        <v>26.51</v>
      </c>
      <c r="E11" s="51">
        <f>SUMPRODUCT(('数据-基础表'!BB10:BK10="地下")*('数据-基础表'!BB11:BK11="办公")*('数据-基础表'!BB5:BK5))+'数据-基础表'!BP5</f>
        <v>66.7</v>
      </c>
      <c r="F11" s="1388"/>
      <c r="G11" s="2222"/>
      <c r="H11" s="2222"/>
      <c r="I11" s="1388"/>
      <c r="J11" s="1388"/>
      <c r="K11" s="1388"/>
      <c r="L11" s="1388"/>
      <c r="M11" s="1388"/>
      <c r="N11" s="1388"/>
      <c r="O11" s="1388"/>
      <c r="P11" s="1388"/>
    </row>
    <row r="12" spans="1:16">
      <c r="A12" s="2223"/>
      <c r="B12" s="2224"/>
      <c r="C12" s="48" t="s">
        <v>1917</v>
      </c>
      <c r="D12" s="48">
        <f t="shared" si="0"/>
        <v>19699.259999999998</v>
      </c>
      <c r="E12" s="51">
        <f>SUMPRODUCT(('数据-基础表'!BB10:BK10="地下")*('数据-基础表'!BB11:BK11="仓储")*('数据-基础表'!BB5:BK5))</f>
        <v>49562.87</v>
      </c>
      <c r="F12" s="1388"/>
      <c r="G12" s="2222"/>
      <c r="H12" s="2222"/>
      <c r="I12" s="1388"/>
      <c r="J12" s="1388"/>
      <c r="K12" s="1388"/>
      <c r="L12" s="1388"/>
      <c r="M12" s="1388"/>
      <c r="N12" s="1388"/>
      <c r="O12" s="1388"/>
      <c r="P12" s="1388"/>
    </row>
    <row r="13" spans="1:16">
      <c r="A13" s="2223"/>
      <c r="B13" s="2224"/>
      <c r="C13" s="48" t="s">
        <v>1918</v>
      </c>
      <c r="D13" s="48">
        <f t="shared" si="0"/>
        <v>8610.08</v>
      </c>
      <c r="E13" s="51">
        <f>SUMPRODUCT(('数据-基础表'!BB10:BK10="地下")*('数据-基础表'!BB11:BK11="车库")*('数据-基础表'!BB5:BK5))</f>
        <v>21662.76</v>
      </c>
      <c r="F13" s="1388"/>
      <c r="G13" s="2222"/>
      <c r="H13" s="2222"/>
      <c r="I13" s="1388"/>
      <c r="J13" s="1388"/>
      <c r="K13" s="1388"/>
      <c r="L13" s="1388"/>
      <c r="M13" s="1388"/>
      <c r="N13" s="1388"/>
      <c r="O13" s="1388"/>
      <c r="P13" s="1388"/>
    </row>
    <row r="14" spans="1:16">
      <c r="A14" s="2223"/>
      <c r="B14" s="2224"/>
      <c r="C14" s="48" t="s">
        <v>1930</v>
      </c>
      <c r="D14" s="48">
        <f t="shared" si="0"/>
        <v>0</v>
      </c>
      <c r="E14" s="51">
        <f>SUMPRODUCT(('数据-基础表'!BB10:BK10="地下")*('数据-基础表'!BB11:BK11="车库—商业")*('数据-基础表'!BB5:BK5))</f>
        <v>0</v>
      </c>
      <c r="F14" s="1388"/>
      <c r="G14" s="2222"/>
      <c r="H14" s="2222"/>
      <c r="I14" s="1388"/>
      <c r="J14" s="1388"/>
      <c r="K14" s="1388"/>
      <c r="L14" s="1388"/>
      <c r="M14" s="1388"/>
      <c r="N14" s="1388"/>
      <c r="O14" s="1388"/>
      <c r="P14" s="1388"/>
    </row>
    <row r="15" spans="1:16" ht="15" thickBot="1">
      <c r="A15" s="2223"/>
      <c r="B15" s="2224"/>
      <c r="C15" s="48" t="s">
        <v>1925</v>
      </c>
      <c r="D15" s="48">
        <f t="shared" si="0"/>
        <v>0</v>
      </c>
      <c r="E15" s="51">
        <f>SUMPRODUCT(('数据-基础表'!BB10:BK10="地下")*('数据-基础表'!BB11:BK11="车库—办公")*('数据-基础表'!BB5:BK5))</f>
        <v>0</v>
      </c>
      <c r="F15" s="1388"/>
      <c r="G15" s="2222"/>
      <c r="H15" s="2222"/>
      <c r="I15" s="1388"/>
      <c r="J15" s="1388"/>
      <c r="K15" s="1388"/>
      <c r="L15" s="1388"/>
      <c r="M15" s="1388"/>
      <c r="N15" s="1388"/>
      <c r="O15" s="1388"/>
      <c r="P15" s="1388"/>
    </row>
    <row r="16" spans="1:16" ht="15.75" thickBot="1">
      <c r="A16" s="2219"/>
      <c r="B16" s="2224"/>
      <c r="C16" s="50" t="s">
        <v>1919</v>
      </c>
      <c r="D16" s="50">
        <f>SUM(D8:D15)</f>
        <v>57506.799999999996</v>
      </c>
      <c r="E16" s="53">
        <f>SUM(E8:E15)</f>
        <v>144685.73000000001</v>
      </c>
      <c r="F16" s="1388"/>
      <c r="G16" s="2222"/>
      <c r="H16" s="2225" t="s">
        <v>1931</v>
      </c>
      <c r="I16" s="2226"/>
      <c r="J16" s="1388"/>
      <c r="K16" s="3223" t="s">
        <v>1931</v>
      </c>
      <c r="L16" s="3224"/>
      <c r="M16" s="3224"/>
      <c r="N16" s="3224"/>
      <c r="O16" s="3224"/>
      <c r="P16" s="3225"/>
    </row>
    <row r="17" spans="1:19" ht="15">
      <c r="A17" s="2227" t="s">
        <v>1932</v>
      </c>
      <c r="B17" s="2228" t="s">
        <v>1933</v>
      </c>
      <c r="C17" s="2229" t="s">
        <v>1934</v>
      </c>
      <c r="D17" s="2230" t="s">
        <v>1922</v>
      </c>
      <c r="E17" s="2231" t="s">
        <v>1923</v>
      </c>
      <c r="F17" s="2232"/>
      <c r="G17" s="2233"/>
      <c r="H17" s="2234" t="s">
        <v>1935</v>
      </c>
      <c r="I17" s="2235" t="s">
        <v>1920</v>
      </c>
      <c r="J17" s="1388"/>
      <c r="K17" s="3220" t="s">
        <v>1936</v>
      </c>
      <c r="L17" s="3221"/>
      <c r="M17" s="3222"/>
      <c r="N17" s="3220" t="s">
        <v>1937</v>
      </c>
      <c r="O17" s="3221"/>
      <c r="P17" s="3222"/>
      <c r="R17" s="2213" t="s">
        <v>1938</v>
      </c>
      <c r="S17" s="63"/>
    </row>
    <row r="18" spans="1:19" ht="15">
      <c r="A18" s="2223"/>
      <c r="B18" s="2236"/>
      <c r="C18" s="2237"/>
      <c r="D18" s="2238"/>
      <c r="E18" s="2239" t="s">
        <v>1939</v>
      </c>
      <c r="F18" s="2240" t="s">
        <v>1940</v>
      </c>
      <c r="G18" s="2241" t="s">
        <v>1941</v>
      </c>
      <c r="H18" s="1258" t="s">
        <v>1942</v>
      </c>
      <c r="I18" s="2242" t="s">
        <v>1943</v>
      </c>
      <c r="J18" s="1388"/>
      <c r="K18" s="1258" t="s">
        <v>1944</v>
      </c>
      <c r="L18" s="2243" t="s">
        <v>1945</v>
      </c>
      <c r="M18" s="1043" t="s">
        <v>1946</v>
      </c>
      <c r="N18" s="1258" t="s">
        <v>1944</v>
      </c>
      <c r="O18" s="2243" t="s">
        <v>1945</v>
      </c>
      <c r="P18" s="1043" t="s">
        <v>1946</v>
      </c>
      <c r="R18" s="1243" t="s">
        <v>1947</v>
      </c>
      <c r="S18" s="1243" t="s">
        <v>1948</v>
      </c>
    </row>
    <row r="19" spans="1:19">
      <c r="A19" s="2244"/>
      <c r="B19" s="50" t="s">
        <v>1921</v>
      </c>
      <c r="C19" s="3043" t="s">
        <v>4512</v>
      </c>
      <c r="D19" s="48">
        <f>ROUND($D$3*E19/$E$3,2)</f>
        <v>13004.24</v>
      </c>
      <c r="E19" s="56">
        <f t="shared" ref="E19:E26" si="1">SUM(F19:G19)</f>
        <v>32718.36</v>
      </c>
      <c r="F19" s="57">
        <f>'数据-基础表'!I13</f>
        <v>32718.36</v>
      </c>
      <c r="G19" s="58"/>
      <c r="H19" s="721">
        <f>ROUND($D$3*I19/$E$3,2)</f>
        <v>594.24</v>
      </c>
      <c r="I19" s="51">
        <f t="shared" ref="I19:I26" si="2">IF($I$17="自定义",P19,M19)</f>
        <v>1495.0900000000001</v>
      </c>
      <c r="J19" s="1388"/>
      <c r="K19" s="1387">
        <f t="shared" ref="K19:K26" si="3">ROUND(E$28*E19/E$27,2)</f>
        <v>593.47</v>
      </c>
      <c r="L19" s="1243">
        <f t="shared" ref="L19:L26" si="4">ROUND(IF(COUNTIF(C19,"*住宅*")&gt;0,E$29*E19/E$32,0),2)</f>
        <v>901.62</v>
      </c>
      <c r="M19" s="1399">
        <f>K19+L19</f>
        <v>1495.0900000000001</v>
      </c>
      <c r="N19" s="2246"/>
      <c r="O19" s="2247"/>
      <c r="P19" s="1399">
        <f>N19+O19</f>
        <v>0</v>
      </c>
      <c r="R19" s="1243">
        <f t="shared" ref="R19:S26" si="5">D19+H19</f>
        <v>13598.48</v>
      </c>
      <c r="S19" s="1244">
        <f t="shared" si="5"/>
        <v>34213.449999999997</v>
      </c>
    </row>
    <row r="20" spans="1:19">
      <c r="A20" s="2248"/>
      <c r="B20" s="50" t="s">
        <v>1949</v>
      </c>
      <c r="C20" s="3043" t="s">
        <v>4714</v>
      </c>
      <c r="D20" s="48">
        <f t="shared" ref="D20:D26" si="6">ROUND($D$3*E20/$E$3,2)</f>
        <v>3036.72</v>
      </c>
      <c r="E20" s="56">
        <f t="shared" si="1"/>
        <v>7640.3099999999995</v>
      </c>
      <c r="F20" s="57">
        <f>'数据-基础表'!K13</f>
        <v>7640.3099999999995</v>
      </c>
      <c r="G20" s="58"/>
      <c r="H20" s="721">
        <f t="shared" ref="H20:H26" si="7">ROUND($D$3*I20/$E$3,2)</f>
        <v>138.77000000000001</v>
      </c>
      <c r="I20" s="51">
        <f t="shared" si="2"/>
        <v>349.13</v>
      </c>
      <c r="J20" s="1388"/>
      <c r="K20" s="1387">
        <f t="shared" si="3"/>
        <v>138.59</v>
      </c>
      <c r="L20" s="1243">
        <f t="shared" si="4"/>
        <v>210.54</v>
      </c>
      <c r="M20" s="1399">
        <f t="shared" ref="M20:M26" si="8">K20+L20</f>
        <v>349.13</v>
      </c>
      <c r="N20" s="2246"/>
      <c r="O20" s="2247"/>
      <c r="P20" s="1399">
        <f t="shared" ref="P20:P26" si="9">N20+O20</f>
        <v>0</v>
      </c>
      <c r="R20" s="1243">
        <f t="shared" si="5"/>
        <v>3175.49</v>
      </c>
      <c r="S20" s="1244">
        <f t="shared" si="5"/>
        <v>7989.44</v>
      </c>
    </row>
    <row r="21" spans="1:19">
      <c r="A21" s="2248"/>
      <c r="B21" s="50" t="s">
        <v>1949</v>
      </c>
      <c r="C21" s="2245" t="s">
        <v>3211</v>
      </c>
      <c r="D21" s="48">
        <f t="shared" si="6"/>
        <v>12873.24</v>
      </c>
      <c r="E21" s="56">
        <f t="shared" si="1"/>
        <v>32388.770000000004</v>
      </c>
      <c r="F21" s="57">
        <f>'数据-基础表'!M13</f>
        <v>32388.770000000004</v>
      </c>
      <c r="G21" s="58"/>
      <c r="H21" s="721">
        <f t="shared" si="7"/>
        <v>588.25</v>
      </c>
      <c r="I21" s="51">
        <f t="shared" si="2"/>
        <v>1480.03</v>
      </c>
      <c r="J21" s="1388"/>
      <c r="K21" s="1387">
        <f t="shared" si="3"/>
        <v>587.49</v>
      </c>
      <c r="L21" s="1243">
        <f t="shared" si="4"/>
        <v>892.54</v>
      </c>
      <c r="M21" s="1399">
        <f t="shared" si="8"/>
        <v>1480.03</v>
      </c>
      <c r="N21" s="2246"/>
      <c r="O21" s="2247"/>
      <c r="P21" s="1399">
        <f t="shared" si="9"/>
        <v>0</v>
      </c>
      <c r="R21" s="1243">
        <f t="shared" si="5"/>
        <v>13461.49</v>
      </c>
      <c r="S21" s="1244">
        <f t="shared" si="5"/>
        <v>33868.800000000003</v>
      </c>
    </row>
    <row r="22" spans="1:19">
      <c r="A22" s="2248"/>
      <c r="B22" s="50" t="s">
        <v>1949</v>
      </c>
      <c r="C22" s="60" t="s">
        <v>1372</v>
      </c>
      <c r="D22" s="48">
        <f t="shared" si="6"/>
        <v>256.74</v>
      </c>
      <c r="E22" s="56">
        <f t="shared" si="1"/>
        <v>645.96</v>
      </c>
      <c r="F22" s="61">
        <f>'数据-基础表'!O13</f>
        <v>263.92</v>
      </c>
      <c r="G22" s="62">
        <f>'数据-基础表'!Q13</f>
        <v>382.04</v>
      </c>
      <c r="H22" s="721">
        <f t="shared" si="7"/>
        <v>4.66</v>
      </c>
      <c r="I22" s="51">
        <f t="shared" si="2"/>
        <v>11.72</v>
      </c>
      <c r="J22" s="1388"/>
      <c r="K22" s="1387">
        <f t="shared" si="3"/>
        <v>11.72</v>
      </c>
      <c r="L22" s="1243">
        <f t="shared" si="4"/>
        <v>0</v>
      </c>
      <c r="M22" s="1399">
        <f t="shared" si="8"/>
        <v>11.72</v>
      </c>
      <c r="N22" s="2246"/>
      <c r="O22" s="2247"/>
      <c r="P22" s="1399">
        <f t="shared" si="9"/>
        <v>0</v>
      </c>
      <c r="R22" s="1243">
        <f t="shared" si="5"/>
        <v>261.40000000000003</v>
      </c>
      <c r="S22" s="1244">
        <f t="shared" si="5"/>
        <v>657.68000000000006</v>
      </c>
    </row>
    <row r="23" spans="1:19">
      <c r="A23" s="2248"/>
      <c r="B23" s="50" t="s">
        <v>1949</v>
      </c>
      <c r="C23" s="60" t="s">
        <v>48</v>
      </c>
      <c r="D23" s="48">
        <f>ROUND($D$3*E23/$E$3,2)</f>
        <v>8610.08</v>
      </c>
      <c r="E23" s="56">
        <f>SUM(F23:G23)</f>
        <v>21662.76</v>
      </c>
      <c r="F23" s="61"/>
      <c r="G23" s="62">
        <f>'数据-基础表'!S13</f>
        <v>21662.76</v>
      </c>
      <c r="H23" s="721">
        <f>ROUND($D$3*I23/$E$3,2)</f>
        <v>156.18</v>
      </c>
      <c r="I23" s="51">
        <f t="shared" si="2"/>
        <v>392.94</v>
      </c>
      <c r="J23" s="1388"/>
      <c r="K23" s="1387">
        <f t="shared" si="3"/>
        <v>392.94</v>
      </c>
      <c r="L23" s="1243">
        <f t="shared" si="4"/>
        <v>0</v>
      </c>
      <c r="M23" s="1399">
        <f t="shared" si="8"/>
        <v>392.94</v>
      </c>
      <c r="N23" s="2246"/>
      <c r="O23" s="2247"/>
      <c r="P23" s="1399">
        <f t="shared" si="9"/>
        <v>0</v>
      </c>
      <c r="R23" s="1243">
        <f t="shared" si="5"/>
        <v>8766.26</v>
      </c>
      <c r="S23" s="1244">
        <f t="shared" si="5"/>
        <v>22055.699999999997</v>
      </c>
    </row>
    <row r="24" spans="1:19">
      <c r="A24" s="2248"/>
      <c r="B24" s="50" t="s">
        <v>1949</v>
      </c>
      <c r="C24" s="3044" t="s">
        <v>4716</v>
      </c>
      <c r="D24" s="48">
        <f>ROUND($D$3*E24/$E$3,2)</f>
        <v>2316.08</v>
      </c>
      <c r="E24" s="56">
        <f>SUM(F24:G24)</f>
        <v>5827.19</v>
      </c>
      <c r="F24" s="61"/>
      <c r="G24" s="62">
        <f>'数据-基础表'!Y13</f>
        <v>5827.19</v>
      </c>
      <c r="H24" s="721">
        <f>ROUND($D$3*I24/$E$3,2)</f>
        <v>42.01</v>
      </c>
      <c r="I24" s="51">
        <f t="shared" si="2"/>
        <v>105.7</v>
      </c>
      <c r="J24" s="1388"/>
      <c r="K24" s="1387">
        <f t="shared" si="3"/>
        <v>105.7</v>
      </c>
      <c r="L24" s="1243">
        <f t="shared" si="4"/>
        <v>0</v>
      </c>
      <c r="M24" s="1399">
        <f t="shared" si="8"/>
        <v>105.7</v>
      </c>
      <c r="N24" s="2246"/>
      <c r="O24" s="2247"/>
      <c r="P24" s="1399">
        <f t="shared" si="9"/>
        <v>0</v>
      </c>
      <c r="R24" s="1243">
        <f t="shared" si="5"/>
        <v>2358.09</v>
      </c>
      <c r="S24" s="1244">
        <f t="shared" si="5"/>
        <v>5932.8899999999994</v>
      </c>
    </row>
    <row r="25" spans="1:19">
      <c r="A25" s="2248"/>
      <c r="B25" s="50" t="s">
        <v>1949</v>
      </c>
      <c r="C25" s="3044" t="s">
        <v>4513</v>
      </c>
      <c r="D25" s="48">
        <f t="shared" si="6"/>
        <v>16514.32</v>
      </c>
      <c r="E25" s="56">
        <f t="shared" si="1"/>
        <v>41549.64</v>
      </c>
      <c r="F25" s="61"/>
      <c r="G25" s="62">
        <f>'数据-基础表'!U13</f>
        <v>41549.64</v>
      </c>
      <c r="H25" s="47">
        <f t="shared" si="7"/>
        <v>299.55</v>
      </c>
      <c r="I25" s="51">
        <f t="shared" si="2"/>
        <v>753.66</v>
      </c>
      <c r="J25" s="1388"/>
      <c r="K25" s="1387">
        <f t="shared" si="3"/>
        <v>753.66</v>
      </c>
      <c r="L25" s="1243">
        <f t="shared" si="4"/>
        <v>0</v>
      </c>
      <c r="M25" s="1399">
        <f t="shared" si="8"/>
        <v>753.66</v>
      </c>
      <c r="N25" s="2246"/>
      <c r="O25" s="2247"/>
      <c r="P25" s="1399">
        <f t="shared" si="9"/>
        <v>0</v>
      </c>
      <c r="R25" s="1243">
        <f t="shared" si="5"/>
        <v>16813.87</v>
      </c>
      <c r="S25" s="1244">
        <f t="shared" si="5"/>
        <v>42303.3</v>
      </c>
    </row>
    <row r="26" spans="1:19">
      <c r="A26" s="2248"/>
      <c r="B26" s="50" t="s">
        <v>1949</v>
      </c>
      <c r="C26" s="3045" t="s">
        <v>4718</v>
      </c>
      <c r="D26" s="48">
        <f t="shared" si="6"/>
        <v>868.86</v>
      </c>
      <c r="E26" s="56">
        <f t="shared" si="1"/>
        <v>2186.04</v>
      </c>
      <c r="F26" s="61"/>
      <c r="G26" s="62">
        <f>'数据-基础表'!W13</f>
        <v>2186.04</v>
      </c>
      <c r="H26" s="47">
        <f t="shared" si="7"/>
        <v>15.76</v>
      </c>
      <c r="I26" s="51">
        <f t="shared" si="2"/>
        <v>39.65</v>
      </c>
      <c r="J26" s="1388"/>
      <c r="K26" s="1394">
        <f t="shared" si="3"/>
        <v>39.65</v>
      </c>
      <c r="L26" s="1395">
        <f t="shared" si="4"/>
        <v>0</v>
      </c>
      <c r="M26" s="66">
        <f t="shared" si="8"/>
        <v>39.65</v>
      </c>
      <c r="N26" s="2249"/>
      <c r="O26" s="2250"/>
      <c r="P26" s="66">
        <f t="shared" si="9"/>
        <v>0</v>
      </c>
      <c r="R26" s="1243">
        <f t="shared" si="5"/>
        <v>884.62</v>
      </c>
      <c r="S26" s="1244">
        <f t="shared" si="5"/>
        <v>2225.69</v>
      </c>
    </row>
    <row r="27" spans="1:19" ht="15.75" thickBot="1">
      <c r="A27" s="2248"/>
      <c r="B27" s="48"/>
      <c r="C27" s="2251" t="s">
        <v>1950</v>
      </c>
      <c r="D27" s="1389">
        <f>SUM(D19:D26)</f>
        <v>57480.28</v>
      </c>
      <c r="E27" s="1390">
        <f>IF(SUM(E19:E26)='数据-基础表'!BA5,SUM(E19:E26),IF(F27="地上面积有误","面积有误","地下面积有误"))</f>
        <v>144619.03</v>
      </c>
      <c r="F27" s="1389">
        <f>IF(SUM(F19:F26)=E8,SUM(F19:F26),"地上面积有误")</f>
        <v>73011.360000000001</v>
      </c>
      <c r="G27" s="1391">
        <f>SUM(G19:G26)</f>
        <v>71607.67</v>
      </c>
      <c r="H27" s="1392">
        <f>SUM(H19:H26)</f>
        <v>1839.42</v>
      </c>
      <c r="I27" s="1393">
        <f>SUM(I19:I26)</f>
        <v>4627.9199999999992</v>
      </c>
      <c r="J27" s="1388"/>
      <c r="K27" s="1396">
        <f>SUM(K19:K26)</f>
        <v>2623.2200000000003</v>
      </c>
      <c r="L27" s="1397">
        <f>SUM(L19:L26)</f>
        <v>2004.7</v>
      </c>
      <c r="M27" s="1400">
        <f>SUM(M19:M26)</f>
        <v>4627.9199999999992</v>
      </c>
      <c r="N27" s="1396">
        <f t="shared" ref="N27:O27" si="10">SUM(N19:N26)</f>
        <v>0</v>
      </c>
      <c r="O27" s="1397">
        <f t="shared" si="10"/>
        <v>0</v>
      </c>
      <c r="P27" s="1398">
        <f>SUM(P19:P26)</f>
        <v>0</v>
      </c>
      <c r="R27" s="1245">
        <f>IF(SUM(R19:R26)=$D$3,SUM(R19:R26),SUM(R19:R26)&amp;"误差"&amp;ROUND(SUM(R19:R26)-$D$3,2))</f>
        <v>59319.700000000004</v>
      </c>
      <c r="S27" s="1243">
        <f>IF(SUM(S19:S26)=$E$3,SUM(S19:S26),SUM(S19:S26)&amp;"误差"&amp;ROUND(SUM(S19:S26)-E3,2))</f>
        <v>149246.95000000001</v>
      </c>
    </row>
    <row r="28" spans="1:19">
      <c r="A28" s="2248"/>
      <c r="B28" s="50" t="s">
        <v>1951</v>
      </c>
      <c r="C28" s="1255" t="s">
        <v>1952</v>
      </c>
      <c r="D28" s="48">
        <f>ROUND($D$3*E28/$E$3,2)</f>
        <v>1042.6300000000001</v>
      </c>
      <c r="E28" s="56">
        <f>SUM(F28:G28)</f>
        <v>2623.22</v>
      </c>
      <c r="F28" s="63">
        <f>'数据-基础表'!BQ5+'数据-基础表'!BS5</f>
        <v>582.84</v>
      </c>
      <c r="G28" s="64">
        <f>'数据-基础表'!BR5+'数据-基础表'!BT5</f>
        <v>2040.3799999999999</v>
      </c>
      <c r="H28" s="1388"/>
      <c r="I28" s="1388"/>
      <c r="J28" s="1388"/>
      <c r="K28" s="1388"/>
      <c r="L28" s="1388"/>
      <c r="M28" s="1388"/>
      <c r="N28" s="1388"/>
      <c r="O28" s="1388"/>
      <c r="P28" s="1388"/>
    </row>
    <row r="29" spans="1:19">
      <c r="A29" s="2248"/>
      <c r="B29" s="50" t="s">
        <v>1951</v>
      </c>
      <c r="C29" s="2252" t="s">
        <v>1953</v>
      </c>
      <c r="D29" s="48">
        <f>ROUND($D$3*E29/$E$3,2)</f>
        <v>796.79</v>
      </c>
      <c r="E29" s="56">
        <f>SUM(F29:G29)</f>
        <v>2004.7</v>
      </c>
      <c r="F29" s="65">
        <f>'数据-基础表'!BM5+'数据-基础表'!BO5</f>
        <v>1938</v>
      </c>
      <c r="G29" s="66">
        <f>'数据-基础表'!BN5+'数据-基础表'!BP5</f>
        <v>66.7</v>
      </c>
      <c r="H29" s="1388"/>
      <c r="I29" s="1388"/>
      <c r="J29" s="1388"/>
      <c r="K29" s="1388"/>
      <c r="L29" s="1388"/>
      <c r="M29" s="1388"/>
      <c r="N29" s="1388"/>
      <c r="O29" s="1388"/>
      <c r="P29" s="1388"/>
    </row>
    <row r="30" spans="1:19" ht="15">
      <c r="A30" s="2248"/>
      <c r="B30" s="50"/>
      <c r="C30" s="2253" t="s">
        <v>1950</v>
      </c>
      <c r="D30" s="1389">
        <f>SUM(D28:D29)</f>
        <v>1839.42</v>
      </c>
      <c r="E30" s="1389">
        <f>SUM(E28:E29)</f>
        <v>4627.92</v>
      </c>
      <c r="F30" s="1389">
        <f>SUM(F28:F29)</f>
        <v>2520.84</v>
      </c>
      <c r="G30" s="1391">
        <f>SUM(G28:G29)</f>
        <v>2107.08</v>
      </c>
      <c r="H30" s="1388"/>
      <c r="I30" s="1388"/>
      <c r="J30" s="1388"/>
      <c r="K30" s="1388"/>
      <c r="L30" s="1388"/>
      <c r="M30" s="1388"/>
      <c r="N30" s="1388"/>
      <c r="O30" s="1388"/>
      <c r="P30" s="1388"/>
    </row>
    <row r="31" spans="1:19" ht="15.75" thickBot="1">
      <c r="A31" s="2254"/>
      <c r="B31" s="2255"/>
      <c r="C31" s="1004" t="s">
        <v>1954</v>
      </c>
      <c r="D31" s="727">
        <f>D27+D30</f>
        <v>59319.7</v>
      </c>
      <c r="E31" s="727">
        <f>E27+E30</f>
        <v>149246.95000000001</v>
      </c>
      <c r="F31" s="728">
        <f>F27+F30</f>
        <v>75532.2</v>
      </c>
      <c r="G31" s="729">
        <f>G27+G30</f>
        <v>73714.75</v>
      </c>
      <c r="H31" s="1388"/>
      <c r="I31" s="1388"/>
      <c r="J31" s="1388"/>
      <c r="K31" s="1388"/>
      <c r="L31" s="1388"/>
      <c r="M31" s="1388"/>
      <c r="N31" s="1388"/>
      <c r="O31" s="1388"/>
      <c r="P31" s="1388"/>
    </row>
    <row r="32" spans="1:19">
      <c r="A32" s="2218"/>
      <c r="B32" s="2218" t="s">
        <v>1955</v>
      </c>
      <c r="C32" s="2218"/>
      <c r="D32" s="2218"/>
      <c r="E32" s="1270">
        <f>SUMIF(C19:C26,"*住宅*",E19:E26)</f>
        <v>72747.44</v>
      </c>
      <c r="F32" s="2218"/>
      <c r="G32" s="2218"/>
      <c r="H32" s="1388"/>
      <c r="I32" s="1388"/>
      <c r="J32" s="1388"/>
      <c r="K32" s="1388"/>
      <c r="L32" s="1388"/>
      <c r="M32" s="1388"/>
      <c r="N32" s="1388"/>
      <c r="O32" s="1388"/>
      <c r="P32" s="1388"/>
    </row>
    <row r="33" spans="4:6">
      <c r="D33" s="2256"/>
    </row>
    <row r="35" spans="4:6">
      <c r="F35" s="2211">
        <f>105.7/149246.95*59319.7</f>
        <v>42.011527136735452</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124" t="str">
        <f>项目基本情况!B1</f>
        <v>北京市北京市顺义区高丽营镇于庄03-31号地块出让国有建设用地使用权及在建建筑物房地产抵押价值预评估</v>
      </c>
      <c r="C37" s="3124"/>
      <c r="D37" s="3124"/>
      <c r="E37" s="3124"/>
      <c r="F37" s="3124"/>
      <c r="G37" s="3124"/>
      <c r="H37" s="3124"/>
      <c r="I37" s="3124"/>
    </row>
    <row r="38" spans="1:9">
      <c r="A38" s="1013"/>
      <c r="B38" s="1013"/>
    </row>
    <row r="39" spans="1:9">
      <c r="A39" s="1011" t="s">
        <v>818</v>
      </c>
      <c r="B39" s="1011" t="s">
        <v>820</v>
      </c>
    </row>
    <row r="40" spans="1:9">
      <c r="A40" s="1011"/>
      <c r="B40" s="1935" t="str">
        <f>项目基本情况!B5</f>
        <v>北京万龙华开房地产开发有限公司</v>
      </c>
    </row>
    <row r="41" spans="1:9">
      <c r="A41" s="1011"/>
      <c r="B41" s="1011"/>
    </row>
    <row r="42" spans="1:9">
      <c r="A42" s="1011" t="s">
        <v>818</v>
      </c>
      <c r="B42" s="1011" t="s">
        <v>821</v>
      </c>
    </row>
    <row r="43" spans="1:9">
      <c r="A43" s="1011"/>
      <c r="B43" s="1935" t="s">
        <v>822</v>
      </c>
    </row>
    <row r="44" spans="1:9">
      <c r="A44" s="1011"/>
      <c r="B44" s="1011"/>
    </row>
    <row r="45" spans="1:9">
      <c r="A45" s="1011" t="s">
        <v>818</v>
      </c>
      <c r="B45" s="1011" t="s">
        <v>823</v>
      </c>
    </row>
    <row r="46" spans="1:9" s="1011" customFormat="1" ht="12.75">
      <c r="B46" s="1935" t="str">
        <f ca="1">项目基本情况!K4</f>
        <v>郑燚（注册号：1120070131)、崔锴（注册号：1120100036)</v>
      </c>
    </row>
    <row r="47" spans="1:9">
      <c r="A47" s="1011"/>
      <c r="B47" s="1011" t="str">
        <f>项目基本情况!K5</f>
        <v/>
      </c>
    </row>
    <row r="48" spans="1:9">
      <c r="A48" s="1011" t="s">
        <v>818</v>
      </c>
      <c r="B48" s="1011" t="s">
        <v>824</v>
      </c>
    </row>
    <row r="49" spans="2:2">
      <c r="B49" s="193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9" sqref="I9"/>
    </sheetView>
  </sheetViews>
  <sheetFormatPr defaultColWidth="13.75" defaultRowHeight="12.75"/>
  <cols>
    <col min="1" max="1" width="20.875" style="2330" customWidth="1"/>
    <col min="2" max="2" width="12" style="2260" customWidth="1"/>
    <col min="3" max="3" width="10.75" style="2260" customWidth="1"/>
    <col min="4" max="4" width="9.125" style="2331" customWidth="1"/>
    <col min="5" max="5" width="15" style="2260" bestFit="1" customWidth="1"/>
    <col min="6" max="10" width="8.875" style="2260" customWidth="1"/>
    <col min="11" max="12" width="12.375" style="2174" customWidth="1"/>
    <col min="13" max="13" width="8.625" style="2260" customWidth="1"/>
    <col min="14" max="14" width="11.875" style="2260" customWidth="1"/>
    <col min="15" max="15" width="8.5" style="2260" customWidth="1"/>
    <col min="16" max="17" width="10.875" style="2260" customWidth="1"/>
    <col min="18" max="19" width="12.5" style="2260" customWidth="1"/>
    <col min="20" max="20" width="12.125" style="2260" customWidth="1"/>
    <col min="21" max="21" width="7.5" style="2260" customWidth="1"/>
    <col min="22" max="22" width="6.375" style="2260" customWidth="1"/>
    <col min="23" max="30" width="6.75" style="2260" customWidth="1"/>
    <col min="31" max="31" width="8" style="2260" customWidth="1"/>
    <col min="32" max="34" width="7.25" style="2260" customWidth="1"/>
    <col min="35" max="39" width="8" style="2260" customWidth="1"/>
    <col min="40" max="40" width="13.75" style="2259"/>
    <col min="41" max="41" width="11.625" style="2259" customWidth="1"/>
    <col min="42" max="42" width="9.75" style="2259" customWidth="1"/>
    <col min="43" max="67" width="13.75" style="2259"/>
    <col min="68" max="16384" width="13.75" style="2260"/>
  </cols>
  <sheetData>
    <row r="1" spans="1:67" ht="19.5" thickBot="1">
      <c r="A1" s="2257" t="s">
        <v>1956</v>
      </c>
      <c r="B1" s="730"/>
      <c r="C1" s="1575"/>
      <c r="D1" s="2258"/>
      <c r="E1" s="1575"/>
      <c r="F1" s="1575"/>
      <c r="G1" s="1575"/>
      <c r="H1" s="1575"/>
      <c r="I1" s="1575"/>
      <c r="J1" s="1575"/>
      <c r="K1" s="166"/>
      <c r="L1" s="166"/>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24" customFormat="1" ht="15.75" thickBot="1">
      <c r="A2" s="2261" t="s">
        <v>1957</v>
      </c>
      <c r="B2" s="1262">
        <f>项目基本情况!D3</f>
        <v>43878</v>
      </c>
      <c r="C2" s="2262"/>
      <c r="D2" s="2263"/>
      <c r="E2" s="2262"/>
      <c r="F2" s="2262"/>
      <c r="G2" s="2262"/>
      <c r="H2" s="2262"/>
      <c r="I2" s="2262"/>
      <c r="J2" s="2262"/>
      <c r="K2" s="1423"/>
      <c r="L2" s="1423"/>
      <c r="M2" s="2262"/>
      <c r="N2" s="2262"/>
      <c r="O2" s="2262"/>
      <c r="P2" s="2262"/>
      <c r="Q2" s="2262"/>
      <c r="R2" s="2262"/>
      <c r="S2" s="2262"/>
      <c r="T2" s="2262"/>
      <c r="U2" s="2262"/>
      <c r="V2" s="2262"/>
      <c r="W2" s="2262"/>
      <c r="X2" s="2262"/>
      <c r="Y2" s="2262"/>
      <c r="Z2" s="2262"/>
      <c r="AA2" s="2262"/>
      <c r="AB2" s="2262"/>
      <c r="AC2" s="2262"/>
      <c r="AD2" s="2262"/>
      <c r="AE2" s="2262"/>
      <c r="AF2" s="2262"/>
      <c r="AG2" s="2262"/>
      <c r="AH2" s="2262"/>
      <c r="AI2" s="2262"/>
      <c r="AJ2" s="2262"/>
      <c r="AK2" s="2262"/>
      <c r="AL2" s="2262"/>
      <c r="AM2" s="2262"/>
      <c r="AN2" s="2264"/>
      <c r="AO2" s="2264"/>
      <c r="AP2" s="2264"/>
      <c r="AQ2" s="2264"/>
      <c r="AR2" s="2264"/>
      <c r="AS2" s="2264"/>
      <c r="AT2" s="2264"/>
      <c r="AU2" s="2264"/>
      <c r="AV2" s="2264"/>
      <c r="AW2" s="2264"/>
      <c r="AX2" s="2264"/>
      <c r="AY2" s="2264"/>
      <c r="AZ2" s="2264"/>
      <c r="BA2" s="2264"/>
      <c r="BB2" s="2264"/>
      <c r="BC2" s="2264"/>
      <c r="BD2" s="2264"/>
      <c r="BE2" s="2264"/>
      <c r="BF2" s="2264"/>
      <c r="BG2" s="2264"/>
      <c r="BH2" s="2264"/>
      <c r="BI2" s="2264"/>
      <c r="BJ2" s="2264"/>
      <c r="BK2" s="2264"/>
      <c r="BL2" s="2264"/>
      <c r="BM2" s="2264"/>
      <c r="BN2" s="2264"/>
      <c r="BO2" s="2264"/>
    </row>
    <row r="3" spans="1:67" s="2024" customFormat="1" ht="15" thickBot="1">
      <c r="A3" s="2022"/>
      <c r="B3" s="2265"/>
      <c r="C3" s="2262"/>
      <c r="D3" s="2263"/>
      <c r="E3" s="2262"/>
      <c r="F3" s="2262"/>
      <c r="G3" s="2262"/>
      <c r="H3" s="2262"/>
      <c r="I3" s="2262"/>
      <c r="J3" s="2262"/>
      <c r="K3" s="1423"/>
      <c r="L3" s="1423"/>
      <c r="M3" s="2262"/>
      <c r="N3" s="2262"/>
      <c r="O3" s="2262"/>
      <c r="P3" s="2262"/>
      <c r="Q3" s="2262"/>
      <c r="R3" s="2262"/>
      <c r="S3" s="2262"/>
      <c r="T3" s="2262"/>
      <c r="U3" s="2262"/>
      <c r="V3" s="2262"/>
      <c r="W3" s="2262"/>
      <c r="X3" s="2262"/>
      <c r="Y3" s="2262"/>
      <c r="Z3" s="2262"/>
      <c r="AA3" s="2262"/>
      <c r="AB3" s="2262"/>
      <c r="AC3" s="2262"/>
      <c r="AD3" s="2262"/>
      <c r="AE3" s="2262"/>
      <c r="AF3" s="2262"/>
      <c r="AG3" s="2262"/>
      <c r="AH3" s="2262"/>
      <c r="AI3" s="2262"/>
      <c r="AJ3" s="2262"/>
      <c r="AK3" s="2262"/>
      <c r="AL3" s="2262"/>
      <c r="AM3" s="2262"/>
      <c r="AN3" s="2264"/>
      <c r="AO3" s="2264"/>
      <c r="AP3" s="2264"/>
      <c r="AQ3" s="2264"/>
      <c r="AR3" s="2264"/>
      <c r="AS3" s="2264"/>
      <c r="AT3" s="2264"/>
      <c r="AU3" s="2264"/>
      <c r="AV3" s="2264"/>
      <c r="AW3" s="2264"/>
      <c r="AX3" s="2264"/>
      <c r="AY3" s="2264"/>
      <c r="AZ3" s="2264"/>
      <c r="BA3" s="2264"/>
      <c r="BB3" s="2264"/>
      <c r="BC3" s="2264"/>
      <c r="BD3" s="2264"/>
      <c r="BE3" s="2264"/>
      <c r="BF3" s="2264"/>
      <c r="BG3" s="2264"/>
      <c r="BH3" s="2264"/>
      <c r="BI3" s="2264"/>
      <c r="BJ3" s="2264"/>
      <c r="BK3" s="2264"/>
      <c r="BL3" s="2264"/>
      <c r="BM3" s="2264"/>
      <c r="BN3" s="2264"/>
      <c r="BO3" s="2264"/>
    </row>
    <row r="4" spans="1:67" s="2024" customFormat="1" ht="15" thickBot="1">
      <c r="A4" s="67" t="s">
        <v>1958</v>
      </c>
      <c r="B4" s="2266"/>
      <c r="C4" s="2267"/>
      <c r="D4" s="2268"/>
      <c r="E4" s="2267" t="s">
        <v>1959</v>
      </c>
      <c r="F4" s="2267"/>
      <c r="G4" s="2267"/>
      <c r="H4" s="2267"/>
      <c r="I4" s="2267"/>
      <c r="J4" s="2269"/>
      <c r="K4" s="2270"/>
      <c r="L4" s="2271"/>
      <c r="M4" s="2267"/>
      <c r="N4" s="2267" t="s">
        <v>1960</v>
      </c>
      <c r="O4" s="2267"/>
      <c r="P4" s="2267"/>
      <c r="Q4" s="2267"/>
      <c r="R4" s="2267"/>
      <c r="S4" s="2269"/>
      <c r="T4" s="2272" t="str">
        <f>'数据-汇总表'!I17</f>
        <v>按面积比例</v>
      </c>
      <c r="U4" s="2266" t="s">
        <v>1961</v>
      </c>
      <c r="V4" s="2267"/>
      <c r="W4" s="2267"/>
      <c r="X4" s="2267"/>
      <c r="Y4" s="2269"/>
      <c r="Z4" s="2229" t="s">
        <v>1962</v>
      </c>
      <c r="AA4" s="2229"/>
      <c r="AB4" s="2229"/>
      <c r="AC4" s="2229"/>
      <c r="AD4" s="2229"/>
      <c r="AE4" s="2227" t="s">
        <v>1963</v>
      </c>
      <c r="AF4" s="2229"/>
      <c r="AG4" s="2273"/>
      <c r="AH4" s="2266"/>
      <c r="AI4" s="2267"/>
      <c r="AJ4" s="2267"/>
      <c r="AK4" s="2267"/>
      <c r="AL4" s="2267"/>
      <c r="AM4" s="2269"/>
      <c r="AN4" s="2264"/>
      <c r="AO4" s="2264"/>
      <c r="AP4" s="2264"/>
      <c r="AQ4" s="2264"/>
      <c r="AR4" s="2264"/>
      <c r="AS4" s="2264"/>
      <c r="AT4" s="2264"/>
      <c r="AU4" s="2264"/>
      <c r="AV4" s="2264"/>
      <c r="AW4" s="2264"/>
      <c r="AX4" s="2264"/>
      <c r="AY4" s="2264"/>
      <c r="AZ4" s="2264"/>
      <c r="BA4" s="2264"/>
      <c r="BB4" s="2264"/>
      <c r="BC4" s="2264"/>
      <c r="BD4" s="2264"/>
      <c r="BE4" s="2264"/>
      <c r="BF4" s="2264"/>
      <c r="BG4" s="2264"/>
      <c r="BH4" s="2264"/>
      <c r="BI4" s="2264"/>
      <c r="BJ4" s="2264"/>
      <c r="BK4" s="2264"/>
      <c r="BL4" s="2264"/>
      <c r="BM4" s="2264"/>
      <c r="BN4" s="2264"/>
      <c r="BO4" s="2264"/>
    </row>
    <row r="5" spans="1:67" s="2025" customFormat="1" ht="42">
      <c r="A5" s="2274" t="s">
        <v>1964</v>
      </c>
      <c r="B5" s="2275" t="s">
        <v>1965</v>
      </c>
      <c r="C5" s="2276" t="s">
        <v>1966</v>
      </c>
      <c r="D5" s="2277" t="s">
        <v>1967</v>
      </c>
      <c r="E5" s="1264" t="s">
        <v>1968</v>
      </c>
      <c r="F5" s="2278" t="s">
        <v>1969</v>
      </c>
      <c r="G5" s="1264" t="s">
        <v>1970</v>
      </c>
      <c r="H5" s="1264" t="s">
        <v>1971</v>
      </c>
      <c r="I5" s="1264" t="s">
        <v>1972</v>
      </c>
      <c r="J5" s="2279" t="s">
        <v>1973</v>
      </c>
      <c r="K5" s="2280" t="s">
        <v>1974</v>
      </c>
      <c r="L5" s="2281" t="s">
        <v>1975</v>
      </c>
      <c r="M5" s="2282" t="s">
        <v>1976</v>
      </c>
      <c r="N5" s="2283" t="s">
        <v>1977</v>
      </c>
      <c r="O5" s="2281" t="s">
        <v>1978</v>
      </c>
      <c r="P5" s="2284" t="s">
        <v>1979</v>
      </c>
      <c r="Q5" s="68" t="s">
        <v>1980</v>
      </c>
      <c r="R5" s="2285" t="s">
        <v>1981</v>
      </c>
      <c r="S5" s="2286" t="s">
        <v>1982</v>
      </c>
      <c r="T5" s="2287" t="s">
        <v>1983</v>
      </c>
      <c r="U5" s="1263" t="s">
        <v>1984</v>
      </c>
      <c r="V5" s="1264" t="s">
        <v>1985</v>
      </c>
      <c r="W5" s="1264" t="s">
        <v>1986</v>
      </c>
      <c r="X5" s="70"/>
      <c r="Y5" s="69" t="s">
        <v>1987</v>
      </c>
      <c r="Z5" s="2288" t="s">
        <v>1984</v>
      </c>
      <c r="AA5" s="1264" t="s">
        <v>1985</v>
      </c>
      <c r="AB5" s="1264" t="s">
        <v>1986</v>
      </c>
      <c r="AC5" s="70"/>
      <c r="AD5" s="70" t="s">
        <v>1987</v>
      </c>
      <c r="AE5" s="1263" t="s">
        <v>1988</v>
      </c>
      <c r="AF5" s="1264" t="s">
        <v>1989</v>
      </c>
      <c r="AG5" s="69" t="s">
        <v>1990</v>
      </c>
      <c r="AH5" s="1263" t="s">
        <v>1991</v>
      </c>
      <c r="AI5" s="2288" t="s">
        <v>1992</v>
      </c>
      <c r="AJ5" s="2288" t="s">
        <v>1993</v>
      </c>
      <c r="AK5" s="1264" t="s">
        <v>1994</v>
      </c>
      <c r="AL5" s="1264" t="s">
        <v>1995</v>
      </c>
      <c r="AM5" s="69" t="s">
        <v>1996</v>
      </c>
      <c r="AN5" s="2289" t="s">
        <v>1997</v>
      </c>
      <c r="AO5" s="2063" t="s">
        <v>1998</v>
      </c>
      <c r="AP5" s="1245" t="s">
        <v>1999</v>
      </c>
      <c r="AQ5" s="2290" t="s">
        <v>2000</v>
      </c>
      <c r="AR5" s="2290" t="s">
        <v>2001</v>
      </c>
      <c r="AS5" s="2142"/>
      <c r="AT5" s="2142"/>
      <c r="AU5" s="2142"/>
      <c r="AV5" s="2142"/>
      <c r="AW5" s="2142"/>
      <c r="AX5" s="2142"/>
      <c r="AY5" s="2142"/>
      <c r="AZ5" s="2142"/>
      <c r="BA5" s="2142"/>
      <c r="BB5" s="2142"/>
      <c r="BC5" s="2142"/>
      <c r="BD5" s="2142"/>
      <c r="BE5" s="2142"/>
      <c r="BF5" s="2142"/>
      <c r="BG5" s="2142"/>
      <c r="BH5" s="2142"/>
      <c r="BI5" s="2142"/>
      <c r="BJ5" s="2142"/>
      <c r="BK5" s="2142"/>
      <c r="BL5" s="2142"/>
      <c r="BM5" s="2142"/>
      <c r="BN5" s="2142"/>
      <c r="BO5" s="2142"/>
    </row>
    <row r="6" spans="1:67" s="2024" customFormat="1" ht="14.25">
      <c r="A6" s="2291" t="str">
        <f>'数据-汇总表'!C19</f>
        <v>低密度住宅</v>
      </c>
      <c r="B6" s="2292" t="str">
        <f>IF(A6=0,"","经营性")</f>
        <v>经营性</v>
      </c>
      <c r="C6" s="2293" t="s">
        <v>3080</v>
      </c>
      <c r="D6" s="1048">
        <f>SUMIF(项目基本情况!D$12:I$12,C6,项目基本情况!D$14:I$14)</f>
        <v>70</v>
      </c>
      <c r="E6" s="1045">
        <f>IF(B6="","",SUMIF(项目基本情况!D$12:I$12,C6,项目基本情况!D$13:I$13))</f>
        <v>68510</v>
      </c>
      <c r="F6" s="71">
        <f>SUMIF(项目基本情况!D$12:I$12,C6,项目基本情况!D$15:I$15)</f>
        <v>67.48</v>
      </c>
      <c r="G6" s="72">
        <f>IF(ISERROR(ROUND(POWER(1+H6,D6-F6)*(POWER(1+H6,F6)-1)/(POWER(1+H6,D6)-1),3)),0,ROUND(POWER(1+H6,D6-F6)*(POWER(1+H6,F6)-1)/(POWER(1+H6,D6)-1),3))</f>
        <v>0.99299999999999999</v>
      </c>
      <c r="H6" s="800">
        <v>0.04</v>
      </c>
      <c r="I6" s="800">
        <v>4.4999999999999998E-2</v>
      </c>
      <c r="J6" s="73">
        <v>8.5000000000000006E-2</v>
      </c>
      <c r="K6" s="1247">
        <f>SUMIF('数据-汇总表'!C$19:C$33,A6,'数据-汇总表'!E$19:E$33)</f>
        <v>32718.36</v>
      </c>
      <c r="L6" s="801">
        <v>4000</v>
      </c>
      <c r="M6" s="74">
        <f t="shared" ref="M6:M14" si="0">ROUND(K6*L6/10000,0)</f>
        <v>13087</v>
      </c>
      <c r="N6" s="799">
        <f>规证!O98</f>
        <v>0.55000000000000004</v>
      </c>
      <c r="O6" s="74">
        <f>IF($N$5="成新度","——",ROUND(M6*N6,0))</f>
        <v>7198</v>
      </c>
      <c r="P6" s="75">
        <f>IF($N$5="成新度","——",M6-O6)</f>
        <v>5889</v>
      </c>
      <c r="Q6" s="802">
        <v>0.1</v>
      </c>
      <c r="R6" s="76">
        <f ca="1">SUMIF('数据-汇总表'!C$19:C$33,A6,'数据-汇总表'!R$19:R$27)</f>
        <v>13598.48</v>
      </c>
      <c r="S6" s="54">
        <f>IF('数据-汇总表'!$I$17="按面积比例",SUMIF('数据-汇总表'!C$19:C$33,A6,'数据-汇总表'!K$19:K$33),SUMIF('数据-汇总表'!C$19:C$33,A6,'数据-汇总表'!N$19:N$33))</f>
        <v>593.47</v>
      </c>
      <c r="T6" s="1439">
        <f>ROUND($L$14*S6/10000,0)</f>
        <v>148</v>
      </c>
      <c r="U6" s="77"/>
      <c r="V6" s="78"/>
      <c r="W6" s="78"/>
      <c r="X6" s="1257"/>
      <c r="Y6" s="79"/>
      <c r="Z6" s="80"/>
      <c r="AA6" s="73"/>
      <c r="AB6" s="73"/>
      <c r="AC6" s="1257"/>
      <c r="AD6" s="81"/>
      <c r="AE6" s="1258">
        <f ca="1">IF(AN6="",0,SUMIF(INDIRECT("'"&amp;AN6&amp;"'"&amp;"!E:E"),$AE$5,INDIRECT("'"&amp;AN6&amp;"'"&amp;"!F:F")))</f>
        <v>0</v>
      </c>
      <c r="AF6" s="1798"/>
      <c r="AG6" s="145">
        <f>IF(AF6="",0,AE6-AF6)</f>
        <v>0</v>
      </c>
      <c r="AH6" s="82"/>
      <c r="AI6" s="84"/>
      <c r="AJ6" s="85"/>
      <c r="AK6" s="86"/>
      <c r="AL6" s="87"/>
      <c r="AM6" s="88"/>
      <c r="AN6" s="2294"/>
      <c r="AO6" s="55" t="e">
        <f ca="1">SUMIF(INDIRECT("'"&amp;AN6&amp;"'"&amp;"!A:A"),"总价",INDIRECT("'"&amp;AN6&amp;"'"&amp;"!B:B"))</f>
        <v>#REF!</v>
      </c>
      <c r="AP6" s="2295">
        <f>IF(C6="住宅",K6*L6,0)</f>
        <v>130873440</v>
      </c>
      <c r="AQ6" s="55">
        <f>ROUND($L$14*$N$14*S6/10000,0)</f>
        <v>82</v>
      </c>
      <c r="AR6" s="55">
        <f>ROUND($L$14*(1-$N$14)*S6/10000,0)</f>
        <v>67</v>
      </c>
      <c r="AS6" s="2264"/>
      <c r="AT6" s="2264"/>
      <c r="AU6" s="2264"/>
      <c r="AV6" s="2264"/>
      <c r="AW6" s="2264"/>
      <c r="AX6" s="2264"/>
      <c r="AY6" s="2264"/>
      <c r="AZ6" s="2264"/>
      <c r="BA6" s="2264"/>
      <c r="BB6" s="2264"/>
      <c r="BC6" s="2264"/>
      <c r="BD6" s="2264"/>
      <c r="BE6" s="2264"/>
      <c r="BF6" s="2264"/>
      <c r="BG6" s="2264"/>
      <c r="BH6" s="2264"/>
      <c r="BI6" s="2264"/>
      <c r="BJ6" s="2264"/>
      <c r="BK6" s="2264"/>
      <c r="BL6" s="2264"/>
      <c r="BM6" s="2264"/>
      <c r="BN6" s="2264"/>
      <c r="BO6" s="2264"/>
    </row>
    <row r="7" spans="1:67" s="2024" customFormat="1" ht="14.25">
      <c r="A7" s="2291" t="str">
        <f>'数据-汇总表'!C20</f>
        <v>洋房住宅</v>
      </c>
      <c r="B7" s="2292" t="str">
        <f t="shared" ref="B7:B13" si="1">IF(A7=0,"","经营性")</f>
        <v>经营性</v>
      </c>
      <c r="C7" s="2293" t="s">
        <v>3080</v>
      </c>
      <c r="D7" s="1048">
        <f>SUMIF(项目基本情况!D$12:I$12,C7,项目基本情况!D$14:I$14)</f>
        <v>70</v>
      </c>
      <c r="E7" s="1045">
        <f>IF(B7="","",SUMIF(项目基本情况!D$12:I$12,C7,项目基本情况!D$13:I$13))</f>
        <v>68510</v>
      </c>
      <c r="F7" s="71">
        <f>SUMIF(项目基本情况!D$12:I$12,C7,项目基本情况!D$15:I$15)</f>
        <v>67.48</v>
      </c>
      <c r="G7" s="72">
        <f t="shared" ref="G7:G11" si="2">IF(ISERROR(ROUND(POWER(1+H7,D7-F7)*(POWER(1+H7,F7)-1)/(POWER(1+H7,D7)-1),3)),0,ROUND(POWER(1+H7,D7-F7)*(POWER(1+H7,F7)-1)/(POWER(1+H7,D7)-1),3))</f>
        <v>0.99299999999999999</v>
      </c>
      <c r="H7" s="800">
        <v>0.04</v>
      </c>
      <c r="I7" s="800">
        <v>4.4999999999999998E-2</v>
      </c>
      <c r="J7" s="73">
        <v>8.5000000000000006E-2</v>
      </c>
      <c r="K7" s="1247">
        <f>SUMIF('数据-汇总表'!C$19:C$33,A7,'数据-汇总表'!E$19:E$33)</f>
        <v>7640.3099999999995</v>
      </c>
      <c r="L7" s="801">
        <f>L6</f>
        <v>4000</v>
      </c>
      <c r="M7" s="74">
        <f t="shared" si="0"/>
        <v>3056</v>
      </c>
      <c r="N7" s="799">
        <f>N6</f>
        <v>0.55000000000000004</v>
      </c>
      <c r="O7" s="74">
        <f t="shared" ref="O7:O14" si="3">IF($N$5="成新度","——",ROUND(M7*N7,0))</f>
        <v>1681</v>
      </c>
      <c r="P7" s="75">
        <f t="shared" ref="P7:P14" si="4">IF($N$5="成新度","——",M7-O7)</f>
        <v>1375</v>
      </c>
      <c r="Q7" s="802">
        <v>0.1</v>
      </c>
      <c r="R7" s="76">
        <f ca="1">SUMIF('数据-汇总表'!C$19:C$33,A7,'数据-汇总表'!R$19:R$27)</f>
        <v>3175.49</v>
      </c>
      <c r="S7" s="54">
        <f>IF('数据-汇总表'!$I$17="按面积比例",SUMIF('数据-汇总表'!C$19:C$33,A7,'数据-汇总表'!K$19:K$33),SUMIF('数据-汇总表'!C$19:C$33,A7,'数据-汇总表'!N$19:N$33))</f>
        <v>138.59</v>
      </c>
      <c r="T7" s="1439">
        <f t="shared" ref="T7:T13" si="5">ROUND($L$14*S7/10000,0)</f>
        <v>35</v>
      </c>
      <c r="U7" s="77"/>
      <c r="V7" s="78"/>
      <c r="W7" s="78"/>
      <c r="X7" s="1257"/>
      <c r="Y7" s="79"/>
      <c r="Z7" s="80"/>
      <c r="AA7" s="73"/>
      <c r="AB7" s="73"/>
      <c r="AC7" s="1257"/>
      <c r="AD7" s="81"/>
      <c r="AE7" s="1258">
        <f t="shared" ref="AE7:AE13" ca="1" si="6">IF(AN7="",0,SUMIF(INDIRECT("'"&amp;AN7&amp;"'"&amp;"!E:E"),$AE$5,INDIRECT("'"&amp;AN7&amp;"'"&amp;"!F:F")))</f>
        <v>0</v>
      </c>
      <c r="AF7" s="1798"/>
      <c r="AG7" s="145">
        <f t="shared" ref="AG7:AG13" si="7">IF(AF7="",0,AE7-AF7)</f>
        <v>0</v>
      </c>
      <c r="AH7" s="82"/>
      <c r="AI7" s="84"/>
      <c r="AJ7" s="85"/>
      <c r="AK7" s="86"/>
      <c r="AL7" s="87"/>
      <c r="AM7" s="88"/>
      <c r="AN7" s="2294"/>
      <c r="AO7" s="55" t="e">
        <f t="shared" ref="AO7:AO13" ca="1" si="8">SUMIF(INDIRECT("'"&amp;AN7&amp;"'"&amp;"!A:A"),"总价",INDIRECT("'"&amp;AN7&amp;"'"&amp;"!B:B"))</f>
        <v>#REF!</v>
      </c>
      <c r="AP7" s="2295">
        <f t="shared" ref="AP7:AP13" si="9">IF(C7="住宅",K7*L7,0)</f>
        <v>30561239.999999996</v>
      </c>
      <c r="AQ7" s="55">
        <f t="shared" ref="AQ7:AQ13" si="10">ROUND($L$14*$N$14*S7/10000,0)</f>
        <v>19</v>
      </c>
      <c r="AR7" s="55">
        <f t="shared" ref="AR7:AR13" si="11">ROUND($L$14*(1-$N$14)*S7/10000,0)</f>
        <v>16</v>
      </c>
      <c r="AS7" s="2264"/>
      <c r="AT7" s="2264"/>
      <c r="AU7" s="2264"/>
      <c r="AV7" s="2264"/>
      <c r="AW7" s="2264"/>
      <c r="AX7" s="2264"/>
      <c r="AY7" s="2264"/>
      <c r="AZ7" s="2264"/>
      <c r="BA7" s="2264"/>
      <c r="BB7" s="2264"/>
      <c r="BC7" s="2264"/>
      <c r="BD7" s="2264"/>
      <c r="BE7" s="2264"/>
      <c r="BF7" s="2264"/>
      <c r="BG7" s="2264"/>
      <c r="BH7" s="2264"/>
      <c r="BI7" s="2264"/>
      <c r="BJ7" s="2264"/>
      <c r="BK7" s="2264"/>
      <c r="BL7" s="2264"/>
      <c r="BM7" s="2264"/>
      <c r="BN7" s="2264"/>
      <c r="BO7" s="2264"/>
    </row>
    <row r="8" spans="1:67" s="2024" customFormat="1" ht="14.25">
      <c r="A8" s="2291" t="str">
        <f>'数据-汇总表'!C21</f>
        <v>自持住宅</v>
      </c>
      <c r="B8" s="2292" t="str">
        <f t="shared" si="1"/>
        <v>经营性</v>
      </c>
      <c r="C8" s="2293" t="s">
        <v>3080</v>
      </c>
      <c r="D8" s="1048">
        <f>SUMIF(项目基本情况!D$12:I$12,C8,项目基本情况!D$14:I$14)</f>
        <v>70</v>
      </c>
      <c r="E8" s="1045">
        <f>IF(B8="","",SUMIF(项目基本情况!D$12:I$12,C8,项目基本情况!D$13:I$13))</f>
        <v>68510</v>
      </c>
      <c r="F8" s="71">
        <f>SUMIF(项目基本情况!D$12:I$12,C8,项目基本情况!D$15:I$15)</f>
        <v>67.48</v>
      </c>
      <c r="G8" s="72">
        <f t="shared" si="2"/>
        <v>0.99299999999999999</v>
      </c>
      <c r="H8" s="800">
        <v>0.04</v>
      </c>
      <c r="I8" s="800">
        <v>4.4999999999999998E-2</v>
      </c>
      <c r="J8" s="73">
        <v>8.5000000000000006E-2</v>
      </c>
      <c r="K8" s="1247">
        <f>SUMIF('数据-汇总表'!C$19:C$33,A8,'数据-汇总表'!E$19:E$33)</f>
        <v>32388.770000000004</v>
      </c>
      <c r="L8" s="801">
        <f>L6</f>
        <v>4000</v>
      </c>
      <c r="M8" s="74">
        <f>ROUND(K8*L8/10000,0)</f>
        <v>12956</v>
      </c>
      <c r="N8" s="799">
        <f t="shared" ref="N8:N14" si="12">N7</f>
        <v>0.55000000000000004</v>
      </c>
      <c r="O8" s="74">
        <f t="shared" si="3"/>
        <v>7126</v>
      </c>
      <c r="P8" s="75">
        <f t="shared" si="4"/>
        <v>5830</v>
      </c>
      <c r="Q8" s="802">
        <v>0.05</v>
      </c>
      <c r="R8" s="76">
        <f ca="1">SUMIF('数据-汇总表'!C$19:C$33,A8,'数据-汇总表'!R$19:R$27)</f>
        <v>13461.49</v>
      </c>
      <c r="S8" s="54">
        <f>IF('数据-汇总表'!$I$17="按面积比例",SUMIF('数据-汇总表'!C$19:C$33,A8,'数据-汇总表'!K$19:K$33),SUMIF('数据-汇总表'!C$19:C$33,A8,'数据-汇总表'!N$19:N$33))</f>
        <v>587.49</v>
      </c>
      <c r="T8" s="1439">
        <f t="shared" si="5"/>
        <v>147</v>
      </c>
      <c r="U8" s="803">
        <v>3</v>
      </c>
      <c r="V8" s="804">
        <v>0</v>
      </c>
      <c r="W8" s="804">
        <v>0.15</v>
      </c>
      <c r="X8" s="1257"/>
      <c r="Y8" s="805">
        <v>1</v>
      </c>
      <c r="Z8" s="80"/>
      <c r="AA8" s="73"/>
      <c r="AB8" s="73"/>
      <c r="AC8" s="1257"/>
      <c r="AD8" s="81"/>
      <c r="AE8" s="1258">
        <f t="shared" ca="1" si="6"/>
        <v>66.48</v>
      </c>
      <c r="AF8" s="1798"/>
      <c r="AG8" s="145">
        <f t="shared" si="7"/>
        <v>0</v>
      </c>
      <c r="AH8" s="806"/>
      <c r="AI8" s="84">
        <v>365</v>
      </c>
      <c r="AJ8" s="85"/>
      <c r="AK8" s="807">
        <v>1.4999999999999999E-2</v>
      </c>
      <c r="AL8" s="808">
        <v>1.5E-3</v>
      </c>
      <c r="AM8" s="809">
        <v>0.01</v>
      </c>
      <c r="AN8" s="2294" t="s">
        <v>4531</v>
      </c>
      <c r="AO8" s="55">
        <f t="shared" ca="1" si="8"/>
        <v>45806</v>
      </c>
      <c r="AP8" s="2295">
        <f t="shared" si="9"/>
        <v>129555080.00000001</v>
      </c>
      <c r="AQ8" s="55">
        <f t="shared" si="10"/>
        <v>81</v>
      </c>
      <c r="AR8" s="55">
        <f t="shared" si="11"/>
        <v>66</v>
      </c>
      <c r="AS8" s="2264"/>
      <c r="AT8" s="2264"/>
      <c r="AU8" s="2264"/>
      <c r="AV8" s="2264"/>
      <c r="AW8" s="2264"/>
      <c r="AX8" s="2264"/>
      <c r="AY8" s="2264"/>
      <c r="AZ8" s="2264"/>
      <c r="BA8" s="2264"/>
      <c r="BB8" s="2264"/>
      <c r="BC8" s="2264"/>
      <c r="BD8" s="2264"/>
      <c r="BE8" s="2264"/>
      <c r="BF8" s="2264"/>
      <c r="BG8" s="2264"/>
      <c r="BH8" s="2264"/>
      <c r="BI8" s="2264"/>
      <c r="BJ8" s="2264"/>
      <c r="BK8" s="2264"/>
      <c r="BL8" s="2264"/>
      <c r="BM8" s="2264"/>
      <c r="BN8" s="2264"/>
      <c r="BO8" s="2264"/>
    </row>
    <row r="9" spans="1:67" s="2024" customFormat="1" ht="14.25">
      <c r="A9" s="2291" t="str">
        <f>'数据-汇总表'!C22</f>
        <v>商业</v>
      </c>
      <c r="B9" s="2292" t="str">
        <f t="shared" si="1"/>
        <v>经营性</v>
      </c>
      <c r="C9" s="2293" t="s">
        <v>1372</v>
      </c>
      <c r="D9" s="1048">
        <f>SUMIF(项目基本情况!D$12:I$12,C9,项目基本情况!D$14:I$14)</f>
        <v>40</v>
      </c>
      <c r="E9" s="1045">
        <f>IF(B9="","",SUMIF(项目基本情况!D$12:I$12,C9,项目基本情况!D$13:I$13))</f>
        <v>57553</v>
      </c>
      <c r="F9" s="71">
        <f>SUMIF(项目基本情况!D$12:I$12,C9,项目基本情况!D$15:I$15)</f>
        <v>37.46</v>
      </c>
      <c r="G9" s="72">
        <f t="shared" si="2"/>
        <v>0.97799999999999998</v>
      </c>
      <c r="H9" s="800">
        <v>0.05</v>
      </c>
      <c r="I9" s="73">
        <v>5.5E-2</v>
      </c>
      <c r="J9" s="73">
        <v>8.5000000000000006E-2</v>
      </c>
      <c r="K9" s="1247">
        <f>SUMIF('数据-汇总表'!C$19:C$33,A9,'数据-汇总表'!E$19:E$33)</f>
        <v>645.96</v>
      </c>
      <c r="L9" s="801">
        <v>3500</v>
      </c>
      <c r="M9" s="74">
        <f t="shared" si="0"/>
        <v>226</v>
      </c>
      <c r="N9" s="799">
        <f t="shared" si="12"/>
        <v>0.55000000000000004</v>
      </c>
      <c r="O9" s="74">
        <f t="shared" si="3"/>
        <v>124</v>
      </c>
      <c r="P9" s="75">
        <f t="shared" si="4"/>
        <v>102</v>
      </c>
      <c r="Q9" s="89">
        <v>0.15</v>
      </c>
      <c r="R9" s="76">
        <f ca="1">SUMIF('数据-汇总表'!C$19:C$33,A9,'数据-汇总表'!R$19:R$27)</f>
        <v>261.40000000000003</v>
      </c>
      <c r="S9" s="54">
        <f>IF('数据-汇总表'!$I$17="按面积比例",SUMIF('数据-汇总表'!C$19:C$33,A9,'数据-汇总表'!K$19:K$33),SUMIF('数据-汇总表'!C$19:C$33,A9,'数据-汇总表'!N$19:N$33))</f>
        <v>11.72</v>
      </c>
      <c r="T9" s="1439">
        <f t="shared" si="5"/>
        <v>3</v>
      </c>
      <c r="U9" s="77">
        <v>6</v>
      </c>
      <c r="V9" s="78">
        <v>0</v>
      </c>
      <c r="W9" s="78">
        <v>0.15</v>
      </c>
      <c r="X9" s="1257"/>
      <c r="Y9" s="79">
        <v>1</v>
      </c>
      <c r="Z9" s="80"/>
      <c r="AA9" s="73"/>
      <c r="AB9" s="73"/>
      <c r="AC9" s="1257"/>
      <c r="AD9" s="81"/>
      <c r="AE9" s="1258">
        <f t="shared" ca="1" si="6"/>
        <v>36.46</v>
      </c>
      <c r="AF9" s="1798"/>
      <c r="AG9" s="145">
        <f t="shared" si="7"/>
        <v>0</v>
      </c>
      <c r="AH9" s="82"/>
      <c r="AI9" s="84">
        <v>365</v>
      </c>
      <c r="AJ9" s="85"/>
      <c r="AK9" s="86">
        <v>1.4999999999999999E-2</v>
      </c>
      <c r="AL9" s="87">
        <v>1.5E-3</v>
      </c>
      <c r="AM9" s="88">
        <v>0.02</v>
      </c>
      <c r="AN9" s="2294" t="s">
        <v>4533</v>
      </c>
      <c r="AO9" s="55">
        <f t="shared" ca="1" si="8"/>
        <v>1435</v>
      </c>
      <c r="AP9" s="2295">
        <f t="shared" si="9"/>
        <v>0</v>
      </c>
      <c r="AQ9" s="55">
        <f t="shared" si="10"/>
        <v>2</v>
      </c>
      <c r="AR9" s="55">
        <f t="shared" si="11"/>
        <v>1</v>
      </c>
      <c r="AS9" s="2264"/>
      <c r="AT9" s="2264"/>
      <c r="AU9" s="2264"/>
      <c r="AV9" s="2264"/>
      <c r="AW9" s="2264"/>
      <c r="AX9" s="2264"/>
      <c r="AY9" s="2264"/>
      <c r="AZ9" s="2264"/>
      <c r="BA9" s="2264"/>
      <c r="BB9" s="2264"/>
      <c r="BC9" s="2264"/>
      <c r="BD9" s="2264"/>
      <c r="BE9" s="2264"/>
      <c r="BF9" s="2264"/>
      <c r="BG9" s="2264"/>
      <c r="BH9" s="2264"/>
      <c r="BI9" s="2264"/>
      <c r="BJ9" s="2264"/>
      <c r="BK9" s="2264"/>
      <c r="BL9" s="2264"/>
      <c r="BM9" s="2264"/>
      <c r="BN9" s="2264"/>
      <c r="BO9" s="2264"/>
    </row>
    <row r="10" spans="1:67" s="2024" customFormat="1" ht="14.25">
      <c r="A10" s="2291" t="str">
        <f>'数据-汇总表'!C23</f>
        <v>地下车库</v>
      </c>
      <c r="B10" s="2292" t="str">
        <f t="shared" si="1"/>
        <v>经营性</v>
      </c>
      <c r="C10" s="2293" t="s">
        <v>3190</v>
      </c>
      <c r="D10" s="1048">
        <f>SUMIF(项目基本情况!D$12:I$12,C10,项目基本情况!D$14:I$14)</f>
        <v>50</v>
      </c>
      <c r="E10" s="1045">
        <f>IF(B10="","",SUMIF(项目基本情况!D$12:I$12,C10,项目基本情况!D$13:I$13))</f>
        <v>61205</v>
      </c>
      <c r="F10" s="71">
        <f>SUMIF(项目基本情况!D$12:I$12,C10,项目基本情况!D$15:I$15)</f>
        <v>47.47</v>
      </c>
      <c r="G10" s="72">
        <f t="shared" si="2"/>
        <v>0.98299999999999998</v>
      </c>
      <c r="H10" s="73">
        <v>0.04</v>
      </c>
      <c r="I10" s="73">
        <v>4.4999999999999998E-2</v>
      </c>
      <c r="J10" s="73">
        <v>8.5000000000000006E-2</v>
      </c>
      <c r="K10" s="1247">
        <f>SUMIF('数据-汇总表'!C$19:C$33,A10,'数据-汇总表'!E$19:E$33)</f>
        <v>21662.76</v>
      </c>
      <c r="L10" s="801">
        <v>2500</v>
      </c>
      <c r="M10" s="74">
        <f t="shared" si="0"/>
        <v>5416</v>
      </c>
      <c r="N10" s="799">
        <f t="shared" si="12"/>
        <v>0.55000000000000004</v>
      </c>
      <c r="O10" s="74">
        <f t="shared" si="3"/>
        <v>2979</v>
      </c>
      <c r="P10" s="75">
        <f t="shared" si="4"/>
        <v>2437</v>
      </c>
      <c r="Q10" s="89">
        <v>0.03</v>
      </c>
      <c r="R10" s="76">
        <f ca="1">SUMIF('数据-汇总表'!C$19:C$33,A10,'数据-汇总表'!R$19:R$27)</f>
        <v>8766.26</v>
      </c>
      <c r="S10" s="54">
        <f>IF('数据-汇总表'!$I$17="按面积比例",SUMIF('数据-汇总表'!C$19:C$33,A10,'数据-汇总表'!K$19:K$33),SUMIF('数据-汇总表'!C$19:C$33,A10,'数据-汇总表'!N$19:N$33))</f>
        <v>392.94</v>
      </c>
      <c r="T10" s="1439">
        <f t="shared" si="5"/>
        <v>98</v>
      </c>
      <c r="U10" s="77"/>
      <c r="V10" s="78"/>
      <c r="W10" s="78"/>
      <c r="X10" s="1257"/>
      <c r="Y10" s="79"/>
      <c r="Z10" s="80"/>
      <c r="AA10" s="73"/>
      <c r="AB10" s="73"/>
      <c r="AC10" s="1257"/>
      <c r="AD10" s="81"/>
      <c r="AE10" s="1258">
        <f t="shared" ca="1" si="6"/>
        <v>46.47</v>
      </c>
      <c r="AF10" s="1798"/>
      <c r="AG10" s="145">
        <f t="shared" si="7"/>
        <v>0</v>
      </c>
      <c r="AH10" s="82">
        <v>476</v>
      </c>
      <c r="AI10" s="84">
        <v>12</v>
      </c>
      <c r="AJ10" s="85"/>
      <c r="AK10" s="86"/>
      <c r="AL10" s="87"/>
      <c r="AM10" s="88"/>
      <c r="AN10" s="2294" t="s">
        <v>4543</v>
      </c>
      <c r="AO10" s="55">
        <f t="shared" ca="1" si="8"/>
        <v>-19</v>
      </c>
      <c r="AP10" s="2295">
        <f t="shared" si="9"/>
        <v>0</v>
      </c>
      <c r="AQ10" s="55">
        <f t="shared" si="10"/>
        <v>54</v>
      </c>
      <c r="AR10" s="55">
        <f t="shared" si="11"/>
        <v>44</v>
      </c>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row>
    <row r="11" spans="1:67" s="2024" customFormat="1" ht="14.25">
      <c r="A11" s="2291" t="str">
        <f>'数据-汇总表'!C24</f>
        <v>洋房地下独立库房</v>
      </c>
      <c r="B11" s="2292" t="str">
        <f t="shared" si="1"/>
        <v>经营性</v>
      </c>
      <c r="C11" s="2293" t="s">
        <v>4487</v>
      </c>
      <c r="D11" s="1048">
        <f>SUMIF(项目基本情况!D$12:I$12,C11,项目基本情况!D$14:I$14)</f>
        <v>50</v>
      </c>
      <c r="E11" s="1045">
        <f>IF(B11="","",SUMIF(项目基本情况!D$12:I$12,C11,项目基本情况!D$13:I$13))</f>
        <v>61205</v>
      </c>
      <c r="F11" s="71">
        <f>SUMIF(项目基本情况!D$12:I$12,C11,项目基本情况!D$15:I$15)</f>
        <v>47.47</v>
      </c>
      <c r="G11" s="72">
        <f t="shared" si="2"/>
        <v>0.98299999999999998</v>
      </c>
      <c r="H11" s="73">
        <v>0.04</v>
      </c>
      <c r="I11" s="73">
        <v>4.4999999999999998E-2</v>
      </c>
      <c r="J11" s="73">
        <v>8.5000000000000006E-2</v>
      </c>
      <c r="K11" s="1247">
        <f>SUMIF('数据-汇总表'!C$19:C$33,A11,'数据-汇总表'!E$19:E$33)</f>
        <v>5827.19</v>
      </c>
      <c r="L11" s="90">
        <f>L10</f>
        <v>2500</v>
      </c>
      <c r="M11" s="74">
        <f t="shared" si="0"/>
        <v>1457</v>
      </c>
      <c r="N11" s="799">
        <f t="shared" si="12"/>
        <v>0.55000000000000004</v>
      </c>
      <c r="O11" s="74">
        <f t="shared" si="3"/>
        <v>801</v>
      </c>
      <c r="P11" s="75">
        <f t="shared" si="4"/>
        <v>656</v>
      </c>
      <c r="Q11" s="89">
        <v>0.03</v>
      </c>
      <c r="R11" s="76">
        <f ca="1">SUMIF('数据-汇总表'!C$19:C$33,A11,'数据-汇总表'!R$19:R$27)</f>
        <v>2358.09</v>
      </c>
      <c r="S11" s="54">
        <f>IF('数据-汇总表'!$I$17="按面积比例",SUMIF('数据-汇总表'!C$19:C$33,A11,'数据-汇总表'!K$19:K$33),SUMIF('数据-汇总表'!C$19:C$33,A11,'数据-汇总表'!N$19:N$33))</f>
        <v>105.7</v>
      </c>
      <c r="T11" s="1439">
        <f t="shared" si="5"/>
        <v>26</v>
      </c>
      <c r="U11" s="82">
        <v>1.5</v>
      </c>
      <c r="V11" s="73">
        <v>0</v>
      </c>
      <c r="W11" s="73">
        <v>0.15</v>
      </c>
      <c r="X11" s="1257"/>
      <c r="Y11" s="79">
        <v>1</v>
      </c>
      <c r="Z11" s="91"/>
      <c r="AA11" s="73"/>
      <c r="AB11" s="73"/>
      <c r="AC11" s="1257"/>
      <c r="AD11" s="81"/>
      <c r="AE11" s="1258">
        <f t="shared" ca="1" si="6"/>
        <v>46.47</v>
      </c>
      <c r="AF11" s="1798"/>
      <c r="AG11" s="145">
        <f t="shared" si="7"/>
        <v>0</v>
      </c>
      <c r="AH11" s="82"/>
      <c r="AI11" s="84">
        <v>365</v>
      </c>
      <c r="AJ11" s="85"/>
      <c r="AK11" s="92">
        <v>1.4999999999999999E-2</v>
      </c>
      <c r="AL11" s="93">
        <v>1.5E-3</v>
      </c>
      <c r="AM11" s="94">
        <v>0.01</v>
      </c>
      <c r="AN11" s="2294" t="s">
        <v>4535</v>
      </c>
      <c r="AO11" s="55">
        <f t="shared" ca="1" si="8"/>
        <v>3657</v>
      </c>
      <c r="AP11" s="2295">
        <f t="shared" si="9"/>
        <v>0</v>
      </c>
      <c r="AQ11" s="55">
        <f t="shared" si="10"/>
        <v>15</v>
      </c>
      <c r="AR11" s="55">
        <f t="shared" si="11"/>
        <v>12</v>
      </c>
      <c r="AS11" s="2264"/>
      <c r="AT11" s="2264"/>
      <c r="AU11" s="2264"/>
      <c r="AV11" s="2264"/>
      <c r="AW11" s="2264"/>
      <c r="AX11" s="2264"/>
      <c r="AY11" s="2264"/>
      <c r="AZ11" s="2264"/>
      <c r="BA11" s="2264"/>
      <c r="BB11" s="2264"/>
      <c r="BC11" s="2264"/>
      <c r="BD11" s="2264"/>
      <c r="BE11" s="2264"/>
      <c r="BF11" s="2264"/>
      <c r="BG11" s="2264"/>
      <c r="BH11" s="2264"/>
      <c r="BI11" s="2264"/>
      <c r="BJ11" s="2264"/>
      <c r="BK11" s="2264"/>
      <c r="BL11" s="2264"/>
      <c r="BM11" s="2264"/>
      <c r="BN11" s="2264"/>
      <c r="BO11" s="2264"/>
    </row>
    <row r="12" spans="1:67" s="2024" customFormat="1" ht="14.25">
      <c r="A12" s="2291" t="str">
        <f>'数据-汇总表'!C25</f>
        <v>低密度地下配套库房</v>
      </c>
      <c r="B12" s="2292" t="str">
        <f t="shared" si="1"/>
        <v>经营性</v>
      </c>
      <c r="C12" s="2293" t="s">
        <v>4487</v>
      </c>
      <c r="D12" s="1048">
        <f>SUMIF(项目基本情况!D$12:I$12,C12,项目基本情况!D$14:I$14)</f>
        <v>50</v>
      </c>
      <c r="E12" s="1045">
        <f>IF(B12="","",SUMIF(项目基本情况!D$12:I$12,C12,项目基本情况!D$13:I$13))</f>
        <v>61205</v>
      </c>
      <c r="F12" s="71">
        <f>SUMIF(项目基本情况!D$12:I$12,C12,项目基本情况!D$15:I$15)</f>
        <v>47.47</v>
      </c>
      <c r="G12" s="72">
        <f>IF(ISERROR(ROUND(POWER(1+H12,D12-F12)*(POWER(1+H12,F12)-1)/(POWER(1+H12,D12)-1),3)),0,ROUND(POWER(1+H12,D12-F12)*(POWER(1+H12,F12)-1)/(POWER(1+H12,D12)-1),3))</f>
        <v>0.98299999999999998</v>
      </c>
      <c r="H12" s="73">
        <v>0.04</v>
      </c>
      <c r="I12" s="73">
        <v>4.4999999999999998E-2</v>
      </c>
      <c r="J12" s="73">
        <v>8.5000000000000006E-2</v>
      </c>
      <c r="K12" s="1247">
        <f>SUMIF('数据-汇总表'!C$19:C$33,A12,'数据-汇总表'!E$19:E$33)</f>
        <v>41549.64</v>
      </c>
      <c r="L12" s="90">
        <f>L10</f>
        <v>2500</v>
      </c>
      <c r="M12" s="74">
        <f>ROUND(K12*L12/10000,0)</f>
        <v>10387</v>
      </c>
      <c r="N12" s="799">
        <f t="shared" si="12"/>
        <v>0.55000000000000004</v>
      </c>
      <c r="O12" s="74">
        <f t="shared" si="3"/>
        <v>5713</v>
      </c>
      <c r="P12" s="75">
        <f t="shared" si="4"/>
        <v>4674</v>
      </c>
      <c r="Q12" s="89">
        <v>0.1</v>
      </c>
      <c r="R12" s="76">
        <f ca="1">SUMIF('数据-汇总表'!C$19:C$33,A12,'数据-汇总表'!R$19:R$27)</f>
        <v>16813.87</v>
      </c>
      <c r="S12" s="54">
        <f>IF('数据-汇总表'!$I$17="按面积比例",SUMIF('数据-汇总表'!C$19:C$33,A12,'数据-汇总表'!K$19:K$33),SUMIF('数据-汇总表'!C$19:C$33,A12,'数据-汇总表'!N$19:N$33))</f>
        <v>753.66</v>
      </c>
      <c r="T12" s="1439">
        <f t="shared" si="5"/>
        <v>188</v>
      </c>
      <c r="U12" s="82"/>
      <c r="V12" s="73"/>
      <c r="W12" s="73"/>
      <c r="X12" s="1257"/>
      <c r="Y12" s="79"/>
      <c r="Z12" s="91"/>
      <c r="AA12" s="73"/>
      <c r="AB12" s="73"/>
      <c r="AC12" s="1257"/>
      <c r="AD12" s="81"/>
      <c r="AE12" s="1258">
        <f t="shared" ca="1" si="6"/>
        <v>0</v>
      </c>
      <c r="AF12" s="1798"/>
      <c r="AG12" s="145">
        <f t="shared" si="7"/>
        <v>0</v>
      </c>
      <c r="AH12" s="82"/>
      <c r="AI12" s="84"/>
      <c r="AJ12" s="85"/>
      <c r="AK12" s="92"/>
      <c r="AL12" s="93"/>
      <c r="AM12" s="94"/>
      <c r="AN12" s="2294"/>
      <c r="AO12" s="55" t="e">
        <f t="shared" ca="1" si="8"/>
        <v>#REF!</v>
      </c>
      <c r="AP12" s="2295">
        <f t="shared" si="9"/>
        <v>0</v>
      </c>
      <c r="AQ12" s="55">
        <f t="shared" si="10"/>
        <v>104</v>
      </c>
      <c r="AR12" s="55">
        <f t="shared" si="11"/>
        <v>85</v>
      </c>
      <c r="AS12" s="2264"/>
      <c r="AT12" s="2264"/>
      <c r="AU12" s="2264"/>
      <c r="AV12" s="2264"/>
      <c r="AW12" s="2264"/>
      <c r="AX12" s="2264"/>
      <c r="AY12" s="2264"/>
      <c r="AZ12" s="2264"/>
      <c r="BA12" s="2264"/>
      <c r="BB12" s="2264"/>
      <c r="BC12" s="2264"/>
      <c r="BD12" s="2264"/>
      <c r="BE12" s="2264"/>
      <c r="BF12" s="2264"/>
      <c r="BG12" s="2264"/>
      <c r="BH12" s="2264"/>
      <c r="BI12" s="2264"/>
      <c r="BJ12" s="2264"/>
      <c r="BK12" s="2264"/>
      <c r="BL12" s="2264"/>
      <c r="BM12" s="2264"/>
      <c r="BN12" s="2264"/>
      <c r="BO12" s="2264"/>
    </row>
    <row r="13" spans="1:67" s="2024" customFormat="1" ht="14.25">
      <c r="A13" s="2291" t="str">
        <f>'数据-汇总表'!C26</f>
        <v>洋房配套库房</v>
      </c>
      <c r="B13" s="2292" t="str">
        <f t="shared" si="1"/>
        <v>经营性</v>
      </c>
      <c r="C13" s="2293" t="s">
        <v>4487</v>
      </c>
      <c r="D13" s="1048">
        <f>SUMIF(项目基本情况!D$12:I$12,C13,项目基本情况!D$14:I$14)</f>
        <v>50</v>
      </c>
      <c r="E13" s="1045">
        <f>IF(B13="","",SUMIF(项目基本情况!D$12:I$12,C13,项目基本情况!D$13:I$13))</f>
        <v>61205</v>
      </c>
      <c r="F13" s="71">
        <f>SUMIF(项目基本情况!D$12:I$12,C13,项目基本情况!D$15:I$15)</f>
        <v>47.47</v>
      </c>
      <c r="G13" s="72">
        <f>IF(ISERROR(ROUND(POWER(1+H13,D13-F13)*(POWER(1+H13,F13)-1)/(POWER(1+H13,D13)-1),3)),0,ROUND(POWER(1+H13,D13-F13)*(POWER(1+H13,F13)-1)/(POWER(1+H13,D13)-1),3))</f>
        <v>0.98299999999999998</v>
      </c>
      <c r="H13" s="73">
        <v>0.04</v>
      </c>
      <c r="I13" s="73">
        <v>4.4999999999999998E-2</v>
      </c>
      <c r="J13" s="73">
        <v>8.5000000000000006E-2</v>
      </c>
      <c r="K13" s="1247">
        <f>SUMIF('数据-汇总表'!C$19:C$33,A13,'数据-汇总表'!E$19:E$33)</f>
        <v>2186.04</v>
      </c>
      <c r="L13" s="90">
        <f>L10</f>
        <v>2500</v>
      </c>
      <c r="M13" s="74">
        <f>ROUND(K13*L13/10000,0)</f>
        <v>547</v>
      </c>
      <c r="N13" s="799">
        <f t="shared" si="12"/>
        <v>0.55000000000000004</v>
      </c>
      <c r="O13" s="74">
        <f t="shared" si="3"/>
        <v>301</v>
      </c>
      <c r="P13" s="75">
        <f t="shared" si="4"/>
        <v>246</v>
      </c>
      <c r="Q13" s="89">
        <v>0.1</v>
      </c>
      <c r="R13" s="76">
        <f ca="1">SUMIF('数据-汇总表'!C$19:C$33,A13,'数据-汇总表'!R$19:R$27)</f>
        <v>884.62</v>
      </c>
      <c r="S13" s="54">
        <f>IF('数据-汇总表'!$I$17="按面积比例",SUMIF('数据-汇总表'!C$19:C$33,A13,'数据-汇总表'!K$19:K$33),SUMIF('数据-汇总表'!C$19:C$33,A13,'数据-汇总表'!N$19:N$33))</f>
        <v>39.65</v>
      </c>
      <c r="T13" s="1439">
        <f t="shared" si="5"/>
        <v>10</v>
      </c>
      <c r="U13" s="77"/>
      <c r="V13" s="78"/>
      <c r="W13" s="78"/>
      <c r="X13" s="1257"/>
      <c r="Y13" s="79"/>
      <c r="Z13" s="80"/>
      <c r="AA13" s="73"/>
      <c r="AB13" s="73"/>
      <c r="AC13" s="1257"/>
      <c r="AD13" s="81"/>
      <c r="AE13" s="1258">
        <f t="shared" ca="1" si="6"/>
        <v>0</v>
      </c>
      <c r="AF13" s="1798"/>
      <c r="AG13" s="145">
        <f t="shared" si="7"/>
        <v>0</v>
      </c>
      <c r="AH13" s="82"/>
      <c r="AI13" s="84">
        <v>365</v>
      </c>
      <c r="AJ13" s="85"/>
      <c r="AK13" s="86"/>
      <c r="AL13" s="87"/>
      <c r="AM13" s="88"/>
      <c r="AN13" s="2294"/>
      <c r="AO13" s="55" t="e">
        <f t="shared" ca="1" si="8"/>
        <v>#REF!</v>
      </c>
      <c r="AP13" s="2295">
        <f t="shared" si="9"/>
        <v>0</v>
      </c>
      <c r="AQ13" s="55">
        <f t="shared" si="10"/>
        <v>5</v>
      </c>
      <c r="AR13" s="55">
        <f t="shared" si="11"/>
        <v>4</v>
      </c>
      <c r="AS13" s="2264"/>
      <c r="AT13" s="2264"/>
      <c r="AU13" s="2264"/>
      <c r="AV13" s="2264"/>
      <c r="AW13" s="2264"/>
      <c r="AX13" s="2264"/>
      <c r="AY13" s="2264"/>
      <c r="AZ13" s="2264"/>
      <c r="BA13" s="2264"/>
      <c r="BB13" s="2264"/>
      <c r="BC13" s="2264"/>
      <c r="BD13" s="2264"/>
      <c r="BE13" s="2264"/>
      <c r="BF13" s="2264"/>
      <c r="BG13" s="2264"/>
      <c r="BH13" s="2264"/>
      <c r="BI13" s="2264"/>
      <c r="BJ13" s="2264"/>
      <c r="BK13" s="2264"/>
      <c r="BL13" s="2264"/>
      <c r="BM13" s="2264"/>
      <c r="BN13" s="2264"/>
      <c r="BO13" s="2264"/>
    </row>
    <row r="14" spans="1:67" s="2024" customFormat="1" ht="14.25">
      <c r="A14" s="2296" t="s">
        <v>2002</v>
      </c>
      <c r="B14" s="2292" t="s">
        <v>2003</v>
      </c>
      <c r="C14" s="2297" t="s">
        <v>2002</v>
      </c>
      <c r="D14" s="1048"/>
      <c r="E14" s="1045"/>
      <c r="F14" s="71"/>
      <c r="G14" s="72"/>
      <c r="H14" s="1246"/>
      <c r="I14" s="1246"/>
      <c r="J14" s="1246"/>
      <c r="K14" s="1247">
        <f>SUMIF('数据-汇总表'!C$19:C$33,A14,'数据-汇总表'!E$19:E$33)</f>
        <v>2623.22</v>
      </c>
      <c r="L14" s="90">
        <f>L10</f>
        <v>2500</v>
      </c>
      <c r="M14" s="74">
        <f t="shared" si="0"/>
        <v>656</v>
      </c>
      <c r="N14" s="799">
        <f t="shared" si="12"/>
        <v>0.55000000000000004</v>
      </c>
      <c r="O14" s="74">
        <f t="shared" si="3"/>
        <v>361</v>
      </c>
      <c r="P14" s="75">
        <f t="shared" si="4"/>
        <v>295</v>
      </c>
      <c r="Q14" s="1250"/>
      <c r="R14" s="76"/>
      <c r="S14" s="54"/>
      <c r="T14" s="1439"/>
      <c r="U14" s="721"/>
      <c r="V14" s="1252"/>
      <c r="W14" s="1252"/>
      <c r="X14" s="1253"/>
      <c r="Y14" s="1254"/>
      <c r="Z14" s="1255"/>
      <c r="AA14" s="1256"/>
      <c r="AB14" s="1256"/>
      <c r="AC14" s="1257"/>
      <c r="AD14" s="1253"/>
      <c r="AE14" s="1258"/>
      <c r="AF14" s="55"/>
      <c r="AG14" s="145"/>
      <c r="AH14" s="1258"/>
      <c r="AI14" s="1809"/>
      <c r="AJ14" s="771"/>
      <c r="AK14" s="1259"/>
      <c r="AL14" s="1260"/>
      <c r="AM14" s="1261"/>
      <c r="AN14" s="2259"/>
      <c r="AO14" s="2264"/>
      <c r="AP14" s="2264"/>
      <c r="AQ14" s="2264"/>
      <c r="AR14" s="2264"/>
      <c r="AS14" s="2264"/>
      <c r="AT14" s="2264"/>
      <c r="AU14" s="2264"/>
      <c r="AV14" s="2264"/>
      <c r="AW14" s="2264"/>
      <c r="AX14" s="2264"/>
      <c r="AY14" s="2264"/>
      <c r="AZ14" s="2264"/>
      <c r="BA14" s="2264"/>
      <c r="BB14" s="2264"/>
      <c r="BC14" s="2264"/>
      <c r="BD14" s="2264"/>
      <c r="BE14" s="2264"/>
      <c r="BF14" s="2264"/>
      <c r="BG14" s="2264"/>
      <c r="BH14" s="2264"/>
      <c r="BI14" s="2264"/>
      <c r="BJ14" s="2264"/>
      <c r="BK14" s="2264"/>
      <c r="BL14" s="2264"/>
      <c r="BM14" s="2264"/>
      <c r="BN14" s="2264"/>
      <c r="BO14" s="2264"/>
    </row>
    <row r="15" spans="1:67" s="2024" customFormat="1" ht="27">
      <c r="A15" s="2296" t="s">
        <v>2004</v>
      </c>
      <c r="B15" s="2292" t="s">
        <v>2003</v>
      </c>
      <c r="C15" s="2297" t="s">
        <v>2005</v>
      </c>
      <c r="D15" s="1048"/>
      <c r="E15" s="1045"/>
      <c r="F15" s="71"/>
      <c r="G15" s="72"/>
      <c r="H15" s="1246"/>
      <c r="I15" s="1246"/>
      <c r="J15" s="1246"/>
      <c r="K15" s="1247">
        <f>SUMIF('数据-汇总表'!C$19:C$33,A15,'数据-汇总表'!E$19:E$33)</f>
        <v>2004.7</v>
      </c>
      <c r="L15" s="1248"/>
      <c r="M15" s="74"/>
      <c r="N15" s="1249"/>
      <c r="O15" s="74"/>
      <c r="P15" s="75"/>
      <c r="Q15" s="1250"/>
      <c r="R15" s="76"/>
      <c r="S15" s="54"/>
      <c r="T15" s="1439"/>
      <c r="U15" s="721"/>
      <c r="V15" s="1252"/>
      <c r="W15" s="1252"/>
      <c r="X15" s="1253"/>
      <c r="Y15" s="1254"/>
      <c r="Z15" s="1255"/>
      <c r="AA15" s="1256"/>
      <c r="AB15" s="1256"/>
      <c r="AC15" s="1257"/>
      <c r="AD15" s="1253"/>
      <c r="AE15" s="1258"/>
      <c r="AF15" s="55"/>
      <c r="AG15" s="145"/>
      <c r="AH15" s="1258"/>
      <c r="AI15" s="1809"/>
      <c r="AJ15" s="771"/>
      <c r="AK15" s="1259"/>
      <c r="AL15" s="1260"/>
      <c r="AM15" s="1261"/>
      <c r="AN15" s="2259"/>
      <c r="AO15" s="2264"/>
      <c r="AP15" s="2264"/>
      <c r="AQ15" s="2264"/>
      <c r="AR15" s="2264"/>
      <c r="AS15" s="2264"/>
      <c r="AT15" s="2264"/>
      <c r="AU15" s="2264"/>
      <c r="AV15" s="2264"/>
      <c r="AW15" s="2264"/>
      <c r="AX15" s="2264"/>
      <c r="AY15" s="2264"/>
      <c r="AZ15" s="2264"/>
      <c r="BA15" s="2264"/>
      <c r="BB15" s="2264"/>
      <c r="BC15" s="2264"/>
      <c r="BD15" s="2264"/>
      <c r="BE15" s="2264"/>
      <c r="BF15" s="2264"/>
      <c r="BG15" s="2264"/>
      <c r="BH15" s="2264"/>
      <c r="BI15" s="2264"/>
      <c r="BJ15" s="2264"/>
      <c r="BK15" s="2264"/>
      <c r="BL15" s="2264"/>
      <c r="BM15" s="2264"/>
      <c r="BN15" s="2264"/>
      <c r="BO15" s="2264"/>
    </row>
    <row r="16" spans="1:67" s="2024" customFormat="1" ht="15.75" thickBot="1">
      <c r="A16" s="2298" t="s">
        <v>2006</v>
      </c>
      <c r="B16" s="95"/>
      <c r="C16" s="1002"/>
      <c r="D16" s="2299"/>
      <c r="E16" s="95"/>
      <c r="F16" s="95"/>
      <c r="G16" s="96">
        <f>ROUND(SUMPRODUCT(G6:G13,K6:K13)/SUMPRODUCT((G6:G13&gt;0)*(K6:K13)),3)</f>
        <v>0.98799999999999999</v>
      </c>
      <c r="H16" s="97">
        <f>ROUND(SUMPRODUCT(H6:H13,K6:K13)/SUMPRODUCT((H6:H13&gt;0)*(K6:K13)),3)</f>
        <v>0.04</v>
      </c>
      <c r="I16" s="98"/>
      <c r="J16" s="98"/>
      <c r="K16" s="99">
        <f>SUM(K6:K15)</f>
        <v>149246.95000000001</v>
      </c>
      <c r="L16" s="100">
        <f>ROUND(M16*10000/SUM(K6:K14),0)</f>
        <v>3246</v>
      </c>
      <c r="M16" s="100">
        <f>SUM(M6:M14)</f>
        <v>47788</v>
      </c>
      <c r="N16" s="101">
        <f>ROUND(SUMPRODUCT(M6:M14,N6:N14)/M16,3)</f>
        <v>0.55000000000000004</v>
      </c>
      <c r="O16" s="100">
        <f>SUM(O6:O14)</f>
        <v>26284</v>
      </c>
      <c r="P16" s="100">
        <f>SUM(P6:P14)</f>
        <v>21504</v>
      </c>
      <c r="Q16" s="102">
        <f>ROUND(SUMPRODUCT(Q6:Q13,K6:K13)/SUMPRODUCT((Q6:Q13&gt;0)*(K6:K13)),2)</f>
        <v>0.08</v>
      </c>
      <c r="R16" s="1251">
        <f ca="1">SUM(R6:R13)</f>
        <v>59319.700000000004</v>
      </c>
      <c r="S16" s="103">
        <f>SUM(S6:S13)</f>
        <v>2623.2200000000003</v>
      </c>
      <c r="T16" s="104" t="str">
        <f>IF(SUMIF(T6:T13,"&lt;9E307")=M14,SUMIF(T6:T13,"&lt;9E307"),"有误，请检查")</f>
        <v>有误，请检查</v>
      </c>
      <c r="U16" s="105"/>
      <c r="V16" s="106"/>
      <c r="W16" s="106"/>
      <c r="X16" s="109"/>
      <c r="Y16" s="107"/>
      <c r="Z16" s="108"/>
      <c r="AA16" s="106"/>
      <c r="AB16" s="106"/>
      <c r="AC16" s="109"/>
      <c r="AD16" s="109"/>
      <c r="AE16" s="105"/>
      <c r="AF16" s="106"/>
      <c r="AG16" s="107"/>
      <c r="AH16" s="105"/>
      <c r="AI16" s="108"/>
      <c r="AJ16" s="108"/>
      <c r="AK16" s="106"/>
      <c r="AL16" s="106"/>
      <c r="AM16" s="107"/>
      <c r="AN16" s="2259"/>
      <c r="AO16" s="2264"/>
      <c r="AP16" s="2264"/>
      <c r="AQ16" s="2264"/>
      <c r="AR16" s="2264"/>
      <c r="AS16" s="2264"/>
      <c r="AT16" s="2264"/>
      <c r="AU16" s="2264"/>
      <c r="AV16" s="2264"/>
      <c r="AW16" s="2264"/>
      <c r="AX16" s="2264"/>
      <c r="AY16" s="2264"/>
      <c r="AZ16" s="2264"/>
      <c r="BA16" s="2264"/>
      <c r="BB16" s="2264"/>
      <c r="BC16" s="2264"/>
      <c r="BD16" s="2264"/>
      <c r="BE16" s="2264"/>
      <c r="BF16" s="2264"/>
      <c r="BG16" s="2264"/>
      <c r="BH16" s="2264"/>
      <c r="BI16" s="2264"/>
      <c r="BJ16" s="2264"/>
      <c r="BK16" s="2264"/>
      <c r="BL16" s="2264"/>
      <c r="BM16" s="2264"/>
      <c r="BN16" s="2264"/>
      <c r="BO16" s="2264"/>
    </row>
    <row r="17" spans="1:67" ht="13.5" thickBot="1">
      <c r="A17" s="2300"/>
      <c r="B17" s="730"/>
      <c r="C17" s="1575"/>
      <c r="D17" s="2258"/>
      <c r="E17" s="2258"/>
      <c r="F17" s="1575"/>
      <c r="G17" s="1575"/>
      <c r="H17" s="1575"/>
      <c r="I17" s="1575"/>
      <c r="J17" s="1575"/>
      <c r="K17" s="3123">
        <f>K16-K15</f>
        <v>147242.25</v>
      </c>
      <c r="L17" s="166"/>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row>
    <row r="18" spans="1:67" ht="15" thickBot="1">
      <c r="A18" s="67" t="s">
        <v>2007</v>
      </c>
      <c r="B18" s="2265"/>
      <c r="C18" s="2262"/>
      <c r="D18" s="2263"/>
      <c r="E18" s="2262"/>
      <c r="F18" s="2262"/>
      <c r="G18" s="2262"/>
      <c r="H18" s="2262">
        <f>(0.993*(32718.36+7640.31+32388.77)
+0.978*645.96+0.983*(21662.76+5827.19+41549.64+2186.04))/144619.03</f>
        <v>0.98800794812411596</v>
      </c>
      <c r="I18" s="2262"/>
      <c r="J18" s="2262"/>
      <c r="K18" s="166"/>
      <c r="L18" s="166"/>
      <c r="M18" s="1575"/>
      <c r="N18" s="1575"/>
      <c r="O18" s="1575"/>
      <c r="P18" s="1575"/>
      <c r="Q18" s="1575"/>
      <c r="R18" s="1575"/>
      <c r="S18" s="1575">
        <f>(2500*5827.19+2500*105.7)/10000</f>
        <v>1483.2224999999999</v>
      </c>
      <c r="T18" s="1575"/>
      <c r="U18" s="1575"/>
      <c r="V18" s="1575"/>
      <c r="W18" s="1575"/>
      <c r="X18" s="1575"/>
      <c r="Y18" s="1575"/>
      <c r="Z18" s="1575"/>
      <c r="AA18" s="1575"/>
      <c r="AB18" s="1575"/>
      <c r="AC18" s="1575"/>
      <c r="AD18" s="1575"/>
      <c r="AE18" s="1575"/>
      <c r="AF18" s="1575"/>
      <c r="AG18" s="1575"/>
      <c r="AH18" s="1575"/>
      <c r="AI18" s="1575"/>
      <c r="AJ18" s="1575"/>
      <c r="AK18" s="1575"/>
      <c r="AL18" s="1575"/>
      <c r="AM18" s="1575"/>
    </row>
    <row r="19" spans="1:67" ht="14.25">
      <c r="A19" s="2301" t="s">
        <v>2008</v>
      </c>
      <c r="B19" s="110">
        <v>0</v>
      </c>
      <c r="C19" s="2262" t="s">
        <v>2009</v>
      </c>
      <c r="D19" s="2263"/>
      <c r="E19" s="2262"/>
      <c r="F19" s="2262"/>
      <c r="G19" s="2262"/>
      <c r="H19" s="2262"/>
      <c r="I19" s="2262"/>
      <c r="J19" s="2262"/>
      <c r="K19" s="166"/>
      <c r="L19" s="166"/>
      <c r="M19" s="1575"/>
      <c r="N19" s="1575"/>
      <c r="O19" s="1575"/>
      <c r="P19" s="1575"/>
      <c r="Q19" s="1575"/>
      <c r="R19" s="1575"/>
      <c r="S19" s="1575"/>
      <c r="T19" s="1575"/>
      <c r="U19" s="1575">
        <f>'数据-汇总表'!F22</f>
        <v>263.92</v>
      </c>
      <c r="V19" s="1575">
        <v>8</v>
      </c>
      <c r="W19" s="1575"/>
      <c r="X19" s="1575"/>
      <c r="Y19" s="1575"/>
      <c r="Z19" s="1575"/>
      <c r="AA19" s="1575"/>
      <c r="AB19" s="1575"/>
      <c r="AC19" s="1575"/>
      <c r="AD19" s="1575"/>
      <c r="AE19" s="1575"/>
      <c r="AF19" s="1575"/>
      <c r="AG19" s="1575"/>
      <c r="AH19" s="1575"/>
      <c r="AI19" s="1575"/>
      <c r="AJ19" s="1575"/>
      <c r="AK19" s="1575"/>
      <c r="AL19" s="1575"/>
      <c r="AM19" s="1575"/>
    </row>
    <row r="20" spans="1:67" ht="14.25">
      <c r="A20" s="2302" t="s">
        <v>2010</v>
      </c>
      <c r="B20" s="111">
        <v>2</v>
      </c>
      <c r="C20" s="2262" t="s">
        <v>2011</v>
      </c>
      <c r="D20" s="2263"/>
      <c r="E20" s="2262"/>
      <c r="F20" s="2262"/>
      <c r="G20" s="2262"/>
      <c r="H20" s="2262"/>
      <c r="I20" s="2262"/>
      <c r="J20" s="2262"/>
      <c r="K20" s="166"/>
      <c r="L20" s="166"/>
      <c r="M20" s="1575">
        <f>(200*645.96 +200*11.72)/10000</f>
        <v>13.153600000000001</v>
      </c>
      <c r="N20" s="1575"/>
      <c r="O20" s="1575"/>
      <c r="P20" s="1575"/>
      <c r="Q20" s="1575"/>
      <c r="R20" s="1575"/>
      <c r="S20" s="1575"/>
      <c r="T20" s="1575"/>
      <c r="U20" s="1575">
        <f>'数据-汇总表'!G22</f>
        <v>382.04</v>
      </c>
      <c r="V20" s="1575">
        <f>V19*0.6</f>
        <v>4.8</v>
      </c>
      <c r="W20" s="1575"/>
      <c r="X20" s="1575"/>
      <c r="Y20" s="1575"/>
      <c r="Z20" s="1575"/>
      <c r="AA20" s="1575"/>
      <c r="AB20" s="1575"/>
      <c r="AC20" s="1575"/>
      <c r="AD20" s="1575"/>
      <c r="AE20" s="1575"/>
      <c r="AF20" s="1575"/>
      <c r="AG20" s="1575"/>
      <c r="AH20" s="1575"/>
      <c r="AI20" s="1575"/>
      <c r="AJ20" s="1575"/>
      <c r="AK20" s="1575"/>
      <c r="AL20" s="1575"/>
      <c r="AM20" s="1575"/>
    </row>
    <row r="21" spans="1:67" ht="14.25">
      <c r="A21" s="2303" t="s">
        <v>2012</v>
      </c>
      <c r="B21" s="111">
        <v>1</v>
      </c>
      <c r="C21" s="2262"/>
      <c r="D21" s="2263"/>
      <c r="E21" s="2262"/>
      <c r="F21" s="2262"/>
      <c r="G21" s="2262"/>
      <c r="H21" s="2262"/>
      <c r="I21" s="2262"/>
      <c r="J21" s="2262"/>
      <c r="K21" s="166"/>
      <c r="L21" s="166"/>
      <c r="M21" s="1575"/>
      <c r="N21" s="1575"/>
      <c r="O21" s="1575"/>
      <c r="P21" s="1575"/>
      <c r="Q21" s="1575"/>
      <c r="R21" s="1575"/>
      <c r="S21" s="1575"/>
      <c r="T21" s="1575"/>
      <c r="U21" s="1575">
        <f>U19+U20</f>
        <v>645.96</v>
      </c>
      <c r="V21" s="1575">
        <f>(V19*U19+V20*U20)/U21</f>
        <v>6.1074246083348811</v>
      </c>
      <c r="W21" s="1575"/>
      <c r="X21" s="1575"/>
      <c r="Y21" s="1575"/>
      <c r="Z21" s="1575"/>
      <c r="AA21" s="1575"/>
      <c r="AB21" s="1575"/>
      <c r="AC21" s="1575"/>
      <c r="AD21" s="1575"/>
      <c r="AE21" s="1575"/>
      <c r="AF21" s="1575"/>
      <c r="AG21" s="1575"/>
      <c r="AH21" s="1575"/>
      <c r="AI21" s="1575"/>
      <c r="AJ21" s="1575"/>
      <c r="AK21" s="1575"/>
      <c r="AL21" s="1575"/>
      <c r="AM21" s="1575"/>
    </row>
    <row r="22" spans="1:67" ht="14.25">
      <c r="A22" s="2302" t="s">
        <v>2013</v>
      </c>
      <c r="B22" s="112">
        <f>B19+B20</f>
        <v>2</v>
      </c>
      <c r="C22" s="2262"/>
      <c r="D22" s="2263"/>
      <c r="E22" s="2262"/>
      <c r="F22" s="2262"/>
      <c r="G22" s="2262"/>
      <c r="H22" s="2262"/>
      <c r="I22" s="2262"/>
      <c r="J22" s="2262"/>
      <c r="K22" s="166"/>
      <c r="L22" s="166"/>
      <c r="M22" s="1575"/>
      <c r="N22" s="1575"/>
      <c r="O22" s="1575"/>
      <c r="P22" s="1575"/>
      <c r="Q22" s="1575"/>
      <c r="R22" s="1575"/>
      <c r="S22" s="1575"/>
      <c r="T22" s="1575"/>
      <c r="U22" s="1575"/>
      <c r="V22" s="1575"/>
      <c r="W22" s="1575"/>
      <c r="X22" s="1575"/>
      <c r="Y22" s="1575"/>
      <c r="Z22" s="1575"/>
      <c r="AA22" s="1575"/>
      <c r="AB22" s="1575"/>
      <c r="AC22" s="1575"/>
      <c r="AD22" s="1575"/>
      <c r="AE22" s="1575"/>
      <c r="AF22" s="1575"/>
      <c r="AG22" s="1575"/>
      <c r="AH22" s="1575"/>
      <c r="AI22" s="1575"/>
      <c r="AJ22" s="1575"/>
      <c r="AK22" s="1575"/>
      <c r="AL22" s="1575"/>
      <c r="AM22" s="1575"/>
    </row>
    <row r="23" spans="1:67" ht="14.25">
      <c r="A23" s="2303" t="s">
        <v>2014</v>
      </c>
      <c r="B23" s="112">
        <f>B19+B21</f>
        <v>1</v>
      </c>
      <c r="C23" s="2262"/>
      <c r="D23" s="2263"/>
      <c r="E23" s="2262"/>
      <c r="F23" s="2262"/>
      <c r="G23" s="2262"/>
      <c r="H23" s="2262"/>
      <c r="I23" s="2262"/>
      <c r="J23" s="2262"/>
      <c r="K23" s="166"/>
      <c r="L23" s="166"/>
      <c r="M23" s="1575"/>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c r="AL23" s="1575"/>
      <c r="AM23" s="1575"/>
    </row>
    <row r="24" spans="1:67" ht="15" thickBot="1">
      <c r="A24" s="2304" t="s">
        <v>2015</v>
      </c>
      <c r="B24" s="113">
        <f>B20-B21</f>
        <v>1</v>
      </c>
      <c r="C24" s="2262"/>
      <c r="D24" s="2263"/>
      <c r="E24" s="2262"/>
      <c r="F24" s="2262"/>
      <c r="G24" s="2262"/>
      <c r="H24" s="2262"/>
      <c r="I24" s="2262"/>
      <c r="J24" s="2262"/>
      <c r="K24" s="166"/>
      <c r="L24" s="166"/>
      <c r="M24" s="1575"/>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5" thickBot="1">
      <c r="A25" s="2022"/>
      <c r="B25" s="2265"/>
      <c r="C25" s="2262"/>
      <c r="D25" s="2263"/>
      <c r="E25" s="2262"/>
      <c r="F25" s="2262"/>
      <c r="G25" s="2262"/>
      <c r="H25" s="2262"/>
      <c r="I25" s="2262"/>
      <c r="J25" s="2262"/>
      <c r="K25" s="166"/>
      <c r="L25" s="166"/>
      <c r="M25" s="1575"/>
      <c r="N25" s="1575"/>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61" t="s">
        <v>2016</v>
      </c>
      <c r="B26" s="2305" t="s">
        <v>2017</v>
      </c>
      <c r="C26" s="2306" t="s">
        <v>2018</v>
      </c>
      <c r="D26" s="2263"/>
      <c r="E26" s="2262"/>
      <c r="F26" s="2262"/>
      <c r="G26" s="2262"/>
      <c r="H26" s="2262"/>
      <c r="I26" s="2262"/>
      <c r="J26" s="2262"/>
      <c r="K26" s="166"/>
      <c r="L26" s="166"/>
      <c r="M26" s="1575"/>
      <c r="N26" s="1575"/>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09" customFormat="1" ht="27.75">
      <c r="A27" s="2307" t="s">
        <v>2019</v>
      </c>
      <c r="B27" s="114">
        <v>0</v>
      </c>
      <c r="C27" s="1758" t="s">
        <v>2020</v>
      </c>
      <c r="D27" s="2308"/>
      <c r="E27" s="1423"/>
      <c r="F27" s="1423"/>
      <c r="G27" s="2262"/>
      <c r="H27" s="2262"/>
      <c r="I27" s="2262"/>
      <c r="J27" s="2262"/>
      <c r="K27" s="166"/>
      <c r="L27" s="166"/>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09" customFormat="1" ht="27.75">
      <c r="A28" s="2310" t="s">
        <v>2021</v>
      </c>
      <c r="B28" s="117">
        <v>0</v>
      </c>
      <c r="C28" s="2311"/>
      <c r="D28" s="2308"/>
      <c r="E28" s="1423"/>
      <c r="F28" s="1423"/>
      <c r="G28" s="2262"/>
      <c r="H28" s="2262"/>
      <c r="I28" s="2262"/>
      <c r="J28" s="2262"/>
      <c r="K28" s="166"/>
      <c r="L28" s="166"/>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09" customFormat="1" ht="28.5" thickBot="1">
      <c r="A29" s="2312" t="s">
        <v>2022</v>
      </c>
      <c r="B29" s="119">
        <v>0</v>
      </c>
      <c r="C29" s="1758" t="s">
        <v>2023</v>
      </c>
      <c r="D29" s="2308"/>
      <c r="E29" s="1423"/>
      <c r="F29" s="1423"/>
      <c r="G29" s="2262"/>
      <c r="H29" s="2262"/>
      <c r="I29" s="2262"/>
      <c r="J29" s="2262"/>
      <c r="K29" s="166"/>
      <c r="L29" s="166"/>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09" customFormat="1" ht="27">
      <c r="A30" s="2313" t="s">
        <v>2024</v>
      </c>
      <c r="B30" s="722">
        <v>200</v>
      </c>
      <c r="C30" s="2311"/>
      <c r="D30" s="2308"/>
      <c r="E30" s="1423"/>
      <c r="F30" s="1423"/>
      <c r="G30" s="2262"/>
      <c r="H30" s="2262"/>
      <c r="I30" s="2262"/>
      <c r="J30" s="2262"/>
      <c r="K30" s="166"/>
      <c r="L30" s="166"/>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09" customFormat="1" ht="27">
      <c r="A31" s="2310" t="s">
        <v>2025</v>
      </c>
      <c r="B31" s="118">
        <f>B30-B32</f>
        <v>200</v>
      </c>
      <c r="C31" s="1758"/>
      <c r="D31" s="2308"/>
      <c r="E31" s="1423"/>
      <c r="F31" s="1423"/>
      <c r="G31" s="2262"/>
      <c r="H31" s="2262"/>
      <c r="I31" s="2262"/>
      <c r="J31" s="2262"/>
      <c r="K31" s="166"/>
      <c r="L31" s="166"/>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09" customFormat="1" ht="27.75" thickBot="1">
      <c r="A32" s="2314" t="s">
        <v>2026</v>
      </c>
      <c r="B32" s="723">
        <v>0</v>
      </c>
      <c r="C32" s="2311"/>
      <c r="D32" s="2263"/>
      <c r="E32" s="2262"/>
      <c r="F32" s="2262"/>
      <c r="G32" s="2262"/>
      <c r="H32" s="2262"/>
      <c r="I32" s="2262"/>
      <c r="J32" s="2262"/>
      <c r="K32" s="166"/>
      <c r="L32" s="166"/>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09" customFormat="1" ht="14.25">
      <c r="A33" s="2307" t="s">
        <v>2027</v>
      </c>
      <c r="B33" s="724">
        <v>0.03</v>
      </c>
      <c r="C33" s="1757" t="s">
        <v>2028</v>
      </c>
      <c r="D33" s="2263"/>
      <c r="E33" s="2262"/>
      <c r="F33" s="2262"/>
      <c r="G33" s="2262"/>
      <c r="H33" s="2262"/>
      <c r="I33" s="2262"/>
      <c r="J33" s="2262"/>
      <c r="K33" s="166"/>
      <c r="L33" s="166"/>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09" customFormat="1" ht="14.25">
      <c r="A34" s="2310" t="s">
        <v>2029</v>
      </c>
      <c r="B34" s="120">
        <v>0.05</v>
      </c>
      <c r="C34" s="1757" t="s">
        <v>2030</v>
      </c>
      <c r="D34" s="2263" t="s">
        <v>2031</v>
      </c>
      <c r="E34" s="730"/>
      <c r="F34" s="2262"/>
      <c r="G34" s="2262"/>
      <c r="H34" s="2262"/>
      <c r="I34" s="2262"/>
      <c r="J34" s="2262"/>
      <c r="K34" s="166"/>
      <c r="L34" s="166"/>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09" customFormat="1" ht="14.25">
      <c r="A35" s="2310" t="s">
        <v>2032</v>
      </c>
      <c r="B35" s="117">
        <v>200</v>
      </c>
      <c r="C35" s="1757" t="s">
        <v>2033</v>
      </c>
      <c r="D35" s="2308"/>
      <c r="E35" s="1423"/>
      <c r="F35" s="1423"/>
      <c r="G35" s="2262"/>
      <c r="H35" s="2262"/>
      <c r="I35" s="2262"/>
      <c r="J35" s="2262"/>
      <c r="K35" s="166"/>
      <c r="L35" s="166"/>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12" t="s">
        <v>2034</v>
      </c>
      <c r="B36" s="121">
        <v>1.4999999999999999E-2</v>
      </c>
      <c r="C36" s="1757" t="s">
        <v>2035</v>
      </c>
      <c r="D36" s="2263"/>
      <c r="E36" s="2262"/>
      <c r="F36" s="2262"/>
      <c r="G36" s="2262"/>
      <c r="H36" s="2262"/>
      <c r="I36" s="2262"/>
      <c r="J36" s="2262"/>
      <c r="K36" s="166"/>
      <c r="L36" s="166"/>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25">
      <c r="A37" s="2313" t="s">
        <v>2036</v>
      </c>
      <c r="B37" s="122">
        <v>0.03</v>
      </c>
      <c r="C37" s="1757" t="s">
        <v>2037</v>
      </c>
      <c r="D37" s="2263"/>
      <c r="E37" s="2262"/>
      <c r="F37" s="2262"/>
      <c r="G37" s="2262"/>
      <c r="H37" s="2262"/>
      <c r="I37" s="2262"/>
      <c r="J37" s="2262"/>
      <c r="K37" s="166"/>
      <c r="L37" s="166"/>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25">
      <c r="A38" s="2310" t="s">
        <v>2038</v>
      </c>
      <c r="B38" s="120">
        <v>0.03</v>
      </c>
      <c r="C38" s="1757" t="s">
        <v>2037</v>
      </c>
      <c r="D38" s="2263"/>
      <c r="E38" s="2262"/>
      <c r="F38" s="2262"/>
      <c r="G38" s="2262"/>
      <c r="H38" s="2262"/>
      <c r="I38" s="2262"/>
      <c r="J38" s="2262"/>
      <c r="K38" s="166"/>
      <c r="L38" s="166"/>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25">
      <c r="A39" s="2314" t="s">
        <v>2039</v>
      </c>
      <c r="B39" s="360">
        <f ca="1">存贷款利率!I1</f>
        <v>1.4999999999999999E-2</v>
      </c>
      <c r="C39" s="1757"/>
      <c r="D39" s="2263"/>
      <c r="E39" s="2262"/>
      <c r="F39" s="2262"/>
      <c r="G39" s="2262"/>
      <c r="H39" s="2262"/>
      <c r="I39" s="2262"/>
      <c r="J39" s="2262"/>
      <c r="K39" s="166"/>
      <c r="L39" s="166"/>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14" t="s">
        <v>2040</v>
      </c>
      <c r="B40" s="1296">
        <f ca="1">存贷款利率!G1</f>
        <v>4.7500000000000001E-2</v>
      </c>
      <c r="C40" s="1757" t="s">
        <v>2041</v>
      </c>
      <c r="D40" s="1575"/>
      <c r="E40" s="2263"/>
      <c r="F40" s="2262"/>
      <c r="G40" s="2262"/>
      <c r="H40" s="2262"/>
      <c r="I40" s="2262"/>
      <c r="J40" s="2262"/>
      <c r="K40" s="166"/>
      <c r="L40" s="166"/>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25">
      <c r="A41" s="2307" t="s">
        <v>2042</v>
      </c>
      <c r="B41" s="123">
        <f>B42+B43</f>
        <v>5.5000000000000007E-2</v>
      </c>
      <c r="C41" s="1758"/>
      <c r="D41" s="1575"/>
      <c r="E41" s="2263"/>
      <c r="F41" s="2262"/>
      <c r="G41" s="2262"/>
      <c r="H41" s="2262"/>
      <c r="I41" s="2262"/>
      <c r="J41" s="2262"/>
      <c r="K41" s="166"/>
      <c r="L41" s="166"/>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25">
      <c r="A42" s="2315" t="s">
        <v>2043</v>
      </c>
      <c r="B42" s="124">
        <v>0.05</v>
      </c>
      <c r="C42" s="2316">
        <f>IF(B2&lt;DATE(2016,5,1),0,B42)</f>
        <v>0.05</v>
      </c>
      <c r="D42" s="2263"/>
      <c r="E42" s="2262"/>
      <c r="F42" s="2262"/>
      <c r="G42" s="2262"/>
      <c r="H42" s="2262"/>
      <c r="I42" s="2262"/>
      <c r="J42" s="2262"/>
      <c r="K42" s="166"/>
      <c r="L42" s="166"/>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25">
      <c r="A43" s="2315" t="s">
        <v>2044</v>
      </c>
      <c r="B43" s="125">
        <f>B42*(B44+B45+B46)+B47</f>
        <v>5.000000000000001E-3</v>
      </c>
      <c r="C43" s="1758"/>
      <c r="D43" s="2263"/>
      <c r="E43" s="2262"/>
      <c r="F43" s="2262"/>
      <c r="G43" s="2262"/>
      <c r="H43" s="2262"/>
      <c r="I43" s="2262"/>
      <c r="J43" s="2262"/>
      <c r="K43" s="166"/>
      <c r="L43" s="166"/>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25">
      <c r="A44" s="2317" t="s">
        <v>2045</v>
      </c>
      <c r="B44" s="126">
        <v>0.05</v>
      </c>
      <c r="C44" s="1757" t="s">
        <v>2046</v>
      </c>
      <c r="D44" s="2263"/>
      <c r="E44" s="2262"/>
      <c r="F44" s="2262"/>
      <c r="G44" s="2262"/>
      <c r="H44" s="2262"/>
      <c r="I44" s="2262"/>
      <c r="J44" s="2262"/>
      <c r="K44" s="166"/>
      <c r="L44" s="166"/>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25">
      <c r="A45" s="2317" t="s">
        <v>2047</v>
      </c>
      <c r="B45" s="124">
        <v>0.03</v>
      </c>
      <c r="C45" s="1758" t="s">
        <v>2048</v>
      </c>
      <c r="D45" s="2263"/>
      <c r="E45" s="2262"/>
      <c r="F45" s="2262"/>
      <c r="G45" s="2262"/>
      <c r="H45" s="2262"/>
      <c r="I45" s="2262"/>
      <c r="J45" s="2262"/>
      <c r="K45" s="166"/>
      <c r="L45" s="166"/>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4.25">
      <c r="A46" s="2317" t="s">
        <v>2049</v>
      </c>
      <c r="B46" s="124">
        <v>0.02</v>
      </c>
      <c r="C46" s="1758" t="s">
        <v>2050</v>
      </c>
      <c r="D46" s="2263"/>
      <c r="E46" s="2262"/>
      <c r="F46" s="2262"/>
      <c r="G46" s="2262"/>
      <c r="H46" s="2262"/>
      <c r="I46" s="2262"/>
      <c r="J46" s="2262"/>
      <c r="K46" s="166"/>
      <c r="L46" s="166"/>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18" t="s">
        <v>2051</v>
      </c>
      <c r="B47" s="127"/>
      <c r="C47" s="1758" t="s">
        <v>2052</v>
      </c>
      <c r="D47" s="2263"/>
      <c r="E47" s="2262"/>
      <c r="F47" s="2262"/>
      <c r="G47" s="2262"/>
      <c r="H47" s="2262"/>
      <c r="I47" s="2262"/>
      <c r="J47" s="2262"/>
      <c r="K47" s="166"/>
      <c r="L47" s="166"/>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25">
      <c r="A48" s="2319" t="s">
        <v>2053</v>
      </c>
      <c r="B48" s="128">
        <v>0.03</v>
      </c>
      <c r="C48" s="1765" t="s">
        <v>2054</v>
      </c>
      <c r="D48" s="2263"/>
      <c r="E48" s="2262"/>
      <c r="F48" s="2262"/>
      <c r="G48" s="2262"/>
      <c r="H48" s="2262"/>
      <c r="I48" s="2262"/>
      <c r="J48" s="2262"/>
      <c r="K48" s="166"/>
      <c r="L48" s="166"/>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14" t="s">
        <v>2055</v>
      </c>
      <c r="B49" s="124">
        <v>5.0000000000000001E-4</v>
      </c>
      <c r="C49" s="1765" t="s">
        <v>2056</v>
      </c>
      <c r="D49" s="2263"/>
      <c r="E49" s="2262"/>
      <c r="F49" s="2262"/>
      <c r="G49" s="2262"/>
      <c r="H49" s="2262"/>
      <c r="I49" s="2262"/>
      <c r="J49" s="2262"/>
      <c r="K49" s="166"/>
      <c r="L49" s="166"/>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25">
      <c r="A50" s="2320" t="s">
        <v>2057</v>
      </c>
      <c r="B50" s="129">
        <v>1.2E-2</v>
      </c>
      <c r="C50" s="1423"/>
      <c r="D50" s="2263"/>
      <c r="E50" s="2262"/>
      <c r="F50" s="2262"/>
      <c r="G50" s="2262"/>
      <c r="H50" s="2262"/>
      <c r="I50" s="2262"/>
      <c r="J50" s="2262"/>
      <c r="K50" s="166"/>
      <c r="L50" s="166"/>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12" t="s">
        <v>2058</v>
      </c>
      <c r="B51" s="130">
        <v>0.12</v>
      </c>
      <c r="C51" s="1423"/>
      <c r="D51" s="2263"/>
      <c r="E51" s="2262"/>
      <c r="F51" s="2262"/>
      <c r="G51" s="2262"/>
      <c r="H51" s="2262"/>
      <c r="I51" s="2262"/>
      <c r="J51" s="2262"/>
      <c r="K51" s="166"/>
      <c r="L51" s="166"/>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25">
      <c r="A52" s="2320" t="s">
        <v>2059</v>
      </c>
      <c r="B52" s="131">
        <f>SUMIF(A54:A63,B53,B54:B63)</f>
        <v>1.5</v>
      </c>
      <c r="C52" s="1423"/>
      <c r="D52" s="2263"/>
      <c r="E52" s="2262"/>
      <c r="F52" s="2262"/>
      <c r="G52" s="2262"/>
      <c r="H52" s="2262"/>
      <c r="I52" s="2262"/>
      <c r="J52" s="2262"/>
      <c r="K52" s="166"/>
      <c r="L52" s="166"/>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7">
      <c r="A53" s="2310" t="s">
        <v>2060</v>
      </c>
      <c r="B53" s="2321" t="s">
        <v>56</v>
      </c>
      <c r="C53" s="1423" t="s">
        <v>2061</v>
      </c>
      <c r="D53" s="2322" t="s">
        <v>2062</v>
      </c>
      <c r="E53" s="2262"/>
      <c r="F53" s="2262"/>
      <c r="G53" s="2262"/>
      <c r="H53" s="2262"/>
      <c r="I53" s="2262"/>
      <c r="J53" s="2262"/>
      <c r="K53" s="166"/>
      <c r="L53" s="166"/>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25">
      <c r="A54" s="2323" t="s">
        <v>2063</v>
      </c>
      <c r="B54" s="83"/>
      <c r="C54" s="1423">
        <v>30</v>
      </c>
      <c r="D54" s="2263"/>
      <c r="E54" s="2262"/>
      <c r="F54" s="2262"/>
      <c r="G54" s="2262"/>
      <c r="H54" s="2262"/>
      <c r="I54" s="2262"/>
      <c r="J54" s="2262"/>
      <c r="K54" s="166"/>
      <c r="L54" s="166"/>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25">
      <c r="A55" s="2323" t="s">
        <v>2064</v>
      </c>
      <c r="B55" s="83"/>
      <c r="C55" s="1423">
        <v>24</v>
      </c>
      <c r="D55" s="2263"/>
      <c r="E55" s="2262"/>
      <c r="F55" s="2262"/>
      <c r="G55" s="2262"/>
      <c r="H55" s="2262"/>
      <c r="I55" s="2324"/>
      <c r="J55" s="2262"/>
      <c r="K55" s="166"/>
      <c r="L55" s="166"/>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25">
      <c r="A56" s="2323" t="s">
        <v>2065</v>
      </c>
      <c r="B56" s="83"/>
      <c r="C56" s="1423">
        <v>18</v>
      </c>
      <c r="D56" s="2263"/>
      <c r="E56" s="2262"/>
      <c r="F56" s="2262"/>
      <c r="G56" s="2262"/>
      <c r="H56" s="2262"/>
      <c r="I56" s="2262"/>
      <c r="J56" s="2262"/>
      <c r="K56" s="166"/>
      <c r="L56" s="166"/>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25">
      <c r="A57" s="2323" t="s">
        <v>2066</v>
      </c>
      <c r="B57" s="83"/>
      <c r="C57" s="1423">
        <v>12</v>
      </c>
      <c r="D57" s="2263"/>
      <c r="E57" s="2262"/>
      <c r="F57" s="2262"/>
      <c r="G57" s="2262"/>
      <c r="H57" s="2262"/>
      <c r="I57" s="2262"/>
      <c r="J57" s="2262"/>
      <c r="K57" s="166"/>
      <c r="L57" s="166"/>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25">
      <c r="A58" s="2323" t="s">
        <v>2067</v>
      </c>
      <c r="B58" s="83"/>
      <c r="C58" s="1423">
        <v>3</v>
      </c>
      <c r="D58" s="2263"/>
      <c r="E58" s="2262"/>
      <c r="F58" s="2262"/>
      <c r="G58" s="2262"/>
      <c r="H58" s="2262"/>
      <c r="I58" s="2262"/>
      <c r="J58" s="2262"/>
      <c r="K58" s="166"/>
      <c r="L58" s="166"/>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25">
      <c r="A59" s="2323" t="s">
        <v>2068</v>
      </c>
      <c r="B59" s="83">
        <v>1.5</v>
      </c>
      <c r="C59" s="1423">
        <v>1.5</v>
      </c>
      <c r="D59" s="2263"/>
      <c r="E59" s="2262"/>
      <c r="F59" s="2262"/>
      <c r="G59" s="2262"/>
      <c r="H59" s="2262"/>
      <c r="I59" s="2262"/>
      <c r="J59" s="2262"/>
      <c r="K59" s="166"/>
      <c r="L59" s="166"/>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25">
      <c r="A60" s="2323" t="s">
        <v>2069</v>
      </c>
      <c r="B60" s="83"/>
      <c r="C60" s="2262"/>
      <c r="D60" s="2263"/>
      <c r="E60" s="2262"/>
      <c r="F60" s="2262"/>
      <c r="G60" s="2262"/>
      <c r="H60" s="2262"/>
      <c r="I60" s="2262"/>
      <c r="J60" s="2262"/>
      <c r="K60" s="166"/>
      <c r="L60" s="166"/>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25">
      <c r="A61" s="2323" t="s">
        <v>2070</v>
      </c>
      <c r="B61" s="83"/>
      <c r="C61" s="2262"/>
      <c r="D61" s="2263"/>
      <c r="E61" s="2262"/>
      <c r="F61" s="2262"/>
      <c r="G61" s="2262"/>
      <c r="H61" s="2262"/>
      <c r="I61" s="2262"/>
      <c r="J61" s="2262"/>
      <c r="K61" s="166"/>
      <c r="L61" s="166"/>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25">
      <c r="A62" s="2323" t="s">
        <v>2071</v>
      </c>
      <c r="B62" s="83"/>
      <c r="C62" s="2262"/>
      <c r="D62" s="2263"/>
      <c r="E62" s="2262"/>
      <c r="F62" s="2262"/>
      <c r="G62" s="2262"/>
      <c r="H62" s="2262"/>
      <c r="I62" s="2262"/>
      <c r="J62" s="2262"/>
      <c r="K62" s="166"/>
      <c r="L62" s="166"/>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25" t="s">
        <v>2072</v>
      </c>
      <c r="B63" s="132"/>
      <c r="C63" s="2262"/>
      <c r="D63" s="2263"/>
      <c r="E63" s="2262"/>
      <c r="F63" s="2262"/>
      <c r="G63" s="2262"/>
      <c r="H63" s="2262"/>
      <c r="I63" s="2262"/>
      <c r="J63" s="2262"/>
      <c r="K63" s="166"/>
      <c r="L63" s="166"/>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62" customFormat="1">
      <c r="A64" s="2326"/>
      <c r="D64" s="2327"/>
      <c r="K64" s="796"/>
      <c r="L64" s="796"/>
    </row>
    <row r="65" spans="1:12" s="962" customFormat="1">
      <c r="A65" s="2326"/>
      <c r="D65" s="2327"/>
      <c r="K65" s="796"/>
      <c r="L65" s="796"/>
    </row>
    <row r="66" spans="1:12" s="962" customFormat="1">
      <c r="A66" s="2326"/>
      <c r="D66" s="2327"/>
      <c r="K66" s="796"/>
      <c r="L66" s="796"/>
    </row>
    <row r="67" spans="1:12" s="962" customFormat="1">
      <c r="A67" s="2326"/>
      <c r="D67" s="2327"/>
      <c r="K67" s="796"/>
      <c r="L67" s="796"/>
    </row>
    <row r="68" spans="1:12" s="962" customFormat="1">
      <c r="A68" s="2326"/>
      <c r="D68" s="2327"/>
      <c r="K68" s="796"/>
      <c r="L68" s="796"/>
    </row>
    <row r="69" spans="1:12" s="962" customFormat="1">
      <c r="A69" s="2326"/>
      <c r="D69" s="2327"/>
      <c r="K69" s="796"/>
      <c r="L69" s="796"/>
    </row>
    <row r="70" spans="1:12" s="962" customFormat="1">
      <c r="A70" s="2326"/>
      <c r="D70" s="2327"/>
      <c r="K70" s="796"/>
      <c r="L70" s="796"/>
    </row>
    <row r="71" spans="1:12" s="962" customFormat="1">
      <c r="A71" s="2326"/>
      <c r="D71" s="2327"/>
      <c r="K71" s="796"/>
      <c r="L71" s="796"/>
    </row>
    <row r="72" spans="1:12" s="962" customFormat="1">
      <c r="A72" s="2326"/>
      <c r="D72" s="2327"/>
      <c r="K72" s="796"/>
      <c r="L72" s="796"/>
    </row>
    <row r="73" spans="1:12" s="962" customFormat="1">
      <c r="A73" s="2326"/>
      <c r="D73" s="2327"/>
      <c r="K73" s="796"/>
      <c r="L73" s="796"/>
    </row>
    <row r="74" spans="1:12" s="962" customFormat="1">
      <c r="A74" s="2326"/>
      <c r="D74" s="2327"/>
      <c r="K74" s="796"/>
      <c r="L74" s="796"/>
    </row>
    <row r="75" spans="1:12" s="962" customFormat="1">
      <c r="A75" s="2326"/>
      <c r="D75" s="2327"/>
      <c r="K75" s="796"/>
      <c r="L75" s="796"/>
    </row>
    <row r="76" spans="1:12" s="962" customFormat="1">
      <c r="A76" s="2326"/>
      <c r="D76" s="2327"/>
      <c r="K76" s="796"/>
      <c r="L76" s="796"/>
    </row>
    <row r="77" spans="1:12" s="962" customFormat="1">
      <c r="A77" s="2326"/>
      <c r="D77" s="2327"/>
      <c r="K77" s="796"/>
      <c r="L77" s="796"/>
    </row>
    <row r="78" spans="1:12" s="962" customFormat="1">
      <c r="A78" s="2326"/>
      <c r="D78" s="2327"/>
      <c r="K78" s="796"/>
      <c r="L78" s="796"/>
    </row>
    <row r="79" spans="1:12" s="962" customFormat="1">
      <c r="A79" s="2326"/>
      <c r="D79" s="2327"/>
      <c r="K79" s="796"/>
      <c r="L79" s="796"/>
    </row>
    <row r="80" spans="1:12" s="962" customFormat="1">
      <c r="A80" s="2326"/>
      <c r="D80" s="2327"/>
      <c r="K80" s="796"/>
      <c r="L80" s="796"/>
    </row>
    <row r="81" spans="1:12" s="962" customFormat="1">
      <c r="A81" s="2326"/>
      <c r="D81" s="2327"/>
      <c r="K81" s="796"/>
      <c r="L81" s="796"/>
    </row>
    <row r="82" spans="1:12" s="962" customFormat="1">
      <c r="A82" s="2326"/>
      <c r="D82" s="2327"/>
      <c r="K82" s="796"/>
      <c r="L82" s="796"/>
    </row>
    <row r="83" spans="1:12" s="962" customFormat="1">
      <c r="A83" s="2326"/>
      <c r="D83" s="2327"/>
      <c r="K83" s="796"/>
      <c r="L83" s="796"/>
    </row>
    <row r="84" spans="1:12" s="962" customFormat="1">
      <c r="A84" s="2326"/>
      <c r="D84" s="2327"/>
      <c r="K84" s="796"/>
      <c r="L84" s="796"/>
    </row>
    <row r="85" spans="1:12" s="962" customFormat="1">
      <c r="A85" s="2326"/>
      <c r="D85" s="2327"/>
      <c r="K85" s="796"/>
      <c r="L85" s="796"/>
    </row>
    <row r="86" spans="1:12" s="962" customFormat="1">
      <c r="A86" s="2326"/>
      <c r="D86" s="2327"/>
      <c r="K86" s="796"/>
      <c r="L86" s="796"/>
    </row>
    <row r="87" spans="1:12" s="962" customFormat="1">
      <c r="A87" s="2326"/>
      <c r="D87" s="2327"/>
      <c r="K87" s="796"/>
      <c r="L87" s="796"/>
    </row>
    <row r="88" spans="1:12" s="962" customFormat="1">
      <c r="A88" s="2326"/>
      <c r="D88" s="2327"/>
      <c r="K88" s="796"/>
      <c r="L88" s="796"/>
    </row>
    <row r="89" spans="1:12" s="962" customFormat="1">
      <c r="A89" s="2326"/>
      <c r="D89" s="2327"/>
      <c r="K89" s="796"/>
      <c r="L89" s="796"/>
    </row>
    <row r="90" spans="1:12" s="962" customFormat="1">
      <c r="A90" s="2326"/>
      <c r="D90" s="2327"/>
      <c r="K90" s="796"/>
      <c r="L90" s="796"/>
    </row>
    <row r="91" spans="1:12" s="962" customFormat="1">
      <c r="A91" s="2326"/>
      <c r="D91" s="2327"/>
      <c r="K91" s="796"/>
      <c r="L91" s="796"/>
    </row>
    <row r="92" spans="1:12" s="962" customFormat="1">
      <c r="A92" s="2326"/>
      <c r="D92" s="2327"/>
      <c r="K92" s="796"/>
      <c r="L92" s="796"/>
    </row>
    <row r="93" spans="1:12" s="962" customFormat="1">
      <c r="A93" s="2326"/>
      <c r="D93" s="2327"/>
      <c r="K93" s="796"/>
      <c r="L93" s="796"/>
    </row>
    <row r="94" spans="1:12" s="962" customFormat="1">
      <c r="A94" s="2326"/>
      <c r="D94" s="2327"/>
      <c r="K94" s="796"/>
      <c r="L94" s="796"/>
    </row>
    <row r="95" spans="1:12" s="962" customFormat="1">
      <c r="A95" s="2326"/>
      <c r="D95" s="2327"/>
      <c r="K95" s="796"/>
      <c r="L95" s="796"/>
    </row>
    <row r="96" spans="1:12" s="962" customFormat="1">
      <c r="A96" s="2326"/>
      <c r="D96" s="2327"/>
      <c r="K96" s="796"/>
      <c r="L96" s="796"/>
    </row>
    <row r="97" spans="1:12" s="962" customFormat="1">
      <c r="A97" s="2326"/>
      <c r="D97" s="2327"/>
      <c r="K97" s="796"/>
      <c r="L97" s="796"/>
    </row>
    <row r="98" spans="1:12" s="962" customFormat="1">
      <c r="A98" s="2326"/>
      <c r="D98" s="2327"/>
      <c r="K98" s="796"/>
      <c r="L98" s="796"/>
    </row>
    <row r="99" spans="1:12" s="962" customFormat="1">
      <c r="A99" s="2326"/>
      <c r="D99" s="2327"/>
      <c r="K99" s="796"/>
      <c r="L99" s="796"/>
    </row>
    <row r="100" spans="1:12" s="962" customFormat="1">
      <c r="A100" s="2326"/>
      <c r="D100" s="2327"/>
      <c r="K100" s="796"/>
      <c r="L100" s="796"/>
    </row>
    <row r="101" spans="1:12" s="962" customFormat="1">
      <c r="A101" s="2326"/>
      <c r="D101" s="2327"/>
      <c r="K101" s="796"/>
      <c r="L101" s="796"/>
    </row>
    <row r="102" spans="1:12" s="962" customFormat="1">
      <c r="A102" s="2326"/>
      <c r="D102" s="2327"/>
      <c r="K102" s="796"/>
      <c r="L102" s="796"/>
    </row>
    <row r="103" spans="1:12" s="962" customFormat="1">
      <c r="A103" s="2326"/>
      <c r="D103" s="2327"/>
      <c r="K103" s="796"/>
      <c r="L103" s="796"/>
    </row>
    <row r="104" spans="1:12" s="962" customFormat="1">
      <c r="A104" s="2326"/>
      <c r="D104" s="2327"/>
      <c r="K104" s="796"/>
      <c r="L104" s="796"/>
    </row>
    <row r="105" spans="1:12" s="962" customFormat="1">
      <c r="A105" s="2326"/>
      <c r="D105" s="2327"/>
      <c r="K105" s="796"/>
      <c r="L105" s="796"/>
    </row>
    <row r="106" spans="1:12" s="962" customFormat="1">
      <c r="A106" s="2326"/>
      <c r="D106" s="2327"/>
      <c r="K106" s="796"/>
      <c r="L106" s="796"/>
    </row>
    <row r="107" spans="1:12" s="962" customFormat="1">
      <c r="A107" s="2326"/>
      <c r="D107" s="2327"/>
      <c r="K107" s="796"/>
      <c r="L107" s="796"/>
    </row>
    <row r="108" spans="1:12" s="962" customFormat="1">
      <c r="A108" s="2326"/>
      <c r="D108" s="2327"/>
      <c r="K108" s="796"/>
      <c r="L108" s="796"/>
    </row>
    <row r="109" spans="1:12" s="962" customFormat="1">
      <c r="A109" s="2326"/>
      <c r="D109" s="2327"/>
      <c r="K109" s="796"/>
      <c r="L109" s="796"/>
    </row>
    <row r="110" spans="1:12" s="962" customFormat="1">
      <c r="A110" s="2326"/>
      <c r="D110" s="2327"/>
      <c r="K110" s="796"/>
      <c r="L110" s="796"/>
    </row>
    <row r="111" spans="1:12" s="962" customFormat="1">
      <c r="A111" s="2326"/>
      <c r="D111" s="2327"/>
      <c r="K111" s="796"/>
      <c r="L111" s="796"/>
    </row>
    <row r="112" spans="1:12" s="962" customFormat="1">
      <c r="A112" s="2326"/>
      <c r="D112" s="2327"/>
      <c r="K112" s="796"/>
      <c r="L112" s="796"/>
    </row>
    <row r="113" spans="1:12" s="962" customFormat="1">
      <c r="A113" s="2326"/>
      <c r="D113" s="2327"/>
      <c r="K113" s="796"/>
      <c r="L113" s="796"/>
    </row>
    <row r="114" spans="1:12" s="962" customFormat="1">
      <c r="A114" s="2326"/>
      <c r="D114" s="2327"/>
      <c r="K114" s="796"/>
      <c r="L114" s="796"/>
    </row>
    <row r="115" spans="1:12" s="962" customFormat="1">
      <c r="A115" s="2326"/>
      <c r="D115" s="2327"/>
      <c r="K115" s="796"/>
      <c r="L115" s="796"/>
    </row>
    <row r="116" spans="1:12" s="962" customFormat="1">
      <c r="A116" s="2326"/>
      <c r="D116" s="2327"/>
      <c r="K116" s="796"/>
      <c r="L116" s="796"/>
    </row>
    <row r="117" spans="1:12" s="962" customFormat="1">
      <c r="A117" s="2326"/>
      <c r="D117" s="2327"/>
      <c r="K117" s="796"/>
      <c r="L117" s="796"/>
    </row>
    <row r="118" spans="1:12" s="962" customFormat="1">
      <c r="A118" s="2326"/>
      <c r="D118" s="2327"/>
      <c r="K118" s="796"/>
      <c r="L118" s="796"/>
    </row>
    <row r="119" spans="1:12" s="962" customFormat="1">
      <c r="A119" s="2326"/>
      <c r="D119" s="2327"/>
      <c r="K119" s="796"/>
      <c r="L119" s="796"/>
    </row>
    <row r="120" spans="1:12" s="962" customFormat="1">
      <c r="A120" s="2326"/>
      <c r="D120" s="2327"/>
      <c r="K120" s="796"/>
      <c r="L120" s="796"/>
    </row>
    <row r="121" spans="1:12" s="962" customFormat="1">
      <c r="A121" s="2326"/>
      <c r="D121" s="2327"/>
      <c r="K121" s="796"/>
      <c r="L121" s="796"/>
    </row>
    <row r="122" spans="1:12" s="962" customFormat="1">
      <c r="A122" s="2326"/>
      <c r="D122" s="2327"/>
      <c r="K122" s="796"/>
      <c r="L122" s="796"/>
    </row>
    <row r="123" spans="1:12" s="962" customFormat="1">
      <c r="A123" s="2326"/>
      <c r="D123" s="2327"/>
      <c r="K123" s="796"/>
      <c r="L123" s="796"/>
    </row>
    <row r="124" spans="1:12" s="962" customFormat="1">
      <c r="A124" s="2326"/>
      <c r="D124" s="2327"/>
      <c r="K124" s="796"/>
      <c r="L124" s="796"/>
    </row>
    <row r="125" spans="1:12" s="962" customFormat="1">
      <c r="A125" s="2326"/>
      <c r="D125" s="2327"/>
      <c r="K125" s="796"/>
      <c r="L125" s="796"/>
    </row>
    <row r="126" spans="1:12" s="962" customFormat="1">
      <c r="A126" s="2326"/>
      <c r="D126" s="2327"/>
      <c r="K126" s="796"/>
      <c r="L126" s="796"/>
    </row>
    <row r="127" spans="1:12" s="962" customFormat="1">
      <c r="A127" s="2326"/>
      <c r="D127" s="2327"/>
      <c r="K127" s="796"/>
      <c r="L127" s="796"/>
    </row>
    <row r="128" spans="1:12" s="962" customFormat="1">
      <c r="A128" s="2326"/>
      <c r="D128" s="2327"/>
      <c r="K128" s="796"/>
      <c r="L128" s="796"/>
    </row>
    <row r="129" spans="1:12" s="962" customFormat="1">
      <c r="A129" s="2326"/>
      <c r="D129" s="2327"/>
      <c r="K129" s="796"/>
      <c r="L129" s="796"/>
    </row>
    <row r="130" spans="1:12" s="962" customFormat="1">
      <c r="A130" s="2326"/>
      <c r="D130" s="2327"/>
      <c r="K130" s="796"/>
      <c r="L130" s="796"/>
    </row>
    <row r="131" spans="1:12" s="962" customFormat="1">
      <c r="A131" s="2326"/>
      <c r="D131" s="2327"/>
      <c r="K131" s="796"/>
      <c r="L131" s="796"/>
    </row>
    <row r="132" spans="1:12" s="962" customFormat="1">
      <c r="A132" s="2326"/>
      <c r="D132" s="2327"/>
      <c r="K132" s="796"/>
      <c r="L132" s="796"/>
    </row>
    <row r="133" spans="1:12" s="962" customFormat="1">
      <c r="A133" s="2326"/>
      <c r="D133" s="2327"/>
      <c r="K133" s="796"/>
      <c r="L133" s="796"/>
    </row>
    <row r="134" spans="1:12" s="2259" customFormat="1">
      <c r="A134" s="2328"/>
      <c r="D134" s="2329"/>
      <c r="K134" s="27"/>
      <c r="L134" s="27"/>
    </row>
    <row r="135" spans="1:12" s="2259" customFormat="1">
      <c r="A135" s="2328"/>
      <c r="D135" s="2329"/>
      <c r="K135" s="27"/>
      <c r="L135" s="27"/>
    </row>
    <row r="136" spans="1:12" s="2259" customFormat="1">
      <c r="A136" s="2328"/>
      <c r="D136" s="2329"/>
      <c r="K136" s="27"/>
      <c r="L136" s="27"/>
    </row>
    <row r="137" spans="1:12" s="2259" customFormat="1">
      <c r="A137" s="2328"/>
      <c r="D137" s="2329"/>
      <c r="K137" s="27"/>
      <c r="L137" s="27"/>
    </row>
    <row r="138" spans="1:12" s="2259" customFormat="1">
      <c r="A138" s="2328"/>
      <c r="D138" s="2329"/>
      <c r="K138" s="27"/>
      <c r="L138" s="27"/>
    </row>
    <row r="139" spans="1:12" s="2259" customFormat="1">
      <c r="A139" s="2328"/>
      <c r="D139" s="2329"/>
      <c r="K139" s="27"/>
      <c r="L139" s="27"/>
    </row>
    <row r="140" spans="1:12" s="2259" customFormat="1">
      <c r="A140" s="2328"/>
      <c r="D140" s="2329"/>
      <c r="K140" s="27"/>
      <c r="L140" s="27"/>
    </row>
    <row r="141" spans="1:12" s="2259" customFormat="1">
      <c r="A141" s="2328"/>
      <c r="D141" s="2329"/>
      <c r="K141" s="27"/>
      <c r="L141" s="27"/>
    </row>
    <row r="142" spans="1:12" s="2259" customFormat="1">
      <c r="A142" s="2328"/>
      <c r="D142" s="2329"/>
      <c r="K142" s="27"/>
      <c r="L142" s="27"/>
    </row>
    <row r="143" spans="1:12" s="2259" customFormat="1">
      <c r="A143" s="2328"/>
      <c r="D143" s="2329"/>
      <c r="K143" s="27"/>
      <c r="L143" s="27"/>
    </row>
    <row r="144" spans="1:12" s="2259" customFormat="1">
      <c r="A144" s="2328"/>
      <c r="D144" s="2329"/>
      <c r="K144" s="27"/>
      <c r="L144" s="27"/>
    </row>
    <row r="145" spans="1:12" s="2259" customFormat="1">
      <c r="A145" s="2328"/>
      <c r="D145" s="2329"/>
      <c r="K145" s="27"/>
      <c r="L145" s="27"/>
    </row>
    <row r="146" spans="1:12" s="2259" customFormat="1">
      <c r="A146" s="2328"/>
      <c r="D146" s="2329"/>
      <c r="K146" s="27"/>
      <c r="L146" s="27"/>
    </row>
    <row r="147" spans="1:12" s="2259" customFormat="1">
      <c r="A147" s="2328"/>
      <c r="D147" s="2329"/>
      <c r="K147" s="27"/>
      <c r="L147" s="27"/>
    </row>
    <row r="148" spans="1:12" s="2259" customFormat="1">
      <c r="A148" s="2328"/>
      <c r="D148" s="2329"/>
      <c r="K148" s="27"/>
      <c r="L148" s="27"/>
    </row>
    <row r="149" spans="1:12" s="2259" customFormat="1">
      <c r="A149" s="2328"/>
      <c r="D149" s="2329"/>
      <c r="K149" s="27"/>
      <c r="L149" s="27"/>
    </row>
    <row r="150" spans="1:12" s="2259" customFormat="1">
      <c r="A150" s="2328"/>
      <c r="D150" s="2329"/>
      <c r="K150" s="27"/>
      <c r="L150" s="27"/>
    </row>
    <row r="151" spans="1:12" s="2259" customFormat="1">
      <c r="A151" s="2328"/>
      <c r="D151" s="2329"/>
      <c r="K151" s="27"/>
      <c r="L151" s="27"/>
    </row>
    <row r="152" spans="1:12" s="2259" customFormat="1">
      <c r="A152" s="2328"/>
      <c r="D152" s="2329"/>
      <c r="K152" s="27"/>
      <c r="L152" s="27"/>
    </row>
    <row r="153" spans="1:12" s="2259" customFormat="1">
      <c r="A153" s="2328"/>
      <c r="D153" s="2329"/>
      <c r="K153" s="27"/>
      <c r="L153" s="27"/>
    </row>
    <row r="154" spans="1:12" s="2259" customFormat="1">
      <c r="A154" s="2328"/>
      <c r="D154" s="2329"/>
      <c r="K154" s="27"/>
      <c r="L154" s="27"/>
    </row>
    <row r="155" spans="1:12" s="2259" customFormat="1">
      <c r="A155" s="2328"/>
      <c r="D155" s="2329"/>
      <c r="K155" s="27"/>
      <c r="L155" s="27"/>
    </row>
    <row r="156" spans="1:12" s="2259" customFormat="1">
      <c r="A156" s="2328"/>
      <c r="D156" s="2329"/>
      <c r="K156" s="27"/>
      <c r="L156" s="27"/>
    </row>
    <row r="157" spans="1:12" s="2259" customFormat="1">
      <c r="A157" s="2328"/>
      <c r="D157" s="2329"/>
      <c r="K157" s="27"/>
      <c r="L157" s="27"/>
    </row>
    <row r="158" spans="1:12" s="2259" customFormat="1">
      <c r="A158" s="2328"/>
      <c r="D158" s="2329"/>
      <c r="K158" s="27"/>
      <c r="L158" s="27"/>
    </row>
    <row r="159" spans="1:12" s="2259" customFormat="1">
      <c r="A159" s="2328"/>
      <c r="D159" s="2329"/>
      <c r="K159" s="27"/>
      <c r="L159" s="27"/>
    </row>
    <row r="160" spans="1:12" s="2259" customFormat="1">
      <c r="A160" s="2328"/>
      <c r="D160" s="2329"/>
      <c r="K160" s="27"/>
      <c r="L160" s="27"/>
    </row>
    <row r="161" spans="1:12" s="2259" customFormat="1">
      <c r="A161" s="2328"/>
      <c r="D161" s="2329"/>
      <c r="K161" s="27"/>
      <c r="L161" s="27"/>
    </row>
    <row r="162" spans="1:12" s="2259" customFormat="1">
      <c r="A162" s="2328"/>
      <c r="D162" s="2329"/>
      <c r="K162" s="27"/>
      <c r="L162" s="27"/>
    </row>
    <row r="163" spans="1:12" s="2259" customFormat="1">
      <c r="A163" s="2328"/>
      <c r="D163" s="2329"/>
      <c r="K163" s="27"/>
      <c r="L163" s="27"/>
    </row>
    <row r="164" spans="1:12" s="2259" customFormat="1">
      <c r="A164" s="2328"/>
      <c r="D164" s="2329"/>
      <c r="K164" s="27"/>
      <c r="L164" s="27"/>
    </row>
    <row r="165" spans="1:12" s="2259" customFormat="1">
      <c r="A165" s="2328"/>
      <c r="D165" s="2329"/>
      <c r="K165" s="27"/>
      <c r="L165" s="27"/>
    </row>
    <row r="166" spans="1:12" s="2259" customFormat="1">
      <c r="A166" s="2328"/>
      <c r="D166" s="2329"/>
      <c r="K166" s="27"/>
      <c r="L166" s="27"/>
    </row>
    <row r="167" spans="1:12" s="2259" customFormat="1">
      <c r="A167" s="2328"/>
      <c r="D167" s="2329"/>
      <c r="K167" s="27"/>
      <c r="L167" s="27"/>
    </row>
    <row r="168" spans="1:12" s="2259" customFormat="1">
      <c r="A168" s="2328"/>
      <c r="D168" s="2329"/>
      <c r="K168" s="27"/>
      <c r="L168" s="27"/>
    </row>
    <row r="169" spans="1:12" s="2259" customFormat="1">
      <c r="A169" s="2328"/>
      <c r="D169" s="2329"/>
      <c r="K169" s="27"/>
      <c r="L169" s="27"/>
    </row>
    <row r="170" spans="1:12" s="2259" customFormat="1">
      <c r="A170" s="2328"/>
      <c r="D170" s="2329"/>
      <c r="K170" s="27"/>
      <c r="L170" s="27"/>
    </row>
    <row r="171" spans="1:12" s="2259" customFormat="1">
      <c r="A171" s="2328"/>
      <c r="D171" s="2329"/>
      <c r="K171" s="27"/>
      <c r="L171" s="27"/>
    </row>
    <row r="172" spans="1:12" s="2259" customFormat="1">
      <c r="A172" s="2328"/>
      <c r="D172" s="2329"/>
      <c r="K172" s="27"/>
      <c r="L172" s="27"/>
    </row>
    <row r="173" spans="1:12" s="2259" customFormat="1">
      <c r="A173" s="2328"/>
      <c r="D173" s="2329"/>
      <c r="K173" s="27"/>
      <c r="L173" s="27"/>
    </row>
    <row r="174" spans="1:12" s="2259" customFormat="1">
      <c r="A174" s="2328"/>
      <c r="D174" s="232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selection activeCell="C11" sqref="C11"/>
    </sheetView>
  </sheetViews>
  <sheetFormatPr defaultColWidth="9" defaultRowHeight="14.25"/>
  <cols>
    <col min="1" max="1" width="9.5" style="2353" customWidth="1"/>
    <col min="2" max="2" width="24.5" style="2398" customWidth="1"/>
    <col min="3" max="3" width="24.5" style="2397" customWidth="1"/>
    <col min="4" max="4" width="2.625" style="2397" customWidth="1"/>
    <col min="5" max="5" width="5.875" style="2397" customWidth="1"/>
    <col min="6" max="6" width="27" style="2398" customWidth="1"/>
    <col min="7" max="7" width="27" style="2399" customWidth="1"/>
    <col min="8" max="8" width="11.875" style="2377" customWidth="1"/>
    <col min="9" max="9" width="16.75" style="2378" customWidth="1"/>
    <col min="10" max="10" width="2.625" style="2377" customWidth="1"/>
    <col min="11" max="11" width="11.875" style="2377" customWidth="1"/>
    <col min="12" max="12" width="16.75" style="2378" customWidth="1"/>
    <col min="13" max="13" width="2.625" style="2377" customWidth="1"/>
    <col min="14" max="14" width="11.875" style="2377" customWidth="1"/>
    <col min="15" max="15" width="16.75" style="2378" customWidth="1"/>
    <col min="16" max="16" width="2.625" style="2377" customWidth="1"/>
    <col min="17" max="17" width="11.875" style="2377" customWidth="1"/>
    <col min="18" max="18" width="16.75" style="2379" customWidth="1"/>
    <col min="19" max="29" width="9" style="2352"/>
    <col min="30" max="16384" width="9" style="2353"/>
  </cols>
  <sheetData>
    <row r="1" spans="1:29" s="2346" customFormat="1" ht="19.5" thickBot="1">
      <c r="A1" s="3235" t="s">
        <v>2073</v>
      </c>
      <c r="B1" s="3236"/>
      <c r="C1" s="3236"/>
      <c r="D1" s="3236"/>
      <c r="E1" s="3236"/>
      <c r="F1" s="3236"/>
      <c r="G1" s="3236"/>
      <c r="H1" s="2341"/>
      <c r="I1" s="2342"/>
      <c r="J1" s="2341"/>
      <c r="K1" s="2341"/>
      <c r="L1" s="2342"/>
      <c r="M1" s="2341"/>
      <c r="N1" s="2341"/>
      <c r="O1" s="2342"/>
      <c r="P1" s="2341"/>
      <c r="Q1" s="2343"/>
      <c r="R1" s="2344"/>
      <c r="S1" s="2345"/>
      <c r="T1" s="2345"/>
      <c r="U1" s="2345"/>
      <c r="V1" s="2345"/>
      <c r="W1" s="2345"/>
      <c r="X1" s="2345"/>
      <c r="Y1" s="2345"/>
      <c r="Z1" s="2345"/>
      <c r="AA1" s="2345"/>
      <c r="AB1" s="2345"/>
      <c r="AC1" s="2345"/>
    </row>
    <row r="2" spans="1:29" ht="15.75" thickBot="1">
      <c r="A2" s="2347"/>
      <c r="B2" s="2348"/>
      <c r="C2" s="2349" t="s">
        <v>2074</v>
      </c>
      <c r="D2" s="2350"/>
      <c r="E2" s="2351"/>
      <c r="F2" s="2271"/>
      <c r="G2" s="2349" t="s">
        <v>2075</v>
      </c>
      <c r="H2" s="2352"/>
      <c r="I2" s="2352"/>
      <c r="J2" s="2352"/>
      <c r="K2" s="2352"/>
      <c r="L2" s="2352"/>
      <c r="M2" s="2352"/>
      <c r="N2" s="2352"/>
      <c r="O2" s="2352"/>
      <c r="P2" s="2352"/>
      <c r="Q2" s="2352"/>
      <c r="R2" s="2352"/>
    </row>
    <row r="3" spans="1:29" ht="27">
      <c r="A3" s="413" t="s">
        <v>2076</v>
      </c>
      <c r="B3" s="1264" t="s">
        <v>2077</v>
      </c>
      <c r="C3" s="3081" t="s">
        <v>4639</v>
      </c>
      <c r="D3" s="2354"/>
      <c r="E3" s="429" t="s">
        <v>2076</v>
      </c>
      <c r="F3" s="2355" t="s">
        <v>2078</v>
      </c>
      <c r="G3" s="2356"/>
      <c r="H3" s="2352"/>
      <c r="I3" s="2352"/>
      <c r="J3" s="2352"/>
      <c r="K3" s="2352"/>
      <c r="L3" s="2352"/>
      <c r="M3" s="2352"/>
      <c r="N3" s="2352"/>
      <c r="O3" s="2352"/>
      <c r="P3" s="2352"/>
      <c r="Q3" s="2352"/>
      <c r="R3" s="2352"/>
    </row>
    <row r="4" spans="1:29" ht="15">
      <c r="A4" s="429"/>
      <c r="B4" s="1789" t="s">
        <v>2079</v>
      </c>
      <c r="C4" s="3082" t="s">
        <v>4645</v>
      </c>
      <c r="D4" s="2354"/>
      <c r="E4" s="2357"/>
      <c r="F4" s="42" t="s">
        <v>2080</v>
      </c>
      <c r="G4" s="2358"/>
      <c r="H4" s="2352"/>
      <c r="I4" s="2352"/>
      <c r="J4" s="2352"/>
      <c r="K4" s="2352"/>
      <c r="L4" s="2352"/>
      <c r="M4" s="2352"/>
      <c r="N4" s="2352"/>
      <c r="O4" s="2352"/>
      <c r="P4" s="2352"/>
      <c r="Q4" s="2352"/>
      <c r="R4" s="2352"/>
    </row>
    <row r="5" spans="1:29" ht="15">
      <c r="A5" s="429"/>
      <c r="B5" s="1789" t="s">
        <v>2081</v>
      </c>
      <c r="C5" s="3082"/>
      <c r="D5" s="2354"/>
      <c r="E5" s="2357"/>
      <c r="F5" s="1789" t="s">
        <v>2082</v>
      </c>
      <c r="G5" s="2358"/>
      <c r="H5" s="2352"/>
      <c r="I5" s="2352"/>
      <c r="J5" s="2352"/>
      <c r="K5" s="2352"/>
      <c r="L5" s="2352"/>
      <c r="M5" s="2352"/>
      <c r="N5" s="2352"/>
      <c r="O5" s="2352"/>
      <c r="P5" s="2352"/>
      <c r="Q5" s="2352"/>
      <c r="R5" s="2352"/>
    </row>
    <row r="6" spans="1:29" ht="15">
      <c r="A6" s="429"/>
      <c r="B6" s="1789" t="s">
        <v>2083</v>
      </c>
      <c r="C6" s="3083" t="s">
        <v>4639</v>
      </c>
      <c r="D6" s="2354"/>
      <c r="E6" s="2357"/>
      <c r="F6" s="1789" t="s">
        <v>2084</v>
      </c>
      <c r="G6" s="2358"/>
      <c r="H6" s="2352"/>
      <c r="I6" s="2352"/>
      <c r="J6" s="2352"/>
      <c r="K6" s="2352"/>
      <c r="L6" s="2352"/>
      <c r="M6" s="2352"/>
      <c r="N6" s="2352"/>
      <c r="O6" s="2352"/>
      <c r="P6" s="2352"/>
      <c r="Q6" s="2352"/>
      <c r="R6" s="2352"/>
    </row>
    <row r="7" spans="1:29" ht="15.75" thickBot="1">
      <c r="A7" s="429"/>
      <c r="B7" s="1789" t="s">
        <v>2082</v>
      </c>
      <c r="C7" s="3083" t="s">
        <v>4639</v>
      </c>
      <c r="D7" s="2359"/>
      <c r="E7" s="2360"/>
      <c r="F7" s="2361" t="s">
        <v>2085</v>
      </c>
      <c r="G7" s="2362"/>
      <c r="H7" s="2352"/>
      <c r="I7" s="2352"/>
      <c r="J7" s="2352"/>
      <c r="K7" s="2352"/>
      <c r="L7" s="2352"/>
      <c r="M7" s="2352"/>
      <c r="N7" s="2352"/>
      <c r="O7" s="2352"/>
      <c r="P7" s="2352"/>
      <c r="Q7" s="2352"/>
      <c r="R7" s="2352"/>
    </row>
    <row r="8" spans="1:29" ht="15">
      <c r="A8" s="429"/>
      <c r="B8" s="1789" t="s">
        <v>2084</v>
      </c>
      <c r="C8" s="3083" t="s">
        <v>4632</v>
      </c>
      <c r="D8" s="2359"/>
      <c r="E8" s="2359"/>
      <c r="F8" s="1129"/>
      <c r="G8" s="1129"/>
      <c r="H8" s="2352"/>
      <c r="I8" s="2352"/>
      <c r="J8" s="2352"/>
      <c r="K8" s="2352"/>
      <c r="L8" s="2352"/>
      <c r="M8" s="2352"/>
      <c r="N8" s="2352"/>
      <c r="O8" s="2352"/>
      <c r="P8" s="2352"/>
      <c r="Q8" s="2352"/>
      <c r="R8" s="2352"/>
    </row>
    <row r="9" spans="1:29" ht="15">
      <c r="A9" s="429"/>
      <c r="B9" s="1789" t="s">
        <v>2086</v>
      </c>
      <c r="C9" s="3082" t="s">
        <v>4639</v>
      </c>
      <c r="D9" s="2354"/>
      <c r="E9" s="2359"/>
      <c r="F9" s="1129"/>
      <c r="G9" s="1129"/>
      <c r="H9" s="2352"/>
      <c r="I9" s="2352"/>
      <c r="J9" s="2352"/>
      <c r="K9" s="2352"/>
      <c r="L9" s="2352"/>
      <c r="M9" s="2352"/>
      <c r="N9" s="2352"/>
      <c r="O9" s="2352"/>
      <c r="P9" s="2352"/>
      <c r="Q9" s="2352"/>
      <c r="R9" s="2352"/>
    </row>
    <row r="10" spans="1:29" s="115" customFormat="1" ht="15.75" thickBot="1">
      <c r="A10" s="2363"/>
      <c r="B10" s="2364" t="s">
        <v>2087</v>
      </c>
      <c r="C10" s="3084" t="s">
        <v>4711</v>
      </c>
      <c r="D10" s="2354"/>
      <c r="E10" s="2354"/>
      <c r="F10" s="1129"/>
      <c r="G10" s="1129"/>
      <c r="H10" s="2365"/>
      <c r="I10" s="2366"/>
      <c r="J10" s="2367"/>
      <c r="K10" s="2365"/>
      <c r="L10" s="2366"/>
      <c r="M10" s="2367"/>
      <c r="N10" s="2365"/>
      <c r="O10" s="2366"/>
      <c r="P10" s="2367"/>
      <c r="Q10" s="2365"/>
      <c r="R10" s="2366"/>
      <c r="S10" s="2352"/>
      <c r="T10" s="2352"/>
      <c r="U10" s="2352"/>
      <c r="V10" s="2352"/>
      <c r="W10" s="2352"/>
      <c r="X10" s="2352"/>
      <c r="Y10" s="2352"/>
      <c r="Z10" s="2352"/>
      <c r="AA10" s="2352"/>
      <c r="AB10" s="2352"/>
      <c r="AC10" s="2352"/>
    </row>
    <row r="11" spans="1:29" s="115" customFormat="1" ht="15">
      <c r="A11" s="2368"/>
      <c r="B11" s="2359"/>
      <c r="C11" s="2354"/>
      <c r="D11" s="2354"/>
      <c r="E11" s="2354"/>
      <c r="F11" s="2359"/>
      <c r="G11" s="1147"/>
      <c r="H11" s="2365"/>
      <c r="I11" s="2366"/>
      <c r="J11" s="2367"/>
      <c r="K11" s="2365"/>
      <c r="L11" s="2366"/>
      <c r="M11" s="2367"/>
      <c r="N11" s="2365"/>
      <c r="O11" s="2366"/>
      <c r="P11" s="2367"/>
      <c r="Q11" s="2365"/>
      <c r="R11" s="2366"/>
      <c r="S11" s="2352"/>
      <c r="T11" s="2352"/>
      <c r="U11" s="2352"/>
      <c r="V11" s="2352"/>
      <c r="W11" s="2352"/>
      <c r="X11" s="2352"/>
      <c r="Y11" s="2352"/>
      <c r="Z11" s="2352"/>
      <c r="AA11" s="2352"/>
      <c r="AB11" s="2352"/>
      <c r="AC11" s="2352"/>
    </row>
    <row r="12" spans="1:29" s="2346" customFormat="1" ht="18">
      <c r="A12" s="2368"/>
      <c r="B12" s="2359"/>
      <c r="C12" s="2354"/>
      <c r="D12" s="2369"/>
      <c r="E12" s="2354"/>
      <c r="F12" s="2359"/>
      <c r="G12" s="1147"/>
      <c r="H12" s="2370"/>
      <c r="I12" s="2371"/>
      <c r="J12" s="2370"/>
      <c r="K12" s="2370"/>
      <c r="L12" s="2372"/>
      <c r="M12" s="2370"/>
      <c r="N12" s="2373"/>
      <c r="O12" s="2374"/>
      <c r="P12" s="2373"/>
      <c r="Q12" s="2373"/>
      <c r="R12" s="2344"/>
      <c r="S12" s="2345"/>
      <c r="T12" s="2345"/>
      <c r="U12" s="2345"/>
      <c r="V12" s="2345"/>
      <c r="W12" s="2345"/>
      <c r="X12" s="2345"/>
      <c r="Y12" s="2345"/>
      <c r="Z12" s="2345"/>
      <c r="AA12" s="2345"/>
      <c r="AB12" s="2345"/>
      <c r="AC12" s="2345"/>
    </row>
    <row r="13" spans="1:29" ht="19.5" thickBot="1">
      <c r="A13" s="2375" t="s">
        <v>2088</v>
      </c>
      <c r="B13" s="2369"/>
      <c r="C13" s="2369"/>
      <c r="D13" s="2376"/>
      <c r="E13" s="2369"/>
      <c r="F13" s="2369"/>
      <c r="G13" s="2369"/>
    </row>
    <row r="14" spans="1:29" ht="15.75" thickBot="1">
      <c r="A14" s="2380"/>
      <c r="B14" s="2381"/>
      <c r="C14" s="2382" t="s">
        <v>2089</v>
      </c>
      <c r="D14" s="2354"/>
      <c r="E14" s="2383"/>
      <c r="F14" s="2383"/>
      <c r="G14" s="2349" t="s">
        <v>2090</v>
      </c>
    </row>
    <row r="15" spans="1:29" ht="27">
      <c r="A15" s="67" t="s">
        <v>2091</v>
      </c>
      <c r="B15" s="1263" t="s">
        <v>2077</v>
      </c>
      <c r="C15" s="2384" t="str">
        <f>C3</f>
        <v>一般</v>
      </c>
      <c r="D15" s="2354"/>
      <c r="E15" s="2385" t="s">
        <v>2092</v>
      </c>
      <c r="F15" s="1263" t="s">
        <v>2093</v>
      </c>
      <c r="G15" s="133">
        <f>G3</f>
        <v>0</v>
      </c>
    </row>
    <row r="16" spans="1:29" ht="15">
      <c r="A16" s="643"/>
      <c r="B16" s="2386" t="s">
        <v>2079</v>
      </c>
      <c r="C16" s="2387" t="str">
        <f>C4</f>
        <v>较差</v>
      </c>
      <c r="D16" s="2354"/>
      <c r="E16" s="2388"/>
      <c r="F16" s="2389" t="s">
        <v>2080</v>
      </c>
      <c r="G16" s="134">
        <f>G4</f>
        <v>0</v>
      </c>
    </row>
    <row r="17" spans="1:18" ht="15">
      <c r="A17" s="643"/>
      <c r="B17" s="2386" t="s">
        <v>2081</v>
      </c>
      <c r="C17" s="2387">
        <f>C5</f>
        <v>0</v>
      </c>
      <c r="D17" s="2359"/>
      <c r="E17" s="2388"/>
      <c r="F17" s="2389" t="s">
        <v>2094</v>
      </c>
      <c r="G17" s="1563"/>
    </row>
    <row r="18" spans="1:18" ht="15">
      <c r="A18" s="643"/>
      <c r="B18" s="2389" t="s">
        <v>2083</v>
      </c>
      <c r="C18" s="134" t="str">
        <f>C6</f>
        <v>一般</v>
      </c>
      <c r="D18" s="2359"/>
      <c r="E18" s="2388"/>
      <c r="F18" s="2389" t="s">
        <v>2085</v>
      </c>
      <c r="G18" s="134">
        <f>G7</f>
        <v>0</v>
      </c>
    </row>
    <row r="19" spans="1:18" ht="15">
      <c r="A19" s="643"/>
      <c r="B19" s="2389" t="s">
        <v>2095</v>
      </c>
      <c r="C19" s="3085" t="s">
        <v>4647</v>
      </c>
      <c r="D19" s="2354"/>
      <c r="E19" s="2388"/>
      <c r="F19" s="1789" t="s">
        <v>2082</v>
      </c>
      <c r="G19" s="134">
        <f>G5</f>
        <v>0</v>
      </c>
    </row>
    <row r="20" spans="1:18" ht="15">
      <c r="A20" s="643"/>
      <c r="B20" s="2389" t="s">
        <v>2096</v>
      </c>
      <c r="C20" s="2387" t="str">
        <f>C9</f>
        <v>一般</v>
      </c>
      <c r="D20" s="2359"/>
      <c r="E20" s="2388"/>
      <c r="F20" s="1789" t="s">
        <v>2097</v>
      </c>
      <c r="G20" s="134">
        <f>G6</f>
        <v>0</v>
      </c>
    </row>
    <row r="21" spans="1:18" ht="15">
      <c r="A21" s="643"/>
      <c r="B21" s="1789" t="s">
        <v>2082</v>
      </c>
      <c r="C21" s="134" t="str">
        <f>C7</f>
        <v>一般</v>
      </c>
      <c r="D21" s="2354"/>
      <c r="E21" s="2388"/>
      <c r="F21" s="2389" t="s">
        <v>2098</v>
      </c>
      <c r="G21" s="2390"/>
    </row>
    <row r="22" spans="1:18" ht="13.5" customHeight="1">
      <c r="A22" s="643"/>
      <c r="B22" s="1789" t="s">
        <v>2084</v>
      </c>
      <c r="C22" s="134" t="str">
        <f>C8</f>
        <v>七通</v>
      </c>
      <c r="D22" s="2354"/>
      <c r="E22" s="2388"/>
      <c r="F22" s="2389" t="s">
        <v>2087</v>
      </c>
      <c r="G22" s="1563"/>
    </row>
    <row r="23" spans="1:18" s="2352" customFormat="1" ht="15.75" thickBot="1">
      <c r="A23" s="643"/>
      <c r="B23" s="2389" t="s">
        <v>2098</v>
      </c>
      <c r="C23" s="2390" t="s">
        <v>4648</v>
      </c>
      <c r="D23" s="2377"/>
      <c r="E23" s="2391"/>
      <c r="F23" s="2392" t="s">
        <v>2099</v>
      </c>
      <c r="G23" s="2393"/>
      <c r="H23" s="2377"/>
      <c r="I23" s="2378"/>
      <c r="J23" s="2377"/>
      <c r="K23" s="2377"/>
      <c r="L23" s="2378"/>
      <c r="M23" s="2377"/>
      <c r="N23" s="2377"/>
      <c r="O23" s="2378"/>
      <c r="P23" s="2377"/>
      <c r="Q23" s="2377"/>
      <c r="R23" s="2379"/>
    </row>
    <row r="24" spans="1:18" s="2352" customFormat="1" ht="15.75" thickBot="1">
      <c r="A24" s="2394"/>
      <c r="B24" s="2392" t="s">
        <v>2100</v>
      </c>
      <c r="C24" s="135" t="str">
        <f>C10</f>
        <v>支路</v>
      </c>
      <c r="D24" s="2377"/>
      <c r="E24" s="2395"/>
      <c r="F24" s="2395"/>
      <c r="G24" s="2396"/>
      <c r="H24" s="2377"/>
      <c r="I24" s="2378"/>
      <c r="J24" s="2377"/>
      <c r="K24" s="2377"/>
      <c r="L24" s="2378"/>
      <c r="M24" s="2377"/>
      <c r="N24" s="2377"/>
      <c r="O24" s="2378"/>
      <c r="P24" s="2377"/>
      <c r="Q24" s="2377"/>
      <c r="R24" s="2379"/>
    </row>
    <row r="25" spans="1:18" s="2352" customFormat="1">
      <c r="B25" s="2377"/>
      <c r="C25" s="2377"/>
      <c r="D25" s="2377"/>
      <c r="H25" s="2377"/>
      <c r="I25" s="2378"/>
      <c r="J25" s="2377"/>
      <c r="K25" s="2377"/>
      <c r="L25" s="2378"/>
      <c r="M25" s="2377"/>
      <c r="N25" s="2377"/>
      <c r="O25" s="2378"/>
      <c r="P25" s="2377"/>
      <c r="Q25" s="2377"/>
      <c r="R25" s="2379"/>
    </row>
    <row r="26" spans="1:18" s="2352" customFormat="1">
      <c r="B26" s="2377"/>
      <c r="C26" s="2377"/>
      <c r="D26" s="2377"/>
      <c r="H26" s="2377"/>
      <c r="I26" s="2378"/>
      <c r="J26" s="2377"/>
      <c r="K26" s="2377"/>
      <c r="L26" s="2378"/>
      <c r="M26" s="2377"/>
      <c r="N26" s="2377"/>
      <c r="O26" s="2378"/>
      <c r="P26" s="2377"/>
      <c r="Q26" s="2377"/>
      <c r="R26" s="2379"/>
    </row>
    <row r="27" spans="1:18" s="2352" customFormat="1">
      <c r="B27" s="2377"/>
      <c r="C27" s="2377"/>
      <c r="D27" s="2377"/>
      <c r="H27" s="2377"/>
      <c r="I27" s="2378"/>
      <c r="J27" s="2377"/>
      <c r="K27" s="2377"/>
      <c r="L27" s="2378"/>
      <c r="M27" s="2377"/>
      <c r="N27" s="2377"/>
      <c r="O27" s="2378"/>
      <c r="P27" s="2377"/>
      <c r="Q27" s="2377"/>
      <c r="R27" s="2379"/>
    </row>
    <row r="28" spans="1:18" s="2352" customFormat="1">
      <c r="B28" s="2377"/>
      <c r="C28" s="2377"/>
      <c r="D28" s="2377"/>
      <c r="H28" s="2377"/>
      <c r="I28" s="2378"/>
      <c r="J28" s="2377"/>
      <c r="K28" s="2377"/>
      <c r="L28" s="2378"/>
      <c r="M28" s="2377"/>
      <c r="N28" s="2377"/>
      <c r="O28" s="2378"/>
      <c r="P28" s="2377"/>
      <c r="Q28" s="2377"/>
      <c r="R28" s="2379"/>
    </row>
    <row r="29" spans="1:18" s="2352" customFormat="1">
      <c r="B29" s="2377"/>
      <c r="C29" s="2377"/>
      <c r="D29" s="2377"/>
      <c r="H29" s="2377"/>
      <c r="I29" s="2378"/>
      <c r="J29" s="2377"/>
      <c r="K29" s="2377"/>
      <c r="L29" s="2378"/>
      <c r="M29" s="2377"/>
      <c r="N29" s="2377"/>
      <c r="O29" s="2378"/>
      <c r="P29" s="2377"/>
      <c r="Q29" s="2377"/>
      <c r="R29" s="2379"/>
    </row>
    <row r="30" spans="1:18" s="2352" customFormat="1">
      <c r="B30" s="2377"/>
      <c r="C30" s="2377"/>
      <c r="D30" s="2377"/>
      <c r="H30" s="2377"/>
      <c r="I30" s="2378"/>
      <c r="J30" s="2377"/>
      <c r="K30" s="2377"/>
      <c r="L30" s="2378"/>
      <c r="M30" s="2377"/>
      <c r="N30" s="2377"/>
      <c r="O30" s="2378"/>
      <c r="P30" s="2377"/>
      <c r="Q30" s="2377"/>
      <c r="R30" s="2379"/>
    </row>
    <row r="31" spans="1:18" s="2352" customFormat="1">
      <c r="B31" s="2377"/>
      <c r="C31" s="2377"/>
      <c r="D31" s="2377"/>
      <c r="H31" s="2377"/>
      <c r="I31" s="2378"/>
      <c r="J31" s="2377"/>
      <c r="K31" s="2377"/>
      <c r="L31" s="2378"/>
      <c r="M31" s="2377"/>
      <c r="N31" s="2377"/>
      <c r="O31" s="2378"/>
      <c r="P31" s="2377"/>
      <c r="Q31" s="2377"/>
      <c r="R31" s="2379"/>
    </row>
    <row r="32" spans="1:18" s="2352" customFormat="1">
      <c r="B32" s="2377"/>
      <c r="C32" s="2377"/>
      <c r="D32" s="2377"/>
      <c r="H32" s="2377"/>
      <c r="I32" s="2378"/>
      <c r="J32" s="2377"/>
      <c r="K32" s="2377"/>
      <c r="L32" s="2378"/>
      <c r="M32" s="2377"/>
      <c r="N32" s="2377"/>
      <c r="O32" s="2378"/>
      <c r="P32" s="2377"/>
      <c r="Q32" s="2377"/>
      <c r="R32" s="2379"/>
    </row>
    <row r="33" spans="2:18" s="2352" customFormat="1">
      <c r="B33" s="2377"/>
      <c r="C33" s="2377"/>
      <c r="D33" s="2377"/>
      <c r="H33" s="2377"/>
      <c r="I33" s="2378"/>
      <c r="J33" s="2377"/>
      <c r="K33" s="2377"/>
      <c r="L33" s="2378"/>
      <c r="M33" s="2377"/>
      <c r="N33" s="2377"/>
      <c r="O33" s="2378"/>
      <c r="P33" s="2377"/>
      <c r="Q33" s="2377"/>
      <c r="R33" s="2379"/>
    </row>
    <row r="34" spans="2:18" s="2352" customFormat="1">
      <c r="B34" s="2377"/>
      <c r="C34" s="2377"/>
      <c r="D34" s="2377"/>
      <c r="H34" s="2377"/>
      <c r="I34" s="2378"/>
      <c r="J34" s="2377"/>
      <c r="K34" s="2377"/>
      <c r="L34" s="2378"/>
      <c r="M34" s="2377"/>
      <c r="N34" s="2377"/>
      <c r="O34" s="2378"/>
      <c r="P34" s="2377"/>
      <c r="Q34" s="2377"/>
      <c r="R34" s="2379"/>
    </row>
    <row r="35" spans="2:18" s="2352" customFormat="1">
      <c r="B35" s="2377"/>
      <c r="C35" s="2377"/>
      <c r="D35" s="2377"/>
      <c r="H35" s="2377"/>
      <c r="I35" s="2378"/>
      <c r="J35" s="2377"/>
      <c r="K35" s="2377"/>
      <c r="L35" s="2378"/>
      <c r="M35" s="2377"/>
      <c r="N35" s="2377"/>
      <c r="O35" s="2378"/>
      <c r="P35" s="2377"/>
      <c r="Q35" s="2377"/>
      <c r="R35" s="2379"/>
    </row>
    <row r="36" spans="2:18" s="2352" customFormat="1">
      <c r="B36" s="2377"/>
      <c r="C36" s="2377"/>
      <c r="D36" s="2377"/>
      <c r="H36" s="2377"/>
      <c r="I36" s="2378"/>
      <c r="J36" s="2377"/>
      <c r="K36" s="2377"/>
      <c r="L36" s="2378"/>
      <c r="M36" s="2377"/>
      <c r="N36" s="2377"/>
      <c r="O36" s="2378"/>
      <c r="P36" s="2377"/>
      <c r="Q36" s="2377"/>
      <c r="R36" s="2379"/>
    </row>
    <row r="37" spans="2:18" s="2352" customFormat="1">
      <c r="B37" s="2377"/>
      <c r="C37" s="2377"/>
      <c r="D37" s="2377"/>
      <c r="H37" s="2377"/>
      <c r="I37" s="2378"/>
      <c r="J37" s="2377"/>
      <c r="K37" s="2377"/>
      <c r="L37" s="2378"/>
      <c r="M37" s="2377"/>
      <c r="N37" s="2377"/>
      <c r="O37" s="2378"/>
      <c r="P37" s="2377"/>
      <c r="Q37" s="2377"/>
      <c r="R37" s="2379"/>
    </row>
    <row r="38" spans="2:18" s="2352" customFormat="1">
      <c r="B38" s="2377"/>
      <c r="C38" s="2377"/>
      <c r="D38" s="2377"/>
      <c r="E38" s="2377"/>
      <c r="F38" s="2377"/>
      <c r="G38" s="2378"/>
      <c r="H38" s="2377"/>
      <c r="I38" s="2378"/>
      <c r="J38" s="2377"/>
      <c r="K38" s="2377"/>
      <c r="L38" s="2378"/>
      <c r="M38" s="2377"/>
      <c r="N38" s="2377"/>
      <c r="O38" s="2378"/>
      <c r="P38" s="2377"/>
      <c r="Q38" s="2377"/>
      <c r="R38" s="2379"/>
    </row>
    <row r="39" spans="2:18" s="2352" customFormat="1">
      <c r="B39" s="2377"/>
      <c r="C39" s="2377"/>
      <c r="D39" s="2377"/>
      <c r="E39" s="2377"/>
      <c r="F39" s="2377"/>
      <c r="G39" s="2378"/>
      <c r="H39" s="2377"/>
      <c r="I39" s="2378"/>
      <c r="J39" s="2377"/>
      <c r="K39" s="2377"/>
      <c r="L39" s="2378"/>
      <c r="M39" s="2377"/>
      <c r="N39" s="2377"/>
      <c r="O39" s="2378"/>
      <c r="P39" s="2377"/>
      <c r="Q39" s="2377"/>
      <c r="R39" s="2379"/>
    </row>
    <row r="40" spans="2:18" s="2352" customFormat="1">
      <c r="B40" s="2377"/>
      <c r="C40" s="2377"/>
      <c r="D40" s="2377"/>
      <c r="E40" s="2377"/>
      <c r="F40" s="2377"/>
      <c r="G40" s="2378"/>
      <c r="H40" s="2377"/>
      <c r="I40" s="2378"/>
      <c r="J40" s="2377"/>
      <c r="K40" s="2377"/>
      <c r="L40" s="2378"/>
      <c r="M40" s="2377"/>
      <c r="N40" s="2377"/>
      <c r="O40" s="2378"/>
      <c r="P40" s="2377"/>
      <c r="Q40" s="2377"/>
      <c r="R40" s="2379"/>
    </row>
    <row r="41" spans="2:18" s="2352" customFormat="1">
      <c r="B41" s="2377"/>
      <c r="C41" s="2377"/>
      <c r="D41" s="2377"/>
      <c r="E41" s="2377"/>
      <c r="F41" s="2377"/>
      <c r="G41" s="2378"/>
      <c r="H41" s="2377"/>
      <c r="I41" s="2378"/>
      <c r="J41" s="2377"/>
      <c r="K41" s="2377"/>
      <c r="L41" s="2378"/>
      <c r="M41" s="2377"/>
      <c r="N41" s="2377"/>
      <c r="O41" s="2378"/>
      <c r="P41" s="2377"/>
      <c r="Q41" s="2377"/>
      <c r="R41" s="2379"/>
    </row>
    <row r="42" spans="2:18" s="2352" customFormat="1">
      <c r="B42" s="2377"/>
      <c r="C42" s="2377"/>
      <c r="D42" s="2377"/>
      <c r="E42" s="2377"/>
      <c r="F42" s="2377"/>
      <c r="G42" s="2378"/>
      <c r="H42" s="2377"/>
      <c r="I42" s="2378"/>
      <c r="J42" s="2377"/>
      <c r="K42" s="2377"/>
      <c r="L42" s="2378"/>
      <c r="M42" s="2377"/>
      <c r="N42" s="2377"/>
      <c r="O42" s="2378"/>
      <c r="P42" s="2377"/>
      <c r="Q42" s="2377"/>
      <c r="R42" s="2379"/>
    </row>
    <row r="43" spans="2:18" s="2352" customFormat="1">
      <c r="B43" s="2377"/>
      <c r="C43" s="2377"/>
      <c r="D43" s="2377"/>
      <c r="E43" s="2377"/>
      <c r="F43" s="2377"/>
      <c r="G43" s="2378"/>
      <c r="H43" s="2377"/>
      <c r="I43" s="2378"/>
      <c r="J43" s="2377"/>
      <c r="K43" s="2377"/>
      <c r="L43" s="2378"/>
      <c r="M43" s="2377"/>
      <c r="N43" s="2377"/>
      <c r="O43" s="2378"/>
      <c r="P43" s="2377"/>
      <c r="Q43" s="2377"/>
      <c r="R43" s="2379"/>
    </row>
    <row r="44" spans="2:18" s="2352" customFormat="1">
      <c r="B44" s="2377"/>
      <c r="C44" s="2377"/>
      <c r="D44" s="2377"/>
      <c r="E44" s="2377"/>
      <c r="F44" s="2377"/>
      <c r="G44" s="2378"/>
      <c r="H44" s="2377"/>
      <c r="I44" s="2378"/>
      <c r="J44" s="2377"/>
      <c r="K44" s="2377"/>
      <c r="L44" s="2378"/>
      <c r="M44" s="2377"/>
      <c r="N44" s="2377"/>
      <c r="O44" s="2378"/>
      <c r="P44" s="2377"/>
      <c r="Q44" s="2377"/>
      <c r="R44" s="2379"/>
    </row>
    <row r="45" spans="2:18" s="2352" customFormat="1">
      <c r="B45" s="2377"/>
      <c r="C45" s="2377"/>
      <c r="D45" s="2377"/>
      <c r="E45" s="2377"/>
      <c r="F45" s="2377"/>
      <c r="G45" s="2378"/>
      <c r="H45" s="2377"/>
      <c r="I45" s="2378"/>
      <c r="J45" s="2377"/>
      <c r="K45" s="2377"/>
      <c r="L45" s="2378"/>
      <c r="M45" s="2377"/>
      <c r="N45" s="2377"/>
      <c r="O45" s="2378"/>
      <c r="P45" s="2377"/>
      <c r="Q45" s="2377"/>
      <c r="R45" s="2379"/>
    </row>
    <row r="46" spans="2:18" s="2352" customFormat="1">
      <c r="B46" s="2377"/>
      <c r="C46" s="2377"/>
      <c r="D46" s="2377"/>
      <c r="E46" s="2377"/>
      <c r="F46" s="2377"/>
      <c r="G46" s="2378"/>
      <c r="H46" s="2377"/>
      <c r="I46" s="2378"/>
      <c r="J46" s="2377"/>
      <c r="K46" s="2377"/>
      <c r="L46" s="2378"/>
      <c r="M46" s="2377"/>
      <c r="N46" s="2377"/>
      <c r="O46" s="2378"/>
      <c r="P46" s="2377"/>
      <c r="Q46" s="2377"/>
      <c r="R46" s="2379"/>
    </row>
    <row r="47" spans="2:18" s="2352" customFormat="1">
      <c r="B47" s="2377"/>
      <c r="C47" s="2377"/>
      <c r="D47" s="2377"/>
      <c r="E47" s="2377"/>
      <c r="F47" s="2377"/>
      <c r="G47" s="2378"/>
      <c r="H47" s="2377"/>
      <c r="I47" s="2378"/>
      <c r="J47" s="2377"/>
      <c r="K47" s="2377"/>
      <c r="L47" s="2378"/>
      <c r="M47" s="2377"/>
      <c r="N47" s="2377"/>
      <c r="O47" s="2378"/>
      <c r="P47" s="2377"/>
      <c r="Q47" s="2377"/>
      <c r="R47" s="2379"/>
    </row>
    <row r="48" spans="2:18" s="2352" customFormat="1">
      <c r="B48" s="2377"/>
      <c r="C48" s="2377"/>
      <c r="D48" s="2377"/>
      <c r="E48" s="2377"/>
      <c r="F48" s="2377"/>
      <c r="G48" s="2378"/>
      <c r="H48" s="2377"/>
      <c r="I48" s="2378"/>
      <c r="J48" s="2377"/>
      <c r="K48" s="2377"/>
      <c r="L48" s="2378"/>
      <c r="M48" s="2377"/>
      <c r="N48" s="2377"/>
      <c r="O48" s="2378"/>
      <c r="P48" s="2377"/>
      <c r="Q48" s="2377"/>
      <c r="R48" s="2379"/>
    </row>
    <row r="49" spans="2:18" s="2352" customFormat="1">
      <c r="B49" s="2377"/>
      <c r="C49" s="2377"/>
      <c r="D49" s="2377"/>
      <c r="E49" s="2377"/>
      <c r="F49" s="2377"/>
      <c r="G49" s="2378"/>
      <c r="H49" s="2377"/>
      <c r="I49" s="2378"/>
      <c r="J49" s="2377"/>
      <c r="K49" s="2377"/>
      <c r="L49" s="2378"/>
      <c r="M49" s="2377"/>
      <c r="N49" s="2377"/>
      <c r="O49" s="2378"/>
      <c r="P49" s="2377"/>
      <c r="Q49" s="2377"/>
      <c r="R49" s="2379"/>
    </row>
    <row r="50" spans="2:18" s="2352" customFormat="1">
      <c r="B50" s="2377"/>
      <c r="C50" s="2377"/>
      <c r="D50" s="2377"/>
      <c r="E50" s="2377"/>
      <c r="F50" s="2377"/>
      <c r="G50" s="2378"/>
      <c r="H50" s="2377"/>
      <c r="I50" s="2378"/>
      <c r="J50" s="2377"/>
      <c r="K50" s="2377"/>
      <c r="L50" s="2378"/>
      <c r="M50" s="2377"/>
      <c r="N50" s="2377"/>
      <c r="O50" s="2378"/>
      <c r="P50" s="2377"/>
      <c r="Q50" s="2377"/>
      <c r="R50" s="2379"/>
    </row>
    <row r="51" spans="2:18" s="2352" customFormat="1">
      <c r="B51" s="2377"/>
      <c r="C51" s="2377"/>
      <c r="D51" s="2377"/>
      <c r="E51" s="2377"/>
      <c r="F51" s="2377"/>
      <c r="G51" s="2378"/>
      <c r="H51" s="2377"/>
      <c r="I51" s="2378"/>
      <c r="J51" s="2377"/>
      <c r="K51" s="2377"/>
      <c r="L51" s="2378"/>
      <c r="M51" s="2377"/>
      <c r="N51" s="2377"/>
      <c r="O51" s="2378"/>
      <c r="P51" s="2377"/>
      <c r="Q51" s="2377"/>
      <c r="R51" s="2379"/>
    </row>
    <row r="52" spans="2:18" s="2352" customFormat="1">
      <c r="B52" s="2377"/>
      <c r="C52" s="2377"/>
      <c r="D52" s="2377"/>
      <c r="E52" s="2377"/>
      <c r="F52" s="2377"/>
      <c r="G52" s="2378"/>
      <c r="H52" s="2377"/>
      <c r="I52" s="2378"/>
      <c r="J52" s="2377"/>
      <c r="K52" s="2377"/>
      <c r="L52" s="2378"/>
      <c r="M52" s="2377"/>
      <c r="N52" s="2377"/>
      <c r="O52" s="2378"/>
      <c r="P52" s="2377"/>
      <c r="Q52" s="2377"/>
      <c r="R52" s="2379"/>
    </row>
    <row r="53" spans="2:18" s="2352" customFormat="1">
      <c r="B53" s="2377"/>
      <c r="C53" s="2377"/>
      <c r="D53" s="2377"/>
      <c r="E53" s="2377"/>
      <c r="F53" s="2377"/>
      <c r="G53" s="2378"/>
      <c r="H53" s="2377"/>
      <c r="I53" s="2378"/>
      <c r="J53" s="2377"/>
      <c r="K53" s="2377"/>
      <c r="L53" s="2378"/>
      <c r="M53" s="2377"/>
      <c r="N53" s="2377"/>
      <c r="O53" s="2378"/>
      <c r="P53" s="2377"/>
      <c r="Q53" s="2377"/>
      <c r="R53" s="2379"/>
    </row>
    <row r="54" spans="2:18" s="2352" customFormat="1">
      <c r="B54" s="2377"/>
      <c r="C54" s="2377"/>
      <c r="D54" s="2377"/>
      <c r="E54" s="2377"/>
      <c r="F54" s="2377"/>
      <c r="G54" s="2378"/>
      <c r="H54" s="2377"/>
      <c r="I54" s="2378"/>
      <c r="J54" s="2377"/>
      <c r="K54" s="2377"/>
      <c r="L54" s="2378"/>
      <c r="M54" s="2377"/>
      <c r="N54" s="2377"/>
      <c r="O54" s="2378"/>
      <c r="P54" s="2377"/>
      <c r="Q54" s="2377"/>
      <c r="R54" s="2379"/>
    </row>
    <row r="55" spans="2:18" s="2352" customFormat="1">
      <c r="B55" s="2377"/>
      <c r="C55" s="2377"/>
      <c r="D55" s="2377"/>
      <c r="E55" s="2377"/>
      <c r="F55" s="2377"/>
      <c r="G55" s="2378"/>
      <c r="H55" s="2377"/>
      <c r="I55" s="2378"/>
      <c r="J55" s="2377"/>
      <c r="K55" s="2377"/>
      <c r="L55" s="2378"/>
      <c r="M55" s="2377"/>
      <c r="N55" s="2377"/>
      <c r="O55" s="2378"/>
      <c r="P55" s="2377"/>
      <c r="Q55" s="2377"/>
      <c r="R55" s="2379"/>
    </row>
    <row r="56" spans="2:18" s="2352" customFormat="1">
      <c r="B56" s="2377"/>
      <c r="C56" s="2377"/>
      <c r="D56" s="2377"/>
      <c r="E56" s="2377"/>
      <c r="F56" s="2377"/>
      <c r="G56" s="2378"/>
      <c r="H56" s="2377"/>
      <c r="I56" s="2378"/>
      <c r="J56" s="2377"/>
      <c r="K56" s="2377"/>
      <c r="L56" s="2378"/>
      <c r="M56" s="2377"/>
      <c r="N56" s="2377"/>
      <c r="O56" s="2378"/>
      <c r="P56" s="2377"/>
      <c r="Q56" s="2377"/>
      <c r="R56" s="2379"/>
    </row>
    <row r="57" spans="2:18" s="2352" customFormat="1">
      <c r="B57" s="2377"/>
      <c r="C57" s="2377"/>
      <c r="D57" s="2377"/>
      <c r="E57" s="2377"/>
      <c r="F57" s="2377"/>
      <c r="G57" s="2378"/>
      <c r="H57" s="2377"/>
      <c r="I57" s="2378"/>
      <c r="J57" s="2377"/>
      <c r="K57" s="2377"/>
      <c r="L57" s="2378"/>
      <c r="M57" s="2377"/>
      <c r="N57" s="2377"/>
      <c r="O57" s="2378"/>
      <c r="P57" s="2377"/>
      <c r="Q57" s="2377"/>
      <c r="R57" s="2379"/>
    </row>
    <row r="58" spans="2:18" s="2352" customFormat="1">
      <c r="B58" s="2377"/>
      <c r="C58" s="2377"/>
      <c r="D58" s="2377"/>
      <c r="E58" s="2377"/>
      <c r="F58" s="2377"/>
      <c r="G58" s="2378"/>
      <c r="H58" s="2377"/>
      <c r="I58" s="2378"/>
      <c r="J58" s="2377"/>
      <c r="K58" s="2377"/>
      <c r="L58" s="2378"/>
      <c r="M58" s="2377"/>
      <c r="N58" s="2377"/>
      <c r="O58" s="2378"/>
      <c r="P58" s="2377"/>
      <c r="Q58" s="2377"/>
      <c r="R58" s="2379"/>
    </row>
    <row r="59" spans="2:18" s="2352" customFormat="1">
      <c r="B59" s="2377"/>
      <c r="C59" s="2377"/>
      <c r="D59" s="2377"/>
      <c r="E59" s="2377"/>
      <c r="F59" s="2377"/>
      <c r="G59" s="2378"/>
      <c r="H59" s="2377"/>
      <c r="I59" s="2378"/>
      <c r="J59" s="2377"/>
      <c r="K59" s="2377"/>
      <c r="L59" s="2378"/>
      <c r="M59" s="2377"/>
      <c r="N59" s="2377"/>
      <c r="O59" s="2378"/>
      <c r="P59" s="2377"/>
      <c r="Q59" s="2377"/>
      <c r="R59" s="2379"/>
    </row>
    <row r="60" spans="2:18" s="2352" customFormat="1">
      <c r="B60" s="2377"/>
      <c r="C60" s="2377"/>
      <c r="D60" s="2377"/>
      <c r="E60" s="2377"/>
      <c r="F60" s="2377"/>
      <c r="G60" s="2378"/>
      <c r="H60" s="2377"/>
      <c r="I60" s="2378"/>
      <c r="J60" s="2377"/>
      <c r="K60" s="2377"/>
      <c r="L60" s="2378"/>
      <c r="M60" s="2377"/>
      <c r="N60" s="2377"/>
      <c r="O60" s="2378"/>
      <c r="P60" s="2377"/>
      <c r="Q60" s="2377"/>
      <c r="R60" s="2379"/>
    </row>
    <row r="61" spans="2:18" s="2352" customFormat="1">
      <c r="B61" s="2377"/>
      <c r="C61" s="2377"/>
      <c r="D61" s="2377"/>
      <c r="E61" s="2377"/>
      <c r="F61" s="2377"/>
      <c r="G61" s="2378"/>
      <c r="H61" s="2377"/>
      <c r="I61" s="2378"/>
      <c r="J61" s="2377"/>
      <c r="K61" s="2377"/>
      <c r="L61" s="2378"/>
      <c r="M61" s="2377"/>
      <c r="N61" s="2377"/>
      <c r="O61" s="2378"/>
      <c r="P61" s="2377"/>
      <c r="Q61" s="2377"/>
      <c r="R61" s="2379"/>
    </row>
    <row r="62" spans="2:18" s="2352" customFormat="1">
      <c r="B62" s="2377"/>
      <c r="C62" s="2377"/>
      <c r="D62" s="2377"/>
      <c r="E62" s="2377"/>
      <c r="F62" s="2377"/>
      <c r="G62" s="2378"/>
      <c r="H62" s="2377"/>
      <c r="I62" s="2378"/>
      <c r="J62" s="2377"/>
      <c r="K62" s="2377"/>
      <c r="L62" s="2378"/>
      <c r="M62" s="2377"/>
      <c r="N62" s="2377"/>
      <c r="O62" s="2378"/>
      <c r="P62" s="2377"/>
      <c r="Q62" s="2377"/>
      <c r="R62" s="2379"/>
    </row>
    <row r="63" spans="2:18" s="2352" customFormat="1">
      <c r="B63" s="2377"/>
      <c r="C63" s="2377"/>
      <c r="D63" s="2377"/>
      <c r="E63" s="2377"/>
      <c r="F63" s="2377"/>
      <c r="G63" s="2378"/>
      <c r="H63" s="2377"/>
      <c r="I63" s="2378"/>
      <c r="J63" s="2377"/>
      <c r="K63" s="2377"/>
      <c r="L63" s="2378"/>
      <c r="M63" s="2377"/>
      <c r="N63" s="2377"/>
      <c r="O63" s="2378"/>
      <c r="P63" s="2377"/>
      <c r="Q63" s="2377"/>
      <c r="R63" s="2379"/>
    </row>
    <row r="64" spans="2:18" s="2352" customFormat="1">
      <c r="B64" s="2377"/>
      <c r="C64" s="2377"/>
      <c r="D64" s="2377"/>
      <c r="E64" s="2377"/>
      <c r="F64" s="2377"/>
      <c r="G64" s="2378"/>
      <c r="H64" s="2377"/>
      <c r="I64" s="2378"/>
      <c r="J64" s="2377"/>
      <c r="K64" s="2377"/>
      <c r="L64" s="2378"/>
      <c r="M64" s="2377"/>
      <c r="N64" s="2377"/>
      <c r="O64" s="2378"/>
      <c r="P64" s="2377"/>
      <c r="Q64" s="2377"/>
      <c r="R64" s="2379"/>
    </row>
    <row r="65" spans="2:18" s="2352" customFormat="1">
      <c r="B65" s="2377"/>
      <c r="C65" s="2377"/>
      <c r="D65" s="2377"/>
      <c r="E65" s="2377"/>
      <c r="F65" s="2377"/>
      <c r="G65" s="2378"/>
      <c r="H65" s="2377"/>
      <c r="I65" s="2378"/>
      <c r="J65" s="2377"/>
      <c r="K65" s="2377"/>
      <c r="L65" s="2378"/>
      <c r="M65" s="2377"/>
      <c r="N65" s="2377"/>
      <c r="O65" s="2378"/>
      <c r="P65" s="2377"/>
      <c r="Q65" s="2377"/>
      <c r="R65" s="2379"/>
    </row>
    <row r="66" spans="2:18" s="2352" customFormat="1">
      <c r="B66" s="2377"/>
      <c r="C66" s="2377"/>
      <c r="D66" s="2377"/>
      <c r="E66" s="2377"/>
      <c r="F66" s="2377"/>
      <c r="G66" s="2378"/>
      <c r="H66" s="2377"/>
      <c r="I66" s="2378"/>
      <c r="J66" s="2377"/>
      <c r="K66" s="2377"/>
      <c r="L66" s="2378"/>
      <c r="M66" s="2377"/>
      <c r="N66" s="2377"/>
      <c r="O66" s="2378"/>
      <c r="P66" s="2377"/>
      <c r="Q66" s="2377"/>
      <c r="R66" s="2379"/>
    </row>
    <row r="67" spans="2:18" s="2352" customFormat="1">
      <c r="B67" s="2377"/>
      <c r="C67" s="2377"/>
      <c r="D67" s="2377"/>
      <c r="E67" s="2377"/>
      <c r="F67" s="2377"/>
      <c r="G67" s="2378"/>
      <c r="H67" s="2377"/>
      <c r="I67" s="2378"/>
      <c r="J67" s="2377"/>
      <c r="K67" s="2377"/>
      <c r="L67" s="2378"/>
      <c r="M67" s="2377"/>
      <c r="N67" s="2377"/>
      <c r="O67" s="2378"/>
      <c r="P67" s="2377"/>
      <c r="Q67" s="2377"/>
      <c r="R67" s="2379"/>
    </row>
    <row r="68" spans="2:18" s="2352" customFormat="1">
      <c r="B68" s="2377"/>
      <c r="C68" s="2377"/>
      <c r="D68" s="2377"/>
      <c r="E68" s="2377"/>
      <c r="F68" s="2377"/>
      <c r="G68" s="2378"/>
      <c r="H68" s="2377"/>
      <c r="I68" s="2378"/>
      <c r="J68" s="2377"/>
      <c r="K68" s="2377"/>
      <c r="L68" s="2378"/>
      <c r="M68" s="2377"/>
      <c r="N68" s="2377"/>
      <c r="O68" s="2378"/>
      <c r="P68" s="2377"/>
      <c r="Q68" s="2377"/>
      <c r="R68" s="2379"/>
    </row>
    <row r="69" spans="2:18" s="2352" customFormat="1">
      <c r="B69" s="2377"/>
      <c r="C69" s="2377"/>
      <c r="D69" s="2377"/>
      <c r="E69" s="2377"/>
      <c r="F69" s="2377"/>
      <c r="G69" s="2378"/>
      <c r="H69" s="2377"/>
      <c r="I69" s="2378"/>
      <c r="J69" s="2377"/>
      <c r="K69" s="2377"/>
      <c r="L69" s="2378"/>
      <c r="M69" s="2377"/>
      <c r="N69" s="2377"/>
      <c r="O69" s="2378"/>
      <c r="P69" s="2377"/>
      <c r="Q69" s="2377"/>
      <c r="R69" s="2379"/>
    </row>
    <row r="70" spans="2:18" s="2352" customFormat="1">
      <c r="B70" s="2377"/>
      <c r="C70" s="2377"/>
      <c r="D70" s="2377"/>
      <c r="E70" s="2377"/>
      <c r="F70" s="2377"/>
      <c r="G70" s="2378"/>
      <c r="H70" s="2377"/>
      <c r="I70" s="2378"/>
      <c r="J70" s="2377"/>
      <c r="K70" s="2377"/>
      <c r="L70" s="2378"/>
      <c r="M70" s="2377"/>
      <c r="N70" s="2377"/>
      <c r="O70" s="2378"/>
      <c r="P70" s="2377"/>
      <c r="Q70" s="2377"/>
      <c r="R70" s="2379"/>
    </row>
    <row r="71" spans="2:18" s="2352" customFormat="1">
      <c r="B71" s="2377"/>
      <c r="C71" s="2377"/>
      <c r="D71" s="2377"/>
      <c r="E71" s="2377"/>
      <c r="F71" s="2377"/>
      <c r="G71" s="2378"/>
      <c r="H71" s="2377"/>
      <c r="I71" s="2378"/>
      <c r="J71" s="2377"/>
      <c r="K71" s="2377"/>
      <c r="L71" s="2378"/>
      <c r="M71" s="2377"/>
      <c r="N71" s="2377"/>
      <c r="O71" s="2378"/>
      <c r="P71" s="2377"/>
      <c r="Q71" s="2377"/>
      <c r="R71" s="2379"/>
    </row>
    <row r="72" spans="2:18" s="2352" customFormat="1">
      <c r="B72" s="2377"/>
      <c r="C72" s="2377"/>
      <c r="D72" s="2377"/>
      <c r="E72" s="2377"/>
      <c r="F72" s="2377"/>
      <c r="G72" s="2378"/>
      <c r="H72" s="2377"/>
      <c r="I72" s="2378"/>
      <c r="J72" s="2377"/>
      <c r="K72" s="2377"/>
      <c r="L72" s="2378"/>
      <c r="M72" s="2377"/>
      <c r="N72" s="2377"/>
      <c r="O72" s="2378"/>
      <c r="P72" s="2377"/>
      <c r="Q72" s="2377"/>
      <c r="R72" s="2379"/>
    </row>
    <row r="73" spans="2:18" s="2352" customFormat="1">
      <c r="B73" s="2377"/>
      <c r="C73" s="2377"/>
      <c r="D73" s="2377"/>
      <c r="E73" s="2377"/>
      <c r="F73" s="2377"/>
      <c r="G73" s="2378"/>
      <c r="H73" s="2377"/>
      <c r="I73" s="2378"/>
      <c r="J73" s="2377"/>
      <c r="K73" s="2377"/>
      <c r="L73" s="2378"/>
      <c r="M73" s="2377"/>
      <c r="N73" s="2377"/>
      <c r="O73" s="2378"/>
      <c r="P73" s="2377"/>
      <c r="Q73" s="2377"/>
      <c r="R73" s="2379"/>
    </row>
    <row r="74" spans="2:18" s="2352" customFormat="1">
      <c r="B74" s="2377"/>
      <c r="C74" s="2377"/>
      <c r="D74" s="2377"/>
      <c r="E74" s="2377"/>
      <c r="F74" s="2377"/>
      <c r="G74" s="2378"/>
      <c r="H74" s="2377"/>
      <c r="I74" s="2378"/>
      <c r="J74" s="2377"/>
      <c r="K74" s="2377"/>
      <c r="L74" s="2378"/>
      <c r="M74" s="2377"/>
      <c r="N74" s="2377"/>
      <c r="O74" s="2378"/>
      <c r="P74" s="2377"/>
      <c r="Q74" s="2377"/>
      <c r="R74" s="2379"/>
    </row>
    <row r="75" spans="2:18" s="2352" customFormat="1">
      <c r="B75" s="2377"/>
      <c r="C75" s="2377"/>
      <c r="D75" s="2377"/>
      <c r="E75" s="2377"/>
      <c r="F75" s="2377"/>
      <c r="G75" s="2378"/>
      <c r="H75" s="2377"/>
      <c r="I75" s="2378"/>
      <c r="J75" s="2377"/>
      <c r="K75" s="2377"/>
      <c r="L75" s="2378"/>
      <c r="M75" s="2377"/>
      <c r="N75" s="2377"/>
      <c r="O75" s="2378"/>
      <c r="P75" s="2377"/>
      <c r="Q75" s="2377"/>
      <c r="R75" s="2379"/>
    </row>
    <row r="76" spans="2:18" s="2352" customFormat="1">
      <c r="B76" s="2377"/>
      <c r="C76" s="2377"/>
      <c r="D76" s="2377"/>
      <c r="E76" s="2377"/>
      <c r="F76" s="2377"/>
      <c r="G76" s="2378"/>
      <c r="H76" s="2377"/>
      <c r="I76" s="2378"/>
      <c r="J76" s="2377"/>
      <c r="K76" s="2377"/>
      <c r="L76" s="2378"/>
      <c r="M76" s="2377"/>
      <c r="N76" s="2377"/>
      <c r="O76" s="2378"/>
      <c r="P76" s="2377"/>
      <c r="Q76" s="2377"/>
      <c r="R76" s="2379"/>
    </row>
    <row r="77" spans="2:18" s="2352" customFormat="1">
      <c r="B77" s="2377"/>
      <c r="C77" s="2377"/>
      <c r="D77" s="2377"/>
      <c r="E77" s="2377"/>
      <c r="F77" s="2377"/>
      <c r="G77" s="2378"/>
      <c r="H77" s="2377"/>
      <c r="I77" s="2378"/>
      <c r="J77" s="2377"/>
      <c r="K77" s="2377"/>
      <c r="L77" s="2378"/>
      <c r="M77" s="2377"/>
      <c r="N77" s="2377"/>
      <c r="O77" s="2378"/>
      <c r="P77" s="2377"/>
      <c r="Q77" s="2377"/>
      <c r="R77" s="2379"/>
    </row>
    <row r="78" spans="2:18" s="2352" customFormat="1">
      <c r="B78" s="2377"/>
      <c r="C78" s="2377"/>
      <c r="D78" s="2377"/>
      <c r="E78" s="2377"/>
      <c r="F78" s="2377"/>
      <c r="G78" s="2378"/>
      <c r="H78" s="2377"/>
      <c r="I78" s="2378"/>
      <c r="J78" s="2377"/>
      <c r="K78" s="2377"/>
      <c r="L78" s="2378"/>
      <c r="M78" s="2377"/>
      <c r="N78" s="2377"/>
      <c r="O78" s="2378"/>
      <c r="P78" s="2377"/>
      <c r="Q78" s="2377"/>
      <c r="R78" s="2379"/>
    </row>
    <row r="79" spans="2:18" s="2352" customFormat="1">
      <c r="B79" s="2377"/>
      <c r="C79" s="2377"/>
      <c r="D79" s="2377"/>
      <c r="E79" s="2377"/>
      <c r="F79" s="2377"/>
      <c r="G79" s="2378"/>
      <c r="H79" s="2377"/>
      <c r="I79" s="2378"/>
      <c r="J79" s="2377"/>
      <c r="K79" s="2377"/>
      <c r="L79" s="2378"/>
      <c r="M79" s="2377"/>
      <c r="N79" s="2377"/>
      <c r="O79" s="2378"/>
      <c r="P79" s="2377"/>
      <c r="Q79" s="2377"/>
      <c r="R79" s="2379"/>
    </row>
    <row r="80" spans="2:18" s="2352" customFormat="1">
      <c r="B80" s="2377"/>
      <c r="C80" s="2377"/>
      <c r="D80" s="2377"/>
      <c r="E80" s="2377"/>
      <c r="F80" s="2377"/>
      <c r="G80" s="2378"/>
      <c r="H80" s="2377"/>
      <c r="I80" s="2378"/>
      <c r="J80" s="2377"/>
      <c r="K80" s="2377"/>
      <c r="L80" s="2378"/>
      <c r="M80" s="2377"/>
      <c r="N80" s="2377"/>
      <c r="O80" s="2378"/>
      <c r="P80" s="2377"/>
      <c r="Q80" s="2377"/>
      <c r="R80" s="2379"/>
    </row>
    <row r="81" spans="2:18" s="2352" customFormat="1">
      <c r="B81" s="2377"/>
      <c r="C81" s="2377"/>
      <c r="D81" s="2377"/>
      <c r="E81" s="2377"/>
      <c r="F81" s="2377"/>
      <c r="G81" s="2378"/>
      <c r="H81" s="2377"/>
      <c r="I81" s="2378"/>
      <c r="J81" s="2377"/>
      <c r="K81" s="2377"/>
      <c r="L81" s="2378"/>
      <c r="M81" s="2377"/>
      <c r="N81" s="2377"/>
      <c r="O81" s="2378"/>
      <c r="P81" s="2377"/>
      <c r="Q81" s="2377"/>
      <c r="R81" s="2379"/>
    </row>
    <row r="82" spans="2:18" s="2352" customFormat="1">
      <c r="B82" s="2377"/>
      <c r="C82" s="2377"/>
      <c r="D82" s="2377"/>
      <c r="E82" s="2377"/>
      <c r="F82" s="2377"/>
      <c r="G82" s="2378"/>
      <c r="H82" s="2377"/>
      <c r="I82" s="2378"/>
      <c r="J82" s="2377"/>
      <c r="K82" s="2377"/>
      <c r="L82" s="2378"/>
      <c r="M82" s="2377"/>
      <c r="N82" s="2377"/>
      <c r="O82" s="2378"/>
      <c r="P82" s="2377"/>
      <c r="Q82" s="2377"/>
      <c r="R82" s="2379"/>
    </row>
    <row r="83" spans="2:18" s="2352" customFormat="1">
      <c r="B83" s="2377"/>
      <c r="C83" s="2377"/>
      <c r="D83" s="2377"/>
      <c r="E83" s="2377"/>
      <c r="F83" s="2377"/>
      <c r="G83" s="2378"/>
      <c r="H83" s="2377"/>
      <c r="I83" s="2378"/>
      <c r="J83" s="2377"/>
      <c r="K83" s="2377"/>
      <c r="L83" s="2378"/>
      <c r="M83" s="2377"/>
      <c r="N83" s="2377"/>
      <c r="O83" s="2378"/>
      <c r="P83" s="2377"/>
      <c r="Q83" s="2377"/>
      <c r="R83" s="2379"/>
    </row>
    <row r="84" spans="2:18" s="2352" customFormat="1">
      <c r="B84" s="2377"/>
      <c r="C84" s="2377"/>
      <c r="D84" s="2377"/>
      <c r="E84" s="2377"/>
      <c r="F84" s="2377"/>
      <c r="G84" s="2378"/>
      <c r="H84" s="2377"/>
      <c r="I84" s="2378"/>
      <c r="J84" s="2377"/>
      <c r="K84" s="2377"/>
      <c r="L84" s="2378"/>
      <c r="M84" s="2377"/>
      <c r="N84" s="2377"/>
      <c r="O84" s="2378"/>
      <c r="P84" s="2377"/>
      <c r="Q84" s="2377"/>
      <c r="R84" s="2379"/>
    </row>
    <row r="85" spans="2:18" s="2352" customFormat="1">
      <c r="B85" s="2377"/>
      <c r="C85" s="2377"/>
      <c r="D85" s="2377"/>
      <c r="E85" s="2377"/>
      <c r="F85" s="2377"/>
      <c r="G85" s="2378"/>
      <c r="H85" s="2377"/>
      <c r="I85" s="2378"/>
      <c r="J85" s="2377"/>
      <c r="K85" s="2377"/>
      <c r="L85" s="2378"/>
      <c r="M85" s="2377"/>
      <c r="N85" s="2377"/>
      <c r="O85" s="2378"/>
      <c r="P85" s="2377"/>
      <c r="Q85" s="2377"/>
      <c r="R85" s="2379"/>
    </row>
    <row r="86" spans="2:18" s="2352" customFormat="1">
      <c r="B86" s="2377"/>
      <c r="C86" s="2377"/>
      <c r="D86" s="2377"/>
      <c r="E86" s="2377"/>
      <c r="F86" s="2377"/>
      <c r="G86" s="2378"/>
      <c r="H86" s="2377"/>
      <c r="I86" s="2378"/>
      <c r="J86" s="2377"/>
      <c r="K86" s="2377"/>
      <c r="L86" s="2378"/>
      <c r="M86" s="2377"/>
      <c r="N86" s="2377"/>
      <c r="O86" s="2378"/>
      <c r="P86" s="2377"/>
      <c r="Q86" s="2377"/>
      <c r="R86" s="2379"/>
    </row>
    <row r="87" spans="2:18" s="2352" customFormat="1">
      <c r="B87" s="2377"/>
      <c r="C87" s="2377"/>
      <c r="D87" s="2377"/>
      <c r="E87" s="2377"/>
      <c r="F87" s="2377"/>
      <c r="G87" s="2378"/>
      <c r="H87" s="2377"/>
      <c r="I87" s="2378"/>
      <c r="J87" s="2377"/>
      <c r="K87" s="2377"/>
      <c r="L87" s="2378"/>
      <c r="M87" s="2377"/>
      <c r="N87" s="2377"/>
      <c r="O87" s="2378"/>
      <c r="P87" s="2377"/>
      <c r="Q87" s="2377"/>
      <c r="R87" s="2379"/>
    </row>
    <row r="88" spans="2:18" s="2352" customFormat="1">
      <c r="B88" s="2377"/>
      <c r="C88" s="2377"/>
      <c r="D88" s="2377"/>
      <c r="E88" s="2377"/>
      <c r="F88" s="2377"/>
      <c r="G88" s="2378"/>
      <c r="H88" s="2377"/>
      <c r="I88" s="2378"/>
      <c r="J88" s="2377"/>
      <c r="K88" s="2377"/>
      <c r="L88" s="2378"/>
      <c r="M88" s="2377"/>
      <c r="N88" s="2377"/>
      <c r="O88" s="2378"/>
      <c r="P88" s="2377"/>
      <c r="Q88" s="2377"/>
      <c r="R88" s="2379"/>
    </row>
    <row r="89" spans="2:18" s="2352" customFormat="1">
      <c r="B89" s="2377"/>
      <c r="C89" s="2377"/>
      <c r="D89" s="2377"/>
      <c r="E89" s="2377"/>
      <c r="F89" s="2377"/>
      <c r="G89" s="2378"/>
      <c r="H89" s="2377"/>
      <c r="I89" s="2378"/>
      <c r="J89" s="2377"/>
      <c r="K89" s="2377"/>
      <c r="L89" s="2378"/>
      <c r="M89" s="2377"/>
      <c r="N89" s="2377"/>
      <c r="O89" s="2378"/>
      <c r="P89" s="2377"/>
      <c r="Q89" s="2377"/>
      <c r="R89" s="2379"/>
    </row>
    <row r="90" spans="2:18" s="2352" customFormat="1">
      <c r="B90" s="2377"/>
      <c r="C90" s="2377"/>
      <c r="D90" s="2377"/>
      <c r="E90" s="2377"/>
      <c r="F90" s="2377"/>
      <c r="G90" s="2378"/>
      <c r="H90" s="2377"/>
      <c r="I90" s="2378"/>
      <c r="J90" s="2377"/>
      <c r="K90" s="2377"/>
      <c r="L90" s="2378"/>
      <c r="M90" s="2377"/>
      <c r="N90" s="2377"/>
      <c r="O90" s="2378"/>
      <c r="P90" s="2377"/>
      <c r="Q90" s="2377"/>
      <c r="R90" s="2379"/>
    </row>
    <row r="91" spans="2:18" s="2352" customFormat="1">
      <c r="B91" s="2377"/>
      <c r="C91" s="2377"/>
      <c r="D91" s="2377"/>
      <c r="E91" s="2377"/>
      <c r="F91" s="2377"/>
      <c r="G91" s="2378"/>
      <c r="H91" s="2377"/>
      <c r="I91" s="2378"/>
      <c r="J91" s="2377"/>
      <c r="K91" s="2377"/>
      <c r="L91" s="2378"/>
      <c r="M91" s="2377"/>
      <c r="N91" s="2377"/>
      <c r="O91" s="2378"/>
      <c r="P91" s="2377"/>
      <c r="Q91" s="2377"/>
      <c r="R91" s="2379"/>
    </row>
    <row r="92" spans="2:18" s="2352" customFormat="1">
      <c r="B92" s="2377"/>
      <c r="C92" s="2377"/>
      <c r="D92" s="2377"/>
      <c r="E92" s="2377"/>
      <c r="F92" s="2377"/>
      <c r="G92" s="2378"/>
      <c r="H92" s="2377"/>
      <c r="I92" s="2378"/>
      <c r="J92" s="2377"/>
      <c r="K92" s="2377"/>
      <c r="L92" s="2378"/>
      <c r="M92" s="2377"/>
      <c r="N92" s="2377"/>
      <c r="O92" s="2378"/>
      <c r="P92" s="2377"/>
      <c r="Q92" s="2377"/>
      <c r="R92" s="2379"/>
    </row>
    <row r="93" spans="2:18" s="2352" customFormat="1">
      <c r="B93" s="2377"/>
      <c r="C93" s="2377"/>
      <c r="D93" s="2377"/>
      <c r="E93" s="2377"/>
      <c r="F93" s="2377"/>
      <c r="G93" s="2378"/>
      <c r="H93" s="2377"/>
      <c r="I93" s="2378"/>
      <c r="J93" s="2377"/>
      <c r="K93" s="2377"/>
      <c r="L93" s="2378"/>
      <c r="M93" s="2377"/>
      <c r="N93" s="2377"/>
      <c r="O93" s="2378"/>
      <c r="P93" s="2377"/>
      <c r="Q93" s="2377"/>
      <c r="R93" s="2379"/>
    </row>
    <row r="94" spans="2:18" s="2352" customFormat="1">
      <c r="B94" s="2377"/>
      <c r="C94" s="2377"/>
      <c r="D94" s="2377"/>
      <c r="E94" s="2377"/>
      <c r="F94" s="2377"/>
      <c r="G94" s="2378"/>
      <c r="H94" s="2377"/>
      <c r="I94" s="2378"/>
      <c r="J94" s="2377"/>
      <c r="K94" s="2377"/>
      <c r="L94" s="2378"/>
      <c r="M94" s="2377"/>
      <c r="N94" s="2377"/>
      <c r="O94" s="2378"/>
      <c r="P94" s="2377"/>
      <c r="Q94" s="2377"/>
      <c r="R94" s="2379"/>
    </row>
    <row r="95" spans="2:18" s="2352" customFormat="1">
      <c r="B95" s="2377"/>
      <c r="C95" s="2377"/>
      <c r="D95" s="2377"/>
      <c r="E95" s="2377"/>
      <c r="F95" s="2377"/>
      <c r="G95" s="2378"/>
      <c r="H95" s="2377"/>
      <c r="I95" s="2378"/>
      <c r="J95" s="2377"/>
      <c r="K95" s="2377"/>
      <c r="L95" s="2378"/>
      <c r="M95" s="2377"/>
      <c r="N95" s="2377"/>
      <c r="O95" s="2378"/>
      <c r="P95" s="2377"/>
      <c r="Q95" s="2377"/>
      <c r="R95" s="2379"/>
    </row>
    <row r="96" spans="2:18" s="2352" customFormat="1">
      <c r="B96" s="2377"/>
      <c r="C96" s="2377"/>
      <c r="D96" s="2377"/>
      <c r="E96" s="2377"/>
      <c r="F96" s="2377"/>
      <c r="G96" s="2378"/>
      <c r="H96" s="2377"/>
      <c r="I96" s="2378"/>
      <c r="J96" s="2377"/>
      <c r="K96" s="2377"/>
      <c r="L96" s="2378"/>
      <c r="M96" s="2377"/>
      <c r="N96" s="2377"/>
      <c r="O96" s="2378"/>
      <c r="P96" s="2377"/>
      <c r="Q96" s="2377"/>
      <c r="R96" s="2379"/>
    </row>
    <row r="97" spans="2:18" s="2352" customFormat="1">
      <c r="B97" s="2377"/>
      <c r="C97" s="2377"/>
      <c r="D97" s="2377"/>
      <c r="E97" s="2377"/>
      <c r="F97" s="2377"/>
      <c r="G97" s="2378"/>
      <c r="H97" s="2377"/>
      <c r="I97" s="2378"/>
      <c r="J97" s="2377"/>
      <c r="K97" s="2377"/>
      <c r="L97" s="2378"/>
      <c r="M97" s="2377"/>
      <c r="N97" s="2377"/>
      <c r="O97" s="2378"/>
      <c r="P97" s="2377"/>
      <c r="Q97" s="2377"/>
      <c r="R97" s="2379"/>
    </row>
    <row r="98" spans="2:18" s="2352" customFormat="1">
      <c r="B98" s="2377"/>
      <c r="C98" s="2377"/>
      <c r="D98" s="2377"/>
      <c r="E98" s="2377"/>
      <c r="F98" s="2377"/>
      <c r="G98" s="2378"/>
      <c r="H98" s="2377"/>
      <c r="I98" s="2378"/>
      <c r="J98" s="2377"/>
      <c r="K98" s="2377"/>
      <c r="L98" s="2378"/>
      <c r="M98" s="2377"/>
      <c r="N98" s="2377"/>
      <c r="O98" s="2378"/>
      <c r="P98" s="2377"/>
      <c r="Q98" s="2377"/>
      <c r="R98" s="2379"/>
    </row>
    <row r="99" spans="2:18" s="2352" customFormat="1">
      <c r="B99" s="2377"/>
      <c r="C99" s="2377"/>
      <c r="D99" s="2377"/>
      <c r="E99" s="2377"/>
      <c r="F99" s="2377"/>
      <c r="G99" s="2378"/>
      <c r="H99" s="2377"/>
      <c r="I99" s="2378"/>
      <c r="J99" s="2377"/>
      <c r="K99" s="2377"/>
      <c r="L99" s="2378"/>
      <c r="M99" s="2377"/>
      <c r="N99" s="2377"/>
      <c r="O99" s="2378"/>
      <c r="P99" s="2377"/>
      <c r="Q99" s="2377"/>
      <c r="R99" s="2379"/>
    </row>
    <row r="100" spans="2:18" s="2352" customFormat="1">
      <c r="B100" s="2377"/>
      <c r="C100" s="2377"/>
      <c r="D100" s="2377"/>
      <c r="E100" s="2377"/>
      <c r="F100" s="2377"/>
      <c r="G100" s="2378"/>
      <c r="H100" s="2377"/>
      <c r="I100" s="2378"/>
      <c r="J100" s="2377"/>
      <c r="K100" s="2377"/>
      <c r="L100" s="2378"/>
      <c r="M100" s="2377"/>
      <c r="N100" s="2377"/>
      <c r="O100" s="2378"/>
      <c r="P100" s="2377"/>
      <c r="Q100" s="2377"/>
      <c r="R100" s="2379"/>
    </row>
    <row r="101" spans="2:18" s="2352" customFormat="1">
      <c r="B101" s="2377"/>
      <c r="C101" s="2377"/>
      <c r="D101" s="2377"/>
      <c r="E101" s="2377"/>
      <c r="F101" s="2377"/>
      <c r="G101" s="2378"/>
      <c r="H101" s="2377"/>
      <c r="I101" s="2378"/>
      <c r="J101" s="2377"/>
      <c r="K101" s="2377"/>
      <c r="L101" s="2378"/>
      <c r="M101" s="2377"/>
      <c r="N101" s="2377"/>
      <c r="O101" s="2378"/>
      <c r="P101" s="2377"/>
      <c r="Q101" s="2377"/>
      <c r="R101" s="2379"/>
    </row>
    <row r="102" spans="2:18" s="2352" customFormat="1">
      <c r="B102" s="2377"/>
      <c r="C102" s="2377"/>
      <c r="D102" s="2377"/>
      <c r="E102" s="2377"/>
      <c r="F102" s="2377"/>
      <c r="G102" s="2378"/>
      <c r="H102" s="2377"/>
      <c r="I102" s="2378"/>
      <c r="J102" s="2377"/>
      <c r="K102" s="2377"/>
      <c r="L102" s="2378"/>
      <c r="M102" s="2377"/>
      <c r="N102" s="2377"/>
      <c r="O102" s="2378"/>
      <c r="P102" s="2377"/>
      <c r="Q102" s="2377"/>
      <c r="R102" s="2379"/>
    </row>
    <row r="103" spans="2:18" s="2352" customFormat="1">
      <c r="B103" s="2377"/>
      <c r="C103" s="2377"/>
      <c r="D103" s="2377"/>
      <c r="E103" s="2377"/>
      <c r="F103" s="2377"/>
      <c r="G103" s="2378"/>
      <c r="H103" s="2377"/>
      <c r="I103" s="2378"/>
      <c r="J103" s="2377"/>
      <c r="K103" s="2377"/>
      <c r="L103" s="2378"/>
      <c r="M103" s="2377"/>
      <c r="N103" s="2377"/>
      <c r="O103" s="2378"/>
      <c r="P103" s="2377"/>
      <c r="Q103" s="2377"/>
      <c r="R103" s="2379"/>
    </row>
    <row r="104" spans="2:18" s="2352" customFormat="1">
      <c r="B104" s="2377"/>
      <c r="C104" s="2377"/>
      <c r="D104" s="2377"/>
      <c r="E104" s="2377"/>
      <c r="F104" s="2377"/>
      <c r="G104" s="2378"/>
      <c r="H104" s="2377"/>
      <c r="I104" s="2378"/>
      <c r="J104" s="2377"/>
      <c r="K104" s="2377"/>
      <c r="L104" s="2378"/>
      <c r="M104" s="2377"/>
      <c r="N104" s="2377"/>
      <c r="O104" s="2378"/>
      <c r="P104" s="2377"/>
      <c r="Q104" s="2377"/>
      <c r="R104" s="2379"/>
    </row>
    <row r="105" spans="2:18" s="2352" customFormat="1">
      <c r="B105" s="2377"/>
      <c r="C105" s="2377"/>
      <c r="D105" s="2377"/>
      <c r="E105" s="2377"/>
      <c r="F105" s="2377"/>
      <c r="G105" s="2378"/>
      <c r="H105" s="2377"/>
      <c r="I105" s="2378"/>
      <c r="J105" s="2377"/>
      <c r="K105" s="2377"/>
      <c r="L105" s="2378"/>
      <c r="M105" s="2377"/>
      <c r="N105" s="2377"/>
      <c r="O105" s="2378"/>
      <c r="P105" s="2377"/>
      <c r="Q105" s="2377"/>
      <c r="R105" s="2379"/>
    </row>
    <row r="106" spans="2:18" s="2352" customFormat="1">
      <c r="B106" s="2377"/>
      <c r="C106" s="2377"/>
      <c r="D106" s="2377"/>
      <c r="E106" s="2377"/>
      <c r="F106" s="2377"/>
      <c r="G106" s="2378"/>
      <c r="H106" s="2377"/>
      <c r="I106" s="2378"/>
      <c r="J106" s="2377"/>
      <c r="K106" s="2377"/>
      <c r="L106" s="2378"/>
      <c r="M106" s="2377"/>
      <c r="N106" s="2377"/>
      <c r="O106" s="2378"/>
      <c r="P106" s="2377"/>
      <c r="Q106" s="2377"/>
      <c r="R106" s="2379"/>
    </row>
    <row r="107" spans="2:18" s="2352" customFormat="1">
      <c r="B107" s="2377"/>
      <c r="C107" s="2377"/>
      <c r="D107" s="2377"/>
      <c r="E107" s="2377"/>
      <c r="F107" s="2377"/>
      <c r="G107" s="2378"/>
      <c r="H107" s="2377"/>
      <c r="I107" s="2378"/>
      <c r="J107" s="2377"/>
      <c r="K107" s="2377"/>
      <c r="L107" s="2378"/>
      <c r="M107" s="2377"/>
      <c r="N107" s="2377"/>
      <c r="O107" s="2378"/>
      <c r="P107" s="2377"/>
      <c r="Q107" s="2377"/>
      <c r="R107" s="2379"/>
    </row>
    <row r="108" spans="2:18" s="2352" customFormat="1">
      <c r="B108" s="2377"/>
      <c r="C108" s="2377"/>
      <c r="D108" s="2377"/>
      <c r="E108" s="2377"/>
      <c r="F108" s="2377"/>
      <c r="G108" s="2378"/>
      <c r="H108" s="2377"/>
      <c r="I108" s="2378"/>
      <c r="J108" s="2377"/>
      <c r="K108" s="2377"/>
      <c r="L108" s="2378"/>
      <c r="M108" s="2377"/>
      <c r="N108" s="2377"/>
      <c r="O108" s="2378"/>
      <c r="P108" s="2377"/>
      <c r="Q108" s="2377"/>
      <c r="R108" s="2379"/>
    </row>
    <row r="109" spans="2:18" s="2352" customFormat="1">
      <c r="B109" s="2377"/>
      <c r="C109" s="2377"/>
      <c r="D109" s="2377"/>
      <c r="E109" s="2377"/>
      <c r="F109" s="2377"/>
      <c r="G109" s="2378"/>
      <c r="H109" s="2377"/>
      <c r="I109" s="2378"/>
      <c r="J109" s="2377"/>
      <c r="K109" s="2377"/>
      <c r="L109" s="2378"/>
      <c r="M109" s="2377"/>
      <c r="N109" s="2377"/>
      <c r="O109" s="2378"/>
      <c r="P109" s="2377"/>
      <c r="Q109" s="2377"/>
      <c r="R109" s="2379"/>
    </row>
    <row r="110" spans="2:18" s="2352" customFormat="1">
      <c r="B110" s="2377"/>
      <c r="C110" s="2377"/>
      <c r="D110" s="2377"/>
      <c r="E110" s="2377"/>
      <c r="F110" s="2377"/>
      <c r="G110" s="2378"/>
      <c r="H110" s="2377"/>
      <c r="I110" s="2378"/>
      <c r="J110" s="2377"/>
      <c r="K110" s="2377"/>
      <c r="L110" s="2378"/>
      <c r="M110" s="2377"/>
      <c r="N110" s="2377"/>
      <c r="O110" s="2378"/>
      <c r="P110" s="2377"/>
      <c r="Q110" s="2377"/>
      <c r="R110" s="2379"/>
    </row>
    <row r="111" spans="2:18" s="2352" customFormat="1">
      <c r="B111" s="2377"/>
      <c r="C111" s="2377"/>
      <c r="D111" s="2377"/>
      <c r="E111" s="2377"/>
      <c r="F111" s="2377"/>
      <c r="G111" s="2378"/>
      <c r="H111" s="2377"/>
      <c r="I111" s="2378"/>
      <c r="J111" s="2377"/>
      <c r="K111" s="2377"/>
      <c r="L111" s="2378"/>
      <c r="M111" s="2377"/>
      <c r="N111" s="2377"/>
      <c r="O111" s="2378"/>
      <c r="P111" s="2377"/>
      <c r="Q111" s="2377"/>
      <c r="R111" s="2379"/>
    </row>
    <row r="112" spans="2:18" s="2352" customFormat="1">
      <c r="B112" s="2377"/>
      <c r="C112" s="2377"/>
      <c r="D112" s="2377"/>
      <c r="E112" s="2377"/>
      <c r="F112" s="2377"/>
      <c r="G112" s="2378"/>
      <c r="H112" s="2377"/>
      <c r="I112" s="2378"/>
      <c r="J112" s="2377"/>
      <c r="K112" s="2377"/>
      <c r="L112" s="2378"/>
      <c r="M112" s="2377"/>
      <c r="N112" s="2377"/>
      <c r="O112" s="2378"/>
      <c r="P112" s="2377"/>
      <c r="Q112" s="2377"/>
      <c r="R112" s="2379"/>
    </row>
    <row r="113" spans="2:18" s="2352" customFormat="1">
      <c r="B113" s="2377"/>
      <c r="C113" s="2377"/>
      <c r="D113" s="2377"/>
      <c r="E113" s="2377"/>
      <c r="F113" s="2377"/>
      <c r="G113" s="2378"/>
      <c r="H113" s="2377"/>
      <c r="I113" s="2378"/>
      <c r="J113" s="2377"/>
      <c r="K113" s="2377"/>
      <c r="L113" s="2378"/>
      <c r="M113" s="2377"/>
      <c r="N113" s="2377"/>
      <c r="O113" s="2378"/>
      <c r="P113" s="2377"/>
      <c r="Q113" s="2377"/>
      <c r="R113" s="2379"/>
    </row>
    <row r="114" spans="2:18" s="2352" customFormat="1">
      <c r="B114" s="2377"/>
      <c r="C114" s="2377"/>
      <c r="D114" s="2377"/>
      <c r="E114" s="2377"/>
      <c r="F114" s="2377"/>
      <c r="G114" s="2378"/>
      <c r="H114" s="2377"/>
      <c r="I114" s="2378"/>
      <c r="J114" s="2377"/>
      <c r="K114" s="2377"/>
      <c r="L114" s="2378"/>
      <c r="M114" s="2377"/>
      <c r="N114" s="2377"/>
      <c r="O114" s="2378"/>
      <c r="P114" s="2377"/>
      <c r="Q114" s="2377"/>
      <c r="R114" s="2379"/>
    </row>
    <row r="115" spans="2:18" s="2352" customFormat="1">
      <c r="B115" s="2377"/>
      <c r="C115" s="2377"/>
      <c r="D115" s="2377"/>
      <c r="E115" s="2377"/>
      <c r="F115" s="2377"/>
      <c r="G115" s="2378"/>
      <c r="H115" s="2377"/>
      <c r="I115" s="2378"/>
      <c r="J115" s="2377"/>
      <c r="K115" s="2377"/>
      <c r="L115" s="2378"/>
      <c r="M115" s="2377"/>
      <c r="N115" s="2377"/>
      <c r="O115" s="2378"/>
      <c r="P115" s="2377"/>
      <c r="Q115" s="2377"/>
      <c r="R115" s="2379"/>
    </row>
    <row r="116" spans="2:18" s="2352" customFormat="1">
      <c r="B116" s="2377"/>
      <c r="C116" s="2377"/>
      <c r="D116" s="2377"/>
      <c r="E116" s="2377"/>
      <c r="F116" s="2377"/>
      <c r="G116" s="2378"/>
      <c r="H116" s="2377"/>
      <c r="I116" s="2378"/>
      <c r="J116" s="2377"/>
      <c r="K116" s="2377"/>
      <c r="L116" s="2378"/>
      <c r="M116" s="2377"/>
      <c r="N116" s="2377"/>
      <c r="O116" s="2378"/>
      <c r="P116" s="2377"/>
      <c r="Q116" s="2377"/>
      <c r="R116" s="2379"/>
    </row>
    <row r="117" spans="2:18" s="2352" customFormat="1">
      <c r="B117" s="2377"/>
      <c r="C117" s="2377"/>
      <c r="D117" s="2377"/>
      <c r="E117" s="2377"/>
      <c r="F117" s="2377"/>
      <c r="G117" s="2378"/>
      <c r="H117" s="2377"/>
      <c r="I117" s="2378"/>
      <c r="J117" s="2377"/>
      <c r="K117" s="2377"/>
      <c r="L117" s="2378"/>
      <c r="M117" s="2377"/>
      <c r="N117" s="2377"/>
      <c r="O117" s="2378"/>
      <c r="P117" s="2377"/>
      <c r="Q117" s="2377"/>
      <c r="R117" s="2379"/>
    </row>
    <row r="118" spans="2:18" s="2352" customFormat="1">
      <c r="B118" s="2377"/>
      <c r="C118" s="2377"/>
      <c r="D118" s="2377"/>
      <c r="E118" s="2377"/>
      <c r="F118" s="2377"/>
      <c r="G118" s="2378"/>
      <c r="H118" s="2377"/>
      <c r="I118" s="2378"/>
      <c r="J118" s="2377"/>
      <c r="K118" s="2377"/>
      <c r="L118" s="2378"/>
      <c r="M118" s="2377"/>
      <c r="N118" s="2377"/>
      <c r="O118" s="2378"/>
      <c r="P118" s="2377"/>
      <c r="Q118" s="2377"/>
      <c r="R118" s="2379"/>
    </row>
    <row r="119" spans="2:18" s="2352" customFormat="1">
      <c r="B119" s="2377"/>
      <c r="C119" s="2377"/>
      <c r="D119" s="2377"/>
      <c r="E119" s="2377"/>
      <c r="F119" s="2377"/>
      <c r="G119" s="2378"/>
      <c r="H119" s="2377"/>
      <c r="I119" s="2378"/>
      <c r="J119" s="2377"/>
      <c r="K119" s="2377"/>
      <c r="L119" s="2378"/>
      <c r="M119" s="2377"/>
      <c r="N119" s="2377"/>
      <c r="O119" s="2378"/>
      <c r="P119" s="2377"/>
      <c r="Q119" s="2377"/>
      <c r="R119" s="2379"/>
    </row>
    <row r="120" spans="2:18" s="2352" customFormat="1">
      <c r="B120" s="2377"/>
      <c r="C120" s="2377"/>
      <c r="D120" s="2377"/>
      <c r="E120" s="2377"/>
      <c r="F120" s="2377"/>
      <c r="G120" s="2378"/>
      <c r="H120" s="2377"/>
      <c r="I120" s="2378"/>
      <c r="J120" s="2377"/>
      <c r="K120" s="2377"/>
      <c r="L120" s="2378"/>
      <c r="M120" s="2377"/>
      <c r="N120" s="2377"/>
      <c r="O120" s="2378"/>
      <c r="P120" s="2377"/>
      <c r="Q120" s="2377"/>
      <c r="R120" s="2379"/>
    </row>
    <row r="121" spans="2:18" s="2352" customFormat="1">
      <c r="B121" s="2377"/>
      <c r="C121" s="2377"/>
      <c r="D121" s="2377"/>
      <c r="E121" s="2377"/>
      <c r="F121" s="2377"/>
      <c r="G121" s="2378"/>
      <c r="H121" s="2377"/>
      <c r="I121" s="2378"/>
      <c r="J121" s="2377"/>
      <c r="K121" s="2377"/>
      <c r="L121" s="2378"/>
      <c r="M121" s="2377"/>
      <c r="N121" s="2377"/>
      <c r="O121" s="2378"/>
      <c r="P121" s="2377"/>
      <c r="Q121" s="2377"/>
      <c r="R121" s="2379"/>
    </row>
    <row r="122" spans="2:18" s="2352" customFormat="1">
      <c r="B122" s="2377"/>
      <c r="C122" s="2377"/>
      <c r="D122" s="2377"/>
      <c r="E122" s="2377"/>
      <c r="F122" s="2377"/>
      <c r="G122" s="2378"/>
      <c r="H122" s="2377"/>
      <c r="I122" s="2378"/>
      <c r="J122" s="2377"/>
      <c r="K122" s="2377"/>
      <c r="L122" s="2378"/>
      <c r="M122" s="2377"/>
      <c r="N122" s="2377"/>
      <c r="O122" s="2378"/>
      <c r="P122" s="2377"/>
      <c r="Q122" s="2377"/>
      <c r="R122" s="2379"/>
    </row>
    <row r="123" spans="2:18" s="2352" customFormat="1">
      <c r="B123" s="2377"/>
      <c r="C123" s="2377"/>
      <c r="D123" s="2377"/>
      <c r="E123" s="2377"/>
      <c r="F123" s="2377"/>
      <c r="G123" s="2378"/>
      <c r="H123" s="2377"/>
      <c r="I123" s="2378"/>
      <c r="J123" s="2377"/>
      <c r="K123" s="2377"/>
      <c r="L123" s="2378"/>
      <c r="M123" s="2377"/>
      <c r="N123" s="2377"/>
      <c r="O123" s="2378"/>
      <c r="P123" s="2377"/>
      <c r="Q123" s="2377"/>
      <c r="R123" s="2379"/>
    </row>
    <row r="124" spans="2:18" s="2352" customFormat="1">
      <c r="B124" s="2377"/>
      <c r="C124" s="2377"/>
      <c r="D124" s="2377"/>
      <c r="E124" s="2377"/>
      <c r="F124" s="2377"/>
      <c r="G124" s="2378"/>
      <c r="H124" s="2377"/>
      <c r="I124" s="2378"/>
      <c r="J124" s="2377"/>
      <c r="K124" s="2377"/>
      <c r="L124" s="2378"/>
      <c r="M124" s="2377"/>
      <c r="N124" s="2377"/>
      <c r="O124" s="2378"/>
      <c r="P124" s="2377"/>
      <c r="Q124" s="2377"/>
      <c r="R124" s="2379"/>
    </row>
    <row r="125" spans="2:18" s="2352" customFormat="1">
      <c r="B125" s="2377"/>
      <c r="C125" s="2377"/>
      <c r="D125" s="2377"/>
      <c r="E125" s="2377"/>
      <c r="F125" s="2377"/>
      <c r="G125" s="2378"/>
      <c r="H125" s="2377"/>
      <c r="I125" s="2378"/>
      <c r="J125" s="2377"/>
      <c r="K125" s="2377"/>
      <c r="L125" s="2378"/>
      <c r="M125" s="2377"/>
      <c r="N125" s="2377"/>
      <c r="O125" s="2378"/>
      <c r="P125" s="2377"/>
      <c r="Q125" s="2377"/>
      <c r="R125" s="2379"/>
    </row>
    <row r="126" spans="2:18" s="2352" customFormat="1">
      <c r="B126" s="2377"/>
      <c r="C126" s="2377"/>
      <c r="D126" s="2377"/>
      <c r="E126" s="2377"/>
      <c r="F126" s="2377"/>
      <c r="G126" s="2378"/>
      <c r="H126" s="2377"/>
      <c r="I126" s="2378"/>
      <c r="J126" s="2377"/>
      <c r="K126" s="2377"/>
      <c r="L126" s="2378"/>
      <c r="M126" s="2377"/>
      <c r="N126" s="2377"/>
      <c r="O126" s="2378"/>
      <c r="P126" s="2377"/>
      <c r="Q126" s="2377"/>
      <c r="R126" s="2379"/>
    </row>
    <row r="127" spans="2:18" s="2352" customFormat="1">
      <c r="B127" s="2377"/>
      <c r="C127" s="2377"/>
      <c r="D127" s="2377"/>
      <c r="E127" s="2377"/>
      <c r="F127" s="2377"/>
      <c r="G127" s="2378"/>
      <c r="H127" s="2377"/>
      <c r="I127" s="2378"/>
      <c r="J127" s="2377"/>
      <c r="K127" s="2377"/>
      <c r="L127" s="2378"/>
      <c r="M127" s="2377"/>
      <c r="N127" s="2377"/>
      <c r="O127" s="2378"/>
      <c r="P127" s="2377"/>
      <c r="Q127" s="2377"/>
      <c r="R127" s="2379"/>
    </row>
    <row r="128" spans="2:18" s="2352" customFormat="1">
      <c r="B128" s="2377"/>
      <c r="C128" s="2377"/>
      <c r="D128" s="2377"/>
      <c r="E128" s="2377"/>
      <c r="F128" s="2377"/>
      <c r="G128" s="2378"/>
      <c r="H128" s="2377"/>
      <c r="I128" s="2378"/>
      <c r="J128" s="2377"/>
      <c r="K128" s="2377"/>
      <c r="L128" s="2378"/>
      <c r="M128" s="2377"/>
      <c r="N128" s="2377"/>
      <c r="O128" s="2378"/>
      <c r="P128" s="2377"/>
      <c r="Q128" s="2377"/>
      <c r="R128" s="2379"/>
    </row>
    <row r="129" spans="2:18" s="2352" customFormat="1">
      <c r="B129" s="2377"/>
      <c r="C129" s="2377"/>
      <c r="D129" s="2377"/>
      <c r="E129" s="2377"/>
      <c r="F129" s="2377"/>
      <c r="G129" s="2378"/>
      <c r="H129" s="2377"/>
      <c r="I129" s="2378"/>
      <c r="J129" s="2377"/>
      <c r="K129" s="2377"/>
      <c r="L129" s="2378"/>
      <c r="M129" s="2377"/>
      <c r="N129" s="2377"/>
      <c r="O129" s="2378"/>
      <c r="P129" s="2377"/>
      <c r="Q129" s="2377"/>
      <c r="R129" s="2379"/>
    </row>
    <row r="130" spans="2:18" s="2352" customFormat="1">
      <c r="B130" s="2377"/>
      <c r="C130" s="2377"/>
      <c r="D130" s="2377"/>
      <c r="E130" s="2377"/>
      <c r="F130" s="2377"/>
      <c r="G130" s="2378"/>
      <c r="H130" s="2377"/>
      <c r="I130" s="2378"/>
      <c r="J130" s="2377"/>
      <c r="K130" s="2377"/>
      <c r="L130" s="2378"/>
      <c r="M130" s="2377"/>
      <c r="N130" s="2377"/>
      <c r="O130" s="2378"/>
      <c r="P130" s="2377"/>
      <c r="Q130" s="2377"/>
      <c r="R130" s="2379"/>
    </row>
    <row r="131" spans="2:18" s="2352" customFormat="1">
      <c r="B131" s="2377"/>
      <c r="C131" s="2377"/>
      <c r="D131" s="2377"/>
      <c r="E131" s="2377"/>
      <c r="F131" s="2377"/>
      <c r="G131" s="2378"/>
      <c r="H131" s="2377"/>
      <c r="I131" s="2378"/>
      <c r="J131" s="2377"/>
      <c r="K131" s="2377"/>
      <c r="L131" s="2378"/>
      <c r="M131" s="2377"/>
      <c r="N131" s="2377"/>
      <c r="O131" s="2378"/>
      <c r="P131" s="2377"/>
      <c r="Q131" s="2377"/>
      <c r="R131" s="2379"/>
    </row>
    <row r="132" spans="2:18" s="2352" customFormat="1">
      <c r="B132" s="2377"/>
      <c r="C132" s="2377"/>
      <c r="D132" s="2377"/>
      <c r="E132" s="2377"/>
      <c r="F132" s="2377"/>
      <c r="G132" s="2378"/>
      <c r="H132" s="2377"/>
      <c r="I132" s="2378"/>
      <c r="J132" s="2377"/>
      <c r="K132" s="2377"/>
      <c r="L132" s="2378"/>
      <c r="M132" s="2377"/>
      <c r="N132" s="2377"/>
      <c r="O132" s="2378"/>
      <c r="P132" s="2377"/>
      <c r="Q132" s="2377"/>
      <c r="R132" s="2379"/>
    </row>
    <row r="133" spans="2:18" s="2352" customFormat="1">
      <c r="B133" s="2377"/>
      <c r="C133" s="2377"/>
      <c r="D133" s="2377"/>
      <c r="E133" s="2377"/>
      <c r="F133" s="2377"/>
      <c r="G133" s="2378"/>
      <c r="H133" s="2377"/>
      <c r="I133" s="2378"/>
      <c r="J133" s="2377"/>
      <c r="K133" s="2377"/>
      <c r="L133" s="2378"/>
      <c r="M133" s="2377"/>
      <c r="N133" s="2377"/>
      <c r="O133" s="2378"/>
      <c r="P133" s="2377"/>
      <c r="Q133" s="2377"/>
      <c r="R133" s="2379"/>
    </row>
    <row r="134" spans="2:18" s="2352" customFormat="1">
      <c r="B134" s="2377"/>
      <c r="C134" s="2377"/>
      <c r="D134" s="2377"/>
      <c r="E134" s="2377"/>
      <c r="F134" s="2377"/>
      <c r="G134" s="2378"/>
      <c r="H134" s="2377"/>
      <c r="I134" s="2378"/>
      <c r="J134" s="2377"/>
      <c r="K134" s="2377"/>
      <c r="L134" s="2378"/>
      <c r="M134" s="2377"/>
      <c r="N134" s="2377"/>
      <c r="O134" s="2378"/>
      <c r="P134" s="2377"/>
      <c r="Q134" s="2377"/>
      <c r="R134" s="2379"/>
    </row>
    <row r="135" spans="2:18" s="2352" customFormat="1">
      <c r="B135" s="2377"/>
      <c r="C135" s="2377"/>
      <c r="D135" s="2377"/>
      <c r="E135" s="2377"/>
      <c r="F135" s="2377"/>
      <c r="G135" s="2378"/>
      <c r="H135" s="2377"/>
      <c r="I135" s="2378"/>
      <c r="J135" s="2377"/>
      <c r="K135" s="2377"/>
      <c r="L135" s="2378"/>
      <c r="M135" s="2377"/>
      <c r="N135" s="2377"/>
      <c r="O135" s="2378"/>
      <c r="P135" s="2377"/>
      <c r="Q135" s="2377"/>
      <c r="R135" s="2379"/>
    </row>
    <row r="136" spans="2:18" s="2352" customFormat="1">
      <c r="B136" s="2377"/>
      <c r="C136" s="2377"/>
      <c r="D136" s="2377"/>
      <c r="E136" s="2377"/>
      <c r="F136" s="2377"/>
      <c r="G136" s="2378"/>
      <c r="H136" s="2377"/>
      <c r="I136" s="2378"/>
      <c r="J136" s="2377"/>
      <c r="K136" s="2377"/>
      <c r="L136" s="2378"/>
      <c r="M136" s="2377"/>
      <c r="N136" s="2377"/>
      <c r="O136" s="2378"/>
      <c r="P136" s="2377"/>
      <c r="Q136" s="2377"/>
      <c r="R136" s="2379"/>
    </row>
    <row r="137" spans="2:18" s="2352" customFormat="1">
      <c r="B137" s="2377"/>
      <c r="C137" s="2377"/>
      <c r="D137" s="2377"/>
      <c r="E137" s="2377"/>
      <c r="F137" s="2377"/>
      <c r="G137" s="2378"/>
      <c r="H137" s="2377"/>
      <c r="I137" s="2378"/>
      <c r="J137" s="2377"/>
      <c r="K137" s="2377"/>
      <c r="L137" s="2378"/>
      <c r="M137" s="2377"/>
      <c r="N137" s="2377"/>
      <c r="O137" s="2378"/>
      <c r="P137" s="2377"/>
      <c r="Q137" s="2377"/>
      <c r="R137" s="2379"/>
    </row>
    <row r="138" spans="2:18" s="2352" customFormat="1">
      <c r="B138" s="2377"/>
      <c r="C138" s="2377"/>
      <c r="D138" s="2377"/>
      <c r="E138" s="2377"/>
      <c r="F138" s="2377"/>
      <c r="G138" s="2378"/>
      <c r="H138" s="2377"/>
      <c r="I138" s="2378"/>
      <c r="J138" s="2377"/>
      <c r="K138" s="2377"/>
      <c r="L138" s="2378"/>
      <c r="M138" s="2377"/>
      <c r="N138" s="2377"/>
      <c r="O138" s="2378"/>
      <c r="P138" s="2377"/>
      <c r="Q138" s="2377"/>
      <c r="R138" s="2379"/>
    </row>
    <row r="139" spans="2:18" s="2352" customFormat="1">
      <c r="B139" s="2377"/>
      <c r="C139" s="2377"/>
      <c r="D139" s="2377"/>
      <c r="E139" s="2377"/>
      <c r="F139" s="2377"/>
      <c r="G139" s="2378"/>
      <c r="H139" s="2377"/>
      <c r="I139" s="2378"/>
      <c r="J139" s="2377"/>
      <c r="K139" s="2377"/>
      <c r="L139" s="2378"/>
      <c r="M139" s="2377"/>
      <c r="N139" s="2377"/>
      <c r="O139" s="2378"/>
      <c r="P139" s="2377"/>
      <c r="Q139" s="2377"/>
      <c r="R139" s="2379"/>
    </row>
    <row r="140" spans="2:18" s="2352" customFormat="1">
      <c r="B140" s="2377"/>
      <c r="C140" s="2377"/>
      <c r="D140" s="2377"/>
      <c r="E140" s="2377"/>
      <c r="F140" s="2377"/>
      <c r="G140" s="2378"/>
      <c r="H140" s="2377"/>
      <c r="I140" s="2378"/>
      <c r="J140" s="2377"/>
      <c r="K140" s="2377"/>
      <c r="L140" s="2378"/>
      <c r="M140" s="2377"/>
      <c r="N140" s="2377"/>
      <c r="O140" s="2378"/>
      <c r="P140" s="2377"/>
      <c r="Q140" s="2377"/>
      <c r="R140" s="2379"/>
    </row>
    <row r="141" spans="2:18" s="2352" customFormat="1">
      <c r="B141" s="2377"/>
      <c r="C141" s="2377"/>
      <c r="D141" s="2377"/>
      <c r="E141" s="2377"/>
      <c r="F141" s="2377"/>
      <c r="G141" s="2378"/>
      <c r="H141" s="2377"/>
      <c r="I141" s="2378"/>
      <c r="J141" s="2377"/>
      <c r="K141" s="2377"/>
      <c r="L141" s="2378"/>
      <c r="M141" s="2377"/>
      <c r="N141" s="2377"/>
      <c r="O141" s="2378"/>
      <c r="P141" s="2377"/>
      <c r="Q141" s="2377"/>
      <c r="R141" s="2379"/>
    </row>
    <row r="142" spans="2:18" s="2352" customFormat="1">
      <c r="B142" s="2377"/>
      <c r="C142" s="2377"/>
      <c r="D142" s="2377"/>
      <c r="E142" s="2377"/>
      <c r="F142" s="2377"/>
      <c r="G142" s="2378"/>
      <c r="H142" s="2377"/>
      <c r="I142" s="2378"/>
      <c r="J142" s="2377"/>
      <c r="K142" s="2377"/>
      <c r="L142" s="2378"/>
      <c r="M142" s="2377"/>
      <c r="N142" s="2377"/>
      <c r="O142" s="2378"/>
      <c r="P142" s="2377"/>
      <c r="Q142" s="2377"/>
      <c r="R142" s="2379"/>
    </row>
    <row r="143" spans="2:18" s="2352" customFormat="1">
      <c r="B143" s="2377"/>
      <c r="C143" s="2377"/>
      <c r="D143" s="2377"/>
      <c r="E143" s="2377"/>
      <c r="F143" s="2377"/>
      <c r="G143" s="2378"/>
      <c r="H143" s="2377"/>
      <c r="I143" s="2378"/>
      <c r="J143" s="2377"/>
      <c r="K143" s="2377"/>
      <c r="L143" s="2378"/>
      <c r="M143" s="2377"/>
      <c r="N143" s="2377"/>
      <c r="O143" s="2378"/>
      <c r="P143" s="2377"/>
      <c r="Q143" s="2377"/>
      <c r="R143" s="2379"/>
    </row>
    <row r="144" spans="2:18" s="2352" customFormat="1">
      <c r="B144" s="2377"/>
      <c r="C144" s="2377"/>
      <c r="D144" s="2377"/>
      <c r="E144" s="2377"/>
      <c r="F144" s="2377"/>
      <c r="G144" s="2378"/>
      <c r="H144" s="2377"/>
      <c r="I144" s="2378"/>
      <c r="J144" s="2377"/>
      <c r="K144" s="2377"/>
      <c r="L144" s="2378"/>
      <c r="M144" s="2377"/>
      <c r="N144" s="2377"/>
      <c r="O144" s="2378"/>
      <c r="P144" s="2377"/>
      <c r="Q144" s="2377"/>
      <c r="R144" s="2379"/>
    </row>
    <row r="145" spans="2:18" s="2352" customFormat="1">
      <c r="B145" s="2377"/>
      <c r="C145" s="2377"/>
      <c r="D145" s="2377"/>
      <c r="E145" s="2377"/>
      <c r="F145" s="2377"/>
      <c r="G145" s="2378"/>
      <c r="H145" s="2377"/>
      <c r="I145" s="2378"/>
      <c r="J145" s="2377"/>
      <c r="K145" s="2377"/>
      <c r="L145" s="2378"/>
      <c r="M145" s="2377"/>
      <c r="N145" s="2377"/>
      <c r="O145" s="2378"/>
      <c r="P145" s="2377"/>
      <c r="Q145" s="2377"/>
      <c r="R145" s="2379"/>
    </row>
    <row r="146" spans="2:18" s="2352" customFormat="1">
      <c r="B146" s="2377"/>
      <c r="C146" s="2377"/>
      <c r="D146" s="2377"/>
      <c r="E146" s="2377"/>
      <c r="F146" s="2377"/>
      <c r="G146" s="2378"/>
      <c r="H146" s="2377"/>
      <c r="I146" s="2378"/>
      <c r="J146" s="2377"/>
      <c r="K146" s="2377"/>
      <c r="L146" s="2378"/>
      <c r="M146" s="2377"/>
      <c r="N146" s="2377"/>
      <c r="O146" s="2378"/>
      <c r="P146" s="2377"/>
      <c r="Q146" s="2377"/>
      <c r="R146" s="2379"/>
    </row>
    <row r="147" spans="2:18" s="2352" customFormat="1">
      <c r="B147" s="2377"/>
      <c r="C147" s="2377"/>
      <c r="D147" s="2377"/>
      <c r="E147" s="2377"/>
      <c r="F147" s="2377"/>
      <c r="G147" s="2378"/>
      <c r="H147" s="2377"/>
      <c r="I147" s="2378"/>
      <c r="J147" s="2377"/>
      <c r="K147" s="2377"/>
      <c r="L147" s="2378"/>
      <c r="M147" s="2377"/>
      <c r="N147" s="2377"/>
      <c r="O147" s="2378"/>
      <c r="P147" s="2377"/>
      <c r="Q147" s="2377"/>
      <c r="R147" s="2379"/>
    </row>
    <row r="148" spans="2:18" s="2352" customFormat="1">
      <c r="B148" s="2377"/>
      <c r="C148" s="2377"/>
      <c r="D148" s="2377"/>
      <c r="E148" s="2377"/>
      <c r="F148" s="2377"/>
      <c r="G148" s="2378"/>
      <c r="H148" s="2377"/>
      <c r="I148" s="2378"/>
      <c r="J148" s="2377"/>
      <c r="K148" s="2377"/>
      <c r="L148" s="2378"/>
      <c r="M148" s="2377"/>
      <c r="N148" s="2377"/>
      <c r="O148" s="2378"/>
      <c r="P148" s="2377"/>
      <c r="Q148" s="2377"/>
      <c r="R148" s="2379"/>
    </row>
    <row r="149" spans="2:18" s="2352" customFormat="1">
      <c r="B149" s="2377"/>
      <c r="C149" s="2377"/>
      <c r="D149" s="2377"/>
      <c r="E149" s="2377"/>
      <c r="F149" s="2377"/>
      <c r="G149" s="2378"/>
      <c r="H149" s="2377"/>
      <c r="I149" s="2378"/>
      <c r="J149" s="2377"/>
      <c r="K149" s="2377"/>
      <c r="L149" s="2378"/>
      <c r="M149" s="2377"/>
      <c r="N149" s="2377"/>
      <c r="O149" s="2378"/>
      <c r="P149" s="2377"/>
      <c r="Q149" s="2377"/>
      <c r="R149" s="2379"/>
    </row>
    <row r="150" spans="2:18" s="2352" customFormat="1">
      <c r="B150" s="2377"/>
      <c r="C150" s="2377"/>
      <c r="D150" s="2377"/>
      <c r="E150" s="2377"/>
      <c r="F150" s="2377"/>
      <c r="G150" s="2378"/>
      <c r="H150" s="2377"/>
      <c r="I150" s="2378"/>
      <c r="J150" s="2377"/>
      <c r="K150" s="2377"/>
      <c r="L150" s="2378"/>
      <c r="M150" s="2377"/>
      <c r="N150" s="2377"/>
      <c r="O150" s="2378"/>
      <c r="P150" s="2377"/>
      <c r="Q150" s="2377"/>
      <c r="R150" s="2379"/>
    </row>
    <row r="151" spans="2:18" s="2352" customFormat="1">
      <c r="B151" s="2377"/>
      <c r="C151" s="2377"/>
      <c r="D151" s="2377"/>
      <c r="E151" s="2377"/>
      <c r="F151" s="2377"/>
      <c r="G151" s="2378"/>
      <c r="H151" s="2377"/>
      <c r="I151" s="2378"/>
      <c r="J151" s="2377"/>
      <c r="K151" s="2377"/>
      <c r="L151" s="2378"/>
      <c r="M151" s="2377"/>
      <c r="N151" s="2377"/>
      <c r="O151" s="2378"/>
      <c r="P151" s="2377"/>
      <c r="Q151" s="2377"/>
      <c r="R151" s="2379"/>
    </row>
    <row r="152" spans="2:18" s="2352" customFormat="1">
      <c r="B152" s="2377"/>
      <c r="C152" s="2377"/>
      <c r="D152" s="2377"/>
      <c r="E152" s="2377"/>
      <c r="F152" s="2377"/>
      <c r="G152" s="2378"/>
      <c r="H152" s="2377"/>
      <c r="I152" s="2378"/>
      <c r="J152" s="2377"/>
      <c r="K152" s="2377"/>
      <c r="L152" s="2378"/>
      <c r="M152" s="2377"/>
      <c r="N152" s="2377"/>
      <c r="O152" s="2378"/>
      <c r="P152" s="2377"/>
      <c r="Q152" s="2377"/>
      <c r="R152" s="2379"/>
    </row>
    <row r="153" spans="2:18" s="2352" customFormat="1">
      <c r="B153" s="2377"/>
      <c r="C153" s="2377"/>
      <c r="D153" s="2377"/>
      <c r="E153" s="2377"/>
      <c r="F153" s="2377"/>
      <c r="G153" s="2378"/>
      <c r="H153" s="2377"/>
      <c r="I153" s="2378"/>
      <c r="J153" s="2377"/>
      <c r="K153" s="2377"/>
      <c r="L153" s="2378"/>
      <c r="M153" s="2377"/>
      <c r="N153" s="2377"/>
      <c r="O153" s="2378"/>
      <c r="P153" s="2377"/>
      <c r="Q153" s="2377"/>
      <c r="R153" s="2379"/>
    </row>
    <row r="154" spans="2:18" s="2352" customFormat="1">
      <c r="B154" s="2377"/>
      <c r="C154" s="2377"/>
      <c r="D154" s="2377"/>
      <c r="E154" s="2377"/>
      <c r="F154" s="2377"/>
      <c r="G154" s="2378"/>
      <c r="H154" s="2377"/>
      <c r="I154" s="2378"/>
      <c r="J154" s="2377"/>
      <c r="K154" s="2377"/>
      <c r="L154" s="2378"/>
      <c r="M154" s="2377"/>
      <c r="N154" s="2377"/>
      <c r="O154" s="2378"/>
      <c r="P154" s="2377"/>
      <c r="Q154" s="2377"/>
      <c r="R154" s="2379"/>
    </row>
    <row r="155" spans="2:18" s="2352" customFormat="1">
      <c r="B155" s="2377"/>
      <c r="C155" s="2377"/>
      <c r="D155" s="2377"/>
      <c r="E155" s="2377"/>
      <c r="F155" s="2377"/>
      <c r="G155" s="2378"/>
      <c r="H155" s="2377"/>
      <c r="I155" s="2378"/>
      <c r="J155" s="2377"/>
      <c r="K155" s="2377"/>
      <c r="L155" s="2378"/>
      <c r="M155" s="2377"/>
      <c r="N155" s="2377"/>
      <c r="O155" s="2378"/>
      <c r="P155" s="2377"/>
      <c r="Q155" s="2377"/>
      <c r="R155" s="2379"/>
    </row>
    <row r="156" spans="2:18" s="2352" customFormat="1">
      <c r="B156" s="2377"/>
      <c r="C156" s="2377"/>
      <c r="D156" s="2377"/>
      <c r="E156" s="2377"/>
      <c r="F156" s="2377"/>
      <c r="G156" s="2378"/>
      <c r="H156" s="2377"/>
      <c r="I156" s="2378"/>
      <c r="J156" s="2377"/>
      <c r="K156" s="2377"/>
      <c r="L156" s="2378"/>
      <c r="M156" s="2377"/>
      <c r="N156" s="2377"/>
      <c r="O156" s="2378"/>
      <c r="P156" s="2377"/>
      <c r="Q156" s="2377"/>
      <c r="R156" s="2379"/>
    </row>
    <row r="157" spans="2:18" s="2352" customFormat="1">
      <c r="B157" s="2377"/>
      <c r="C157" s="2377"/>
      <c r="D157" s="2377"/>
      <c r="E157" s="2377"/>
      <c r="F157" s="2377"/>
      <c r="G157" s="2378"/>
      <c r="H157" s="2377"/>
      <c r="I157" s="2378"/>
      <c r="J157" s="2377"/>
      <c r="K157" s="2377"/>
      <c r="L157" s="2378"/>
      <c r="M157" s="2377"/>
      <c r="N157" s="2377"/>
      <c r="O157" s="2378"/>
      <c r="P157" s="2377"/>
      <c r="Q157" s="2377"/>
      <c r="R157" s="2379"/>
    </row>
    <row r="158" spans="2:18" s="2352" customFormat="1">
      <c r="B158" s="2377"/>
      <c r="C158" s="2377"/>
      <c r="D158" s="2377"/>
      <c r="E158" s="2377"/>
      <c r="F158" s="2377"/>
      <c r="G158" s="2378"/>
      <c r="H158" s="2377"/>
      <c r="I158" s="2378"/>
      <c r="J158" s="2377"/>
      <c r="K158" s="2377"/>
      <c r="L158" s="2378"/>
      <c r="M158" s="2377"/>
      <c r="N158" s="2377"/>
      <c r="O158" s="2378"/>
      <c r="P158" s="2377"/>
      <c r="Q158" s="2377"/>
      <c r="R158" s="2379"/>
    </row>
    <row r="159" spans="2:18" s="2352" customFormat="1">
      <c r="B159" s="2377"/>
      <c r="C159" s="2377"/>
      <c r="D159" s="2377"/>
      <c r="E159" s="2377"/>
      <c r="F159" s="2377"/>
      <c r="G159" s="2378"/>
      <c r="H159" s="2377"/>
      <c r="I159" s="2378"/>
      <c r="J159" s="2377"/>
      <c r="K159" s="2377"/>
      <c r="L159" s="2378"/>
      <c r="M159" s="2377"/>
      <c r="N159" s="2377"/>
      <c r="O159" s="2378"/>
      <c r="P159" s="2377"/>
      <c r="Q159" s="2377"/>
      <c r="R159" s="2379"/>
    </row>
    <row r="160" spans="2:18" s="2352" customFormat="1">
      <c r="B160" s="2377"/>
      <c r="C160" s="2377"/>
      <c r="D160" s="2377"/>
      <c r="E160" s="2377"/>
      <c r="F160" s="2377"/>
      <c r="G160" s="2378"/>
      <c r="H160" s="2377"/>
      <c r="I160" s="2378"/>
      <c r="J160" s="2377"/>
      <c r="K160" s="2377"/>
      <c r="L160" s="2378"/>
      <c r="M160" s="2377"/>
      <c r="N160" s="2377"/>
      <c r="O160" s="2378"/>
      <c r="P160" s="2377"/>
      <c r="Q160" s="2377"/>
      <c r="R160" s="2379"/>
    </row>
    <row r="161" spans="2:18" s="2352" customFormat="1">
      <c r="B161" s="2377"/>
      <c r="C161" s="2377"/>
      <c r="D161" s="2377"/>
      <c r="E161" s="2377"/>
      <c r="F161" s="2377"/>
      <c r="G161" s="2378"/>
      <c r="H161" s="2377"/>
      <c r="I161" s="2378"/>
      <c r="J161" s="2377"/>
      <c r="K161" s="2377"/>
      <c r="L161" s="2378"/>
      <c r="M161" s="2377"/>
      <c r="N161" s="2377"/>
      <c r="O161" s="2378"/>
      <c r="P161" s="2377"/>
      <c r="Q161" s="2377"/>
      <c r="R161" s="2379"/>
    </row>
    <row r="162" spans="2:18" s="2352" customFormat="1">
      <c r="B162" s="2377"/>
      <c r="C162" s="2377"/>
      <c r="D162" s="2377"/>
      <c r="E162" s="2377"/>
      <c r="F162" s="2377"/>
      <c r="G162" s="2378"/>
      <c r="H162" s="2377"/>
      <c r="I162" s="2378"/>
      <c r="J162" s="2377"/>
      <c r="K162" s="2377"/>
      <c r="L162" s="2378"/>
      <c r="M162" s="2377"/>
      <c r="N162" s="2377"/>
      <c r="O162" s="2378"/>
      <c r="P162" s="2377"/>
      <c r="Q162" s="2377"/>
      <c r="R162" s="2379"/>
    </row>
    <row r="163" spans="2:18" s="2352" customFormat="1">
      <c r="B163" s="2377"/>
      <c r="C163" s="2377"/>
      <c r="D163" s="2377"/>
      <c r="E163" s="2377"/>
      <c r="F163" s="2377"/>
      <c r="G163" s="2378"/>
      <c r="H163" s="2377"/>
      <c r="I163" s="2378"/>
      <c r="J163" s="2377"/>
      <c r="K163" s="2377"/>
      <c r="L163" s="2378"/>
      <c r="M163" s="2377"/>
      <c r="N163" s="2377"/>
      <c r="O163" s="2378"/>
      <c r="P163" s="2377"/>
      <c r="Q163" s="2377"/>
      <c r="R163" s="2379"/>
    </row>
    <row r="164" spans="2:18" s="2352" customFormat="1">
      <c r="B164" s="2377"/>
      <c r="C164" s="2377"/>
      <c r="D164" s="2377"/>
      <c r="E164" s="2377"/>
      <c r="F164" s="2377"/>
      <c r="G164" s="2378"/>
      <c r="H164" s="2377"/>
      <c r="I164" s="2378"/>
      <c r="J164" s="2377"/>
      <c r="K164" s="2377"/>
      <c r="L164" s="2378"/>
      <c r="M164" s="2377"/>
      <c r="N164" s="2377"/>
      <c r="O164" s="2378"/>
      <c r="P164" s="2377"/>
      <c r="Q164" s="2377"/>
      <c r="R164" s="2379"/>
    </row>
    <row r="165" spans="2:18" s="2352" customFormat="1">
      <c r="B165" s="2377"/>
      <c r="C165" s="2377"/>
      <c r="D165" s="2377"/>
      <c r="E165" s="2377"/>
      <c r="F165" s="2377"/>
      <c r="G165" s="2378"/>
      <c r="H165" s="2377"/>
      <c r="I165" s="2378"/>
      <c r="J165" s="2377"/>
      <c r="K165" s="2377"/>
      <c r="L165" s="2378"/>
      <c r="M165" s="2377"/>
      <c r="N165" s="2377"/>
      <c r="O165" s="2378"/>
      <c r="P165" s="2377"/>
      <c r="Q165" s="2377"/>
      <c r="R165" s="2379"/>
    </row>
    <row r="166" spans="2:18" s="2352" customFormat="1">
      <c r="B166" s="2377"/>
      <c r="C166" s="2377"/>
      <c r="D166" s="2377"/>
      <c r="E166" s="2377"/>
      <c r="F166" s="2377"/>
      <c r="G166" s="2378"/>
      <c r="H166" s="2377"/>
      <c r="I166" s="2378"/>
      <c r="J166" s="2377"/>
      <c r="K166" s="2377"/>
      <c r="L166" s="2378"/>
      <c r="M166" s="2377"/>
      <c r="N166" s="2377"/>
      <c r="O166" s="2378"/>
      <c r="P166" s="2377"/>
      <c r="Q166" s="2377"/>
      <c r="R166" s="2379"/>
    </row>
    <row r="167" spans="2:18" s="2352" customFormat="1">
      <c r="B167" s="2377"/>
      <c r="C167" s="2377"/>
      <c r="D167" s="2377"/>
      <c r="E167" s="2377"/>
      <c r="F167" s="2377"/>
      <c r="G167" s="2378"/>
      <c r="H167" s="2377"/>
      <c r="I167" s="2378"/>
      <c r="J167" s="2377"/>
      <c r="K167" s="2377"/>
      <c r="L167" s="2378"/>
      <c r="M167" s="2377"/>
      <c r="N167" s="2377"/>
      <c r="O167" s="2378"/>
      <c r="P167" s="2377"/>
      <c r="Q167" s="2377"/>
      <c r="R167" s="2379"/>
    </row>
    <row r="168" spans="2:18" s="2352" customFormat="1">
      <c r="B168" s="2377"/>
      <c r="C168" s="2377"/>
      <c r="D168" s="2377"/>
      <c r="E168" s="2377"/>
      <c r="F168" s="2377"/>
      <c r="G168" s="2378"/>
      <c r="H168" s="2377"/>
      <c r="I168" s="2378"/>
      <c r="J168" s="2377"/>
      <c r="K168" s="2377"/>
      <c r="L168" s="2378"/>
      <c r="M168" s="2377"/>
      <c r="N168" s="2377"/>
      <c r="O168" s="2378"/>
      <c r="P168" s="2377"/>
      <c r="Q168" s="2377"/>
      <c r="R168" s="2379"/>
    </row>
    <row r="169" spans="2:18" s="2352" customFormat="1">
      <c r="B169" s="2377"/>
      <c r="C169" s="2377"/>
      <c r="D169" s="2377"/>
      <c r="E169" s="2377"/>
      <c r="F169" s="2377"/>
      <c r="G169" s="2378"/>
      <c r="H169" s="2377"/>
      <c r="I169" s="2378"/>
      <c r="J169" s="2377"/>
      <c r="K169" s="2377"/>
      <c r="L169" s="2378"/>
      <c r="M169" s="2377"/>
      <c r="N169" s="2377"/>
      <c r="O169" s="2378"/>
      <c r="P169" s="2377"/>
      <c r="Q169" s="2377"/>
      <c r="R169" s="2379"/>
    </row>
    <row r="170" spans="2:18" s="2352" customFormat="1">
      <c r="B170" s="2377"/>
      <c r="C170" s="2377"/>
      <c r="D170" s="2377"/>
      <c r="E170" s="2377"/>
      <c r="F170" s="2377"/>
      <c r="G170" s="2378"/>
      <c r="H170" s="2377"/>
      <c r="I170" s="2378"/>
      <c r="J170" s="2377"/>
      <c r="K170" s="2377"/>
      <c r="L170" s="2378"/>
      <c r="M170" s="2377"/>
      <c r="N170" s="2377"/>
      <c r="O170" s="2378"/>
      <c r="P170" s="2377"/>
      <c r="Q170" s="2377"/>
      <c r="R170" s="2379"/>
    </row>
    <row r="171" spans="2:18" s="2352" customFormat="1">
      <c r="B171" s="2377"/>
      <c r="C171" s="2377"/>
      <c r="D171" s="2377"/>
      <c r="E171" s="2377"/>
      <c r="F171" s="2377"/>
      <c r="G171" s="2378"/>
      <c r="H171" s="2377"/>
      <c r="I171" s="2378"/>
      <c r="J171" s="2377"/>
      <c r="K171" s="2377"/>
      <c r="L171" s="2378"/>
      <c r="M171" s="2377"/>
      <c r="N171" s="2377"/>
      <c r="O171" s="2378"/>
      <c r="P171" s="2377"/>
      <c r="Q171" s="2377"/>
      <c r="R171" s="2379"/>
    </row>
    <row r="172" spans="2:18" s="2352" customFormat="1">
      <c r="B172" s="2377"/>
      <c r="C172" s="2377"/>
      <c r="D172" s="2377"/>
      <c r="E172" s="2377"/>
      <c r="F172" s="2377"/>
      <c r="G172" s="2378"/>
      <c r="H172" s="2377"/>
      <c r="I172" s="2378"/>
      <c r="J172" s="2377"/>
      <c r="K172" s="2377"/>
      <c r="L172" s="2378"/>
      <c r="M172" s="2377"/>
      <c r="N172" s="2377"/>
      <c r="O172" s="2378"/>
      <c r="P172" s="2377"/>
      <c r="Q172" s="2377"/>
      <c r="R172" s="2379"/>
    </row>
    <row r="173" spans="2:18" s="2352" customFormat="1">
      <c r="B173" s="2377"/>
      <c r="C173" s="2377"/>
      <c r="D173" s="2377"/>
      <c r="E173" s="2377"/>
      <c r="F173" s="2377"/>
      <c r="G173" s="2378"/>
      <c r="H173" s="2377"/>
      <c r="I173" s="2378"/>
      <c r="J173" s="2377"/>
      <c r="K173" s="2377"/>
      <c r="L173" s="2378"/>
      <c r="M173" s="2377"/>
      <c r="N173" s="2377"/>
      <c r="O173" s="2378"/>
      <c r="P173" s="2377"/>
      <c r="Q173" s="2377"/>
      <c r="R173" s="2379"/>
    </row>
    <row r="174" spans="2:18" s="2352" customFormat="1">
      <c r="B174" s="2377"/>
      <c r="C174" s="2377"/>
      <c r="D174" s="2377"/>
      <c r="E174" s="2377"/>
      <c r="F174" s="2377"/>
      <c r="G174" s="2378"/>
      <c r="H174" s="2377"/>
      <c r="I174" s="2378"/>
      <c r="J174" s="2377"/>
      <c r="K174" s="2377"/>
      <c r="L174" s="2378"/>
      <c r="M174" s="2377"/>
      <c r="N174" s="2377"/>
      <c r="O174" s="2378"/>
      <c r="P174" s="2377"/>
      <c r="Q174" s="2377"/>
      <c r="R174" s="2379"/>
    </row>
    <row r="175" spans="2:18" s="2352" customFormat="1">
      <c r="B175" s="2377"/>
      <c r="C175" s="2377"/>
      <c r="D175" s="2377"/>
      <c r="E175" s="2377"/>
      <c r="F175" s="2377"/>
      <c r="G175" s="2378"/>
      <c r="H175" s="2377"/>
      <c r="I175" s="2378"/>
      <c r="J175" s="2377"/>
      <c r="K175" s="2377"/>
      <c r="L175" s="2378"/>
      <c r="M175" s="2377"/>
      <c r="N175" s="2377"/>
      <c r="O175" s="2378"/>
      <c r="P175" s="2377"/>
      <c r="Q175" s="2377"/>
      <c r="R175" s="2379"/>
    </row>
    <row r="176" spans="2:18" s="2352" customFormat="1">
      <c r="B176" s="2377"/>
      <c r="C176" s="2377"/>
      <c r="D176" s="2377"/>
      <c r="E176" s="2377"/>
      <c r="F176" s="2377"/>
      <c r="G176" s="2378"/>
      <c r="H176" s="2377"/>
      <c r="I176" s="2378"/>
      <c r="J176" s="2377"/>
      <c r="K176" s="2377"/>
      <c r="L176" s="2378"/>
      <c r="M176" s="2377"/>
      <c r="N176" s="2377"/>
      <c r="O176" s="2378"/>
      <c r="P176" s="2377"/>
      <c r="Q176" s="2377"/>
      <c r="R176" s="2379"/>
    </row>
    <row r="177" spans="1:18" s="2352" customFormat="1">
      <c r="B177" s="2377"/>
      <c r="C177" s="2377"/>
      <c r="D177" s="2377"/>
      <c r="E177" s="2377"/>
      <c r="F177" s="2377"/>
      <c r="G177" s="2378"/>
      <c r="H177" s="2377"/>
      <c r="I177" s="2378"/>
      <c r="J177" s="2377"/>
      <c r="K177" s="2377"/>
      <c r="L177" s="2378"/>
      <c r="M177" s="2377"/>
      <c r="N177" s="2377"/>
      <c r="O177" s="2378"/>
      <c r="P177" s="2377"/>
      <c r="Q177" s="2377"/>
      <c r="R177" s="2379"/>
    </row>
    <row r="178" spans="1:18" s="2352" customFormat="1">
      <c r="B178" s="2377"/>
      <c r="C178" s="2377"/>
      <c r="D178" s="2377"/>
      <c r="E178" s="2377"/>
      <c r="F178" s="2377"/>
      <c r="G178" s="2378"/>
      <c r="H178" s="2377"/>
      <c r="I178" s="2378"/>
      <c r="J178" s="2377"/>
      <c r="K178" s="2377"/>
      <c r="L178" s="2378"/>
      <c r="M178" s="2377"/>
      <c r="N178" s="2377"/>
      <c r="O178" s="2378"/>
      <c r="P178" s="2377"/>
      <c r="Q178" s="2377"/>
      <c r="R178" s="2379"/>
    </row>
    <row r="179" spans="1:18" s="2352" customFormat="1">
      <c r="B179" s="2377"/>
      <c r="C179" s="2377"/>
      <c r="D179" s="2377"/>
      <c r="E179" s="2377"/>
      <c r="F179" s="2377"/>
      <c r="G179" s="2378"/>
      <c r="H179" s="2377"/>
      <c r="I179" s="2378"/>
      <c r="J179" s="2377"/>
      <c r="K179" s="2377"/>
      <c r="L179" s="2378"/>
      <c r="M179" s="2377"/>
      <c r="N179" s="2377"/>
      <c r="O179" s="2378"/>
      <c r="P179" s="2377"/>
      <c r="Q179" s="2377"/>
      <c r="R179" s="2379"/>
    </row>
    <row r="180" spans="1:18" s="2352" customFormat="1">
      <c r="B180" s="2377"/>
      <c r="C180" s="2377"/>
      <c r="D180" s="2377"/>
      <c r="E180" s="2377"/>
      <c r="F180" s="2377"/>
      <c r="G180" s="2378"/>
      <c r="H180" s="2377"/>
      <c r="I180" s="2378"/>
      <c r="J180" s="2377"/>
      <c r="K180" s="2377"/>
      <c r="L180" s="2378"/>
      <c r="M180" s="2377"/>
      <c r="N180" s="2377"/>
      <c r="O180" s="2378"/>
      <c r="P180" s="2377"/>
      <c r="Q180" s="2377"/>
      <c r="R180" s="2379"/>
    </row>
    <row r="181" spans="1:18" s="2352" customFormat="1">
      <c r="B181" s="2377"/>
      <c r="C181" s="2377"/>
      <c r="D181" s="2377"/>
      <c r="E181" s="2377"/>
      <c r="F181" s="2377"/>
      <c r="G181" s="2378"/>
      <c r="H181" s="2377"/>
      <c r="I181" s="2378"/>
      <c r="J181" s="2377"/>
      <c r="K181" s="2377"/>
      <c r="L181" s="2378"/>
      <c r="M181" s="2377"/>
      <c r="N181" s="2377"/>
      <c r="O181" s="2378"/>
      <c r="P181" s="2377"/>
      <c r="Q181" s="2377"/>
      <c r="R181" s="2379"/>
    </row>
    <row r="182" spans="1:18" s="2352" customFormat="1">
      <c r="B182" s="2377"/>
      <c r="C182" s="2377"/>
      <c r="D182" s="2377"/>
      <c r="E182" s="2377"/>
      <c r="F182" s="2377"/>
      <c r="G182" s="2378"/>
      <c r="H182" s="2377"/>
      <c r="I182" s="2378"/>
      <c r="J182" s="2377"/>
      <c r="K182" s="2377"/>
      <c r="L182" s="2378"/>
      <c r="M182" s="2377"/>
      <c r="N182" s="2377"/>
      <c r="O182" s="2378"/>
      <c r="P182" s="2377"/>
      <c r="Q182" s="2377"/>
      <c r="R182" s="2379"/>
    </row>
    <row r="183" spans="1:18" s="2352" customFormat="1">
      <c r="B183" s="2377"/>
      <c r="C183" s="2377"/>
      <c r="D183" s="2377"/>
      <c r="E183" s="2377"/>
      <c r="F183" s="2377"/>
      <c r="G183" s="2378"/>
      <c r="H183" s="2377"/>
      <c r="I183" s="2378"/>
      <c r="J183" s="2377"/>
      <c r="K183" s="2377"/>
      <c r="L183" s="2378"/>
      <c r="M183" s="2377"/>
      <c r="N183" s="2377"/>
      <c r="O183" s="2378"/>
      <c r="P183" s="2377"/>
      <c r="Q183" s="2377"/>
      <c r="R183" s="2379"/>
    </row>
    <row r="184" spans="1:18" s="2352" customFormat="1">
      <c r="B184" s="2377"/>
      <c r="C184" s="2377"/>
      <c r="D184" s="2377"/>
      <c r="E184" s="2377"/>
      <c r="F184" s="2377"/>
      <c r="G184" s="2378"/>
      <c r="H184" s="2377"/>
      <c r="I184" s="2378"/>
      <c r="J184" s="2377"/>
      <c r="K184" s="2377"/>
      <c r="L184" s="2378"/>
      <c r="M184" s="2377"/>
      <c r="N184" s="2377"/>
      <c r="O184" s="2378"/>
      <c r="P184" s="2377"/>
      <c r="Q184" s="2377"/>
      <c r="R184" s="2379"/>
    </row>
    <row r="185" spans="1:18" s="2352" customFormat="1">
      <c r="B185" s="2377"/>
      <c r="C185" s="2377"/>
      <c r="D185" s="2377"/>
      <c r="E185" s="2377"/>
      <c r="F185" s="2377"/>
      <c r="G185" s="2378"/>
      <c r="H185" s="2377"/>
      <c r="I185" s="2378"/>
      <c r="J185" s="2377"/>
      <c r="K185" s="2377"/>
      <c r="L185" s="2378"/>
      <c r="M185" s="2377"/>
      <c r="N185" s="2377"/>
      <c r="O185" s="2378"/>
      <c r="P185" s="2377"/>
      <c r="Q185" s="2377"/>
      <c r="R185" s="2379"/>
    </row>
    <row r="186" spans="1:18">
      <c r="A186" s="2352"/>
      <c r="B186" s="2377"/>
      <c r="C186" s="2377"/>
      <c r="E186" s="2377"/>
      <c r="F186" s="2377"/>
      <c r="G186" s="2378"/>
    </row>
    <row r="187" spans="1:18">
      <c r="A187" s="2352"/>
      <c r="B187" s="2377"/>
      <c r="C187" s="2377"/>
      <c r="E187" s="2377"/>
      <c r="F187" s="2377"/>
      <c r="G187" s="2378"/>
    </row>
  </sheetData>
  <sheetProtection password="C66D" sheet="1" objects="1" scenarios="1" formatCells="0" formatColumns="0" formatRows="0"/>
  <mergeCells count="1">
    <mergeCell ref="A1:G1"/>
  </mergeCells>
  <phoneticPr fontId="25"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8" sqref="F8"/>
    </sheetView>
  </sheetViews>
  <sheetFormatPr defaultColWidth="9" defaultRowHeight="13.5"/>
  <cols>
    <col min="1" max="1" width="23.375" style="1732" customWidth="1"/>
    <col min="2" max="9" width="15.75" style="1732" customWidth="1"/>
    <col min="10" max="16384" width="9" style="1732"/>
  </cols>
  <sheetData>
    <row r="1" spans="1:10" ht="16.5">
      <c r="A1" s="1737" t="s">
        <v>1360</v>
      </c>
      <c r="B1" s="1737">
        <f>SUM(B14:B23)</f>
        <v>319062.95</v>
      </c>
      <c r="C1" s="1736"/>
      <c r="D1" s="1736"/>
      <c r="E1" s="1736"/>
      <c r="F1" s="1736"/>
      <c r="G1" s="1734"/>
    </row>
    <row r="2" spans="1:10" ht="16.5">
      <c r="A2" s="1737" t="s">
        <v>1348</v>
      </c>
      <c r="B2" s="1737">
        <f>SUM(C14:C23)</f>
        <v>123409.32</v>
      </c>
      <c r="C2" s="1736"/>
      <c r="D2" s="1736"/>
      <c r="E2" s="1736"/>
      <c r="F2" s="1736"/>
      <c r="G2" s="1734"/>
    </row>
    <row r="3" spans="1:10" ht="16.5">
      <c r="A3" s="1737" t="s">
        <v>1357</v>
      </c>
      <c r="B3" s="1738">
        <f>项目基本情况!D3</f>
        <v>43878</v>
      </c>
      <c r="C3" s="1736"/>
      <c r="D3" s="1736"/>
      <c r="E3" s="1736"/>
      <c r="F3" s="1736"/>
      <c r="G3" s="1734"/>
    </row>
    <row r="4" spans="1:10" ht="33">
      <c r="A4" s="1737" t="s">
        <v>1356</v>
      </c>
      <c r="B4" s="1737" t="s">
        <v>1355</v>
      </c>
      <c r="C4" s="1737" t="s">
        <v>1354</v>
      </c>
      <c r="D4" s="1737" t="s">
        <v>1353</v>
      </c>
      <c r="E4" s="1736"/>
      <c r="F4" s="1734"/>
      <c r="G4" s="1734"/>
    </row>
    <row r="5" spans="1:10" ht="16.5">
      <c r="A5" s="1737" t="s">
        <v>1352</v>
      </c>
      <c r="B5" s="1737">
        <f ca="1">SUM(D14:D23)</f>
        <v>697125</v>
      </c>
      <c r="C5" s="1737">
        <f ca="1">ROUND(B5*10000/$B$1,0)</f>
        <v>21849</v>
      </c>
      <c r="D5" s="1737">
        <f ca="1">ROUND(B5*10000/$B$2,0)</f>
        <v>56489</v>
      </c>
      <c r="E5" s="1736"/>
      <c r="F5" s="1734"/>
      <c r="G5" s="1734"/>
    </row>
    <row r="6" spans="1:10" ht="16.5">
      <c r="A6" s="1737" t="s">
        <v>1351</v>
      </c>
      <c r="B6" s="1737">
        <f>SUM(G14:G23)</f>
        <v>0</v>
      </c>
      <c r="C6" s="1737">
        <f>ROUND(B6*10000/$B$1,0)</f>
        <v>0</v>
      </c>
      <c r="D6" s="1737">
        <f>ROUND(B6*10000/$B$2,0)</f>
        <v>0</v>
      </c>
      <c r="E6" s="1736"/>
      <c r="F6" s="1734"/>
      <c r="G6" s="1734"/>
    </row>
    <row r="7" spans="1:10" ht="16.5">
      <c r="A7" s="1737" t="s">
        <v>1359</v>
      </c>
      <c r="B7" s="1737">
        <f ca="1">SUM(H14:H23)</f>
        <v>697125</v>
      </c>
      <c r="C7" s="1737">
        <f ca="1">ROUND(B7*10000/$B$1,0)</f>
        <v>21849</v>
      </c>
      <c r="D7" s="1737">
        <f ca="1">ROUND(B7*10000/$B$2,0)</f>
        <v>56489</v>
      </c>
      <c r="E7" s="1736"/>
      <c r="F7" s="1734"/>
      <c r="G7" s="1734"/>
    </row>
    <row r="8" spans="1:10" ht="16.5">
      <c r="A8" s="1737" t="s">
        <v>1280</v>
      </c>
      <c r="B8" s="1737">
        <f>SUM(I14:I23)</f>
        <v>0</v>
      </c>
      <c r="C8" s="1737">
        <f>ROUND(B8*10000/$B$1,0)</f>
        <v>0</v>
      </c>
      <c r="D8" s="1737">
        <f>ROUND(B8*10000/$B$2,0)</f>
        <v>0</v>
      </c>
      <c r="E8" s="1736"/>
      <c r="F8" s="1734"/>
      <c r="G8" s="1734"/>
    </row>
    <row r="9" spans="1:10" ht="16.5">
      <c r="A9" s="1737" t="s">
        <v>1350</v>
      </c>
      <c r="B9" s="1739"/>
      <c r="C9" s="1736"/>
      <c r="D9" s="1736"/>
      <c r="E9" s="1736"/>
      <c r="F9" s="1734"/>
      <c r="G9" s="1734"/>
    </row>
    <row r="10" spans="1:10" ht="16.5">
      <c r="A10" s="1737" t="s">
        <v>1349</v>
      </c>
      <c r="B10" s="1739"/>
      <c r="C10" s="1736"/>
      <c r="D10" s="1736"/>
      <c r="E10" s="1736"/>
      <c r="F10" s="1734"/>
      <c r="G10" s="1734"/>
    </row>
    <row r="11" spans="1:10" ht="16.5">
      <c r="A11" s="1737" t="s">
        <v>1365</v>
      </c>
      <c r="B11" s="1739"/>
      <c r="C11" s="1736"/>
      <c r="D11" s="1736"/>
      <c r="E11" s="1736"/>
      <c r="F11" s="1734"/>
      <c r="G11" s="1734"/>
    </row>
    <row r="12" spans="1:10" ht="16.5">
      <c r="A12" s="1736"/>
      <c r="B12" s="1736"/>
      <c r="C12" s="1736"/>
      <c r="D12" s="1736"/>
      <c r="E12" s="1736"/>
      <c r="F12" s="1734"/>
      <c r="G12" s="1734"/>
    </row>
    <row r="13" spans="1:10" ht="33">
      <c r="A13" s="1742" t="s">
        <v>1364</v>
      </c>
      <c r="B13" s="1735" t="s">
        <v>1361</v>
      </c>
      <c r="C13" s="1735" t="s">
        <v>1363</v>
      </c>
      <c r="D13" s="1735" t="s">
        <v>1362</v>
      </c>
      <c r="E13" s="1737" t="s">
        <v>1354</v>
      </c>
      <c r="F13" s="1737" t="s">
        <v>1353</v>
      </c>
      <c r="G13" s="1735" t="s">
        <v>1347</v>
      </c>
      <c r="H13" s="1735" t="s">
        <v>1358</v>
      </c>
      <c r="I13" s="1735" t="s">
        <v>1346</v>
      </c>
      <c r="J13" s="1734"/>
    </row>
    <row r="14" spans="1:10" ht="16.5">
      <c r="A14" s="1733" t="s">
        <v>1345</v>
      </c>
      <c r="B14" s="1735">
        <f>结果表!B118</f>
        <v>149246.95000000001</v>
      </c>
      <c r="C14" s="1735">
        <f>结果表!C118</f>
        <v>59319.7</v>
      </c>
      <c r="D14" s="1735">
        <f ca="1">结果表!H118</f>
        <v>392611</v>
      </c>
      <c r="E14" s="1735">
        <f ca="1">ROUND(D14*10000/B14,0)</f>
        <v>26306</v>
      </c>
      <c r="F14" s="1735">
        <f ca="1">ROUND(D14*10000/C14,0)</f>
        <v>66186</v>
      </c>
      <c r="G14" s="1735" t="str">
        <f>结果表!D122</f>
        <v>——</v>
      </c>
      <c r="H14" s="1735">
        <f ca="1">结果表!D124</f>
        <v>392611</v>
      </c>
      <c r="I14" s="1735" t="str">
        <f>结果表!D126</f>
        <v>——</v>
      </c>
      <c r="J14" s="1734"/>
    </row>
    <row r="15" spans="1:10" ht="16.5">
      <c r="A15" s="1733" t="s">
        <v>1344</v>
      </c>
      <c r="B15" s="1740">
        <f>[1]系统读取表!$B$14</f>
        <v>169816</v>
      </c>
      <c r="C15" s="1740">
        <f>[1]系统读取表!$C$14</f>
        <v>64089.62</v>
      </c>
      <c r="D15" s="1740">
        <f>[1]系统读取表!$D$14</f>
        <v>304514</v>
      </c>
      <c r="E15" s="1735">
        <f t="shared" ref="E15:E23" si="0">ROUND(D15*10000/B15,0)</f>
        <v>17932</v>
      </c>
      <c r="F15" s="1735">
        <f t="shared" ref="F15:F23" si="1">ROUND(D15*10000/C15,0)</f>
        <v>47514</v>
      </c>
      <c r="G15" s="1741"/>
      <c r="H15" s="1741">
        <f>D15</f>
        <v>304514</v>
      </c>
      <c r="I15" s="1740"/>
      <c r="J15" s="1734"/>
    </row>
    <row r="16" spans="1:10" ht="16.5">
      <c r="A16" s="1733" t="s">
        <v>1343</v>
      </c>
      <c r="B16" s="1740"/>
      <c r="C16" s="1740"/>
      <c r="D16" s="1740"/>
      <c r="E16" s="1735" t="e">
        <f t="shared" si="0"/>
        <v>#DIV/0!</v>
      </c>
      <c r="F16" s="1735" t="e">
        <f t="shared" si="1"/>
        <v>#DIV/0!</v>
      </c>
      <c r="G16" s="1741"/>
      <c r="H16" s="1741"/>
      <c r="I16" s="1740"/>
    </row>
    <row r="17" spans="1:9" ht="16.5">
      <c r="A17" s="1733" t="s">
        <v>1342</v>
      </c>
      <c r="B17" s="1740"/>
      <c r="C17" s="1740"/>
      <c r="D17" s="1740"/>
      <c r="E17" s="1735" t="e">
        <f t="shared" si="0"/>
        <v>#DIV/0!</v>
      </c>
      <c r="F17" s="1735" t="e">
        <f t="shared" si="1"/>
        <v>#DIV/0!</v>
      </c>
      <c r="G17" s="1741"/>
      <c r="H17" s="1741"/>
      <c r="I17" s="1740"/>
    </row>
    <row r="18" spans="1:9" ht="16.5">
      <c r="A18" s="1733" t="s">
        <v>1341</v>
      </c>
      <c r="B18" s="1740"/>
      <c r="C18" s="1740"/>
      <c r="D18" s="1740"/>
      <c r="E18" s="1735" t="e">
        <f t="shared" si="0"/>
        <v>#DIV/0!</v>
      </c>
      <c r="F18" s="1735" t="e">
        <f t="shared" si="1"/>
        <v>#DIV/0!</v>
      </c>
      <c r="G18" s="1740"/>
      <c r="H18" s="1740"/>
      <c r="I18" s="1740"/>
    </row>
    <row r="19" spans="1:9" ht="16.5">
      <c r="A19" s="1733" t="s">
        <v>1340</v>
      </c>
      <c r="B19" s="1740"/>
      <c r="C19" s="1740"/>
      <c r="D19" s="1740"/>
      <c r="E19" s="1735" t="e">
        <f t="shared" si="0"/>
        <v>#DIV/0!</v>
      </c>
      <c r="F19" s="1735" t="e">
        <f t="shared" si="1"/>
        <v>#DIV/0!</v>
      </c>
      <c r="G19" s="1740"/>
      <c r="H19" s="1740"/>
      <c r="I19" s="1740"/>
    </row>
    <row r="20" spans="1:9" ht="16.5">
      <c r="A20" s="1733" t="s">
        <v>1339</v>
      </c>
      <c r="B20" s="1740"/>
      <c r="C20" s="1740"/>
      <c r="D20" s="1740"/>
      <c r="E20" s="1735" t="e">
        <f t="shared" si="0"/>
        <v>#DIV/0!</v>
      </c>
      <c r="F20" s="1735" t="e">
        <f t="shared" si="1"/>
        <v>#DIV/0!</v>
      </c>
      <c r="G20" s="1740"/>
      <c r="H20" s="1740"/>
      <c r="I20" s="1740"/>
    </row>
    <row r="21" spans="1:9" ht="16.5">
      <c r="A21" s="1733" t="s">
        <v>1338</v>
      </c>
      <c r="B21" s="1740"/>
      <c r="C21" s="1740"/>
      <c r="D21" s="1740"/>
      <c r="E21" s="1735" t="e">
        <f t="shared" si="0"/>
        <v>#DIV/0!</v>
      </c>
      <c r="F21" s="1735" t="e">
        <f t="shared" si="1"/>
        <v>#DIV/0!</v>
      </c>
      <c r="G21" s="1740"/>
      <c r="H21" s="1740"/>
      <c r="I21" s="1740"/>
    </row>
    <row r="22" spans="1:9" ht="16.5">
      <c r="A22" s="1733" t="s">
        <v>1337</v>
      </c>
      <c r="B22" s="1740"/>
      <c r="C22" s="1740"/>
      <c r="D22" s="1740"/>
      <c r="E22" s="1735" t="e">
        <f t="shared" si="0"/>
        <v>#DIV/0!</v>
      </c>
      <c r="F22" s="1735" t="e">
        <f t="shared" si="1"/>
        <v>#DIV/0!</v>
      </c>
      <c r="G22" s="1740"/>
      <c r="H22" s="1740"/>
      <c r="I22" s="1740"/>
    </row>
    <row r="23" spans="1:9" ht="16.5">
      <c r="A23" s="1733" t="s">
        <v>1336</v>
      </c>
      <c r="B23" s="1740"/>
      <c r="C23" s="1740"/>
      <c r="D23" s="1740"/>
      <c r="E23" s="1737" t="e">
        <f t="shared" si="0"/>
        <v>#DIV/0!</v>
      </c>
      <c r="F23" s="1737" t="e">
        <f t="shared" si="1"/>
        <v>#DIV/0!</v>
      </c>
      <c r="G23" s="1740"/>
      <c r="H23" s="1740"/>
      <c r="I23" s="1740"/>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12" zoomScaleNormal="100" zoomScaleSheetLayoutView="100" zoomScalePageLayoutView="80" workbookViewId="0">
      <selection activeCell="J118" sqref="J118"/>
    </sheetView>
  </sheetViews>
  <sheetFormatPr defaultColWidth="12.625" defaultRowHeight="21.75" customHeight="1"/>
  <cols>
    <col min="1" max="2" width="12.625" style="2406"/>
    <col min="3" max="4" width="12.625" style="2406" customWidth="1"/>
    <col min="5" max="9" width="12.625" style="2406"/>
    <col min="10" max="11" width="12.625" style="793" customWidth="1"/>
    <col min="12" max="12" width="12.625" style="793"/>
    <col min="13" max="13" width="14.125" style="793" bestFit="1" customWidth="1"/>
    <col min="14" max="26" width="12.625" style="793"/>
    <col min="27" max="35" width="12.625" style="2405"/>
    <col min="36" max="16384" width="12.625" style="2406"/>
  </cols>
  <sheetData>
    <row r="1" spans="1:12" ht="21.75" customHeight="1" thickBot="1">
      <c r="A1" s="2210" t="s">
        <v>2101</v>
      </c>
      <c r="B1" s="2400"/>
      <c r="C1" s="2401"/>
      <c r="D1" s="2400"/>
      <c r="E1" s="2400"/>
      <c r="F1" s="2402" t="s">
        <v>2102</v>
      </c>
      <c r="G1" s="2060" t="s">
        <v>2103</v>
      </c>
      <c r="H1" s="2403" t="str">
        <f>IF(G1="现房","——","估价对象范围")</f>
        <v>估价对象范围</v>
      </c>
      <c r="I1" s="2404"/>
    </row>
    <row r="2" spans="1:12" ht="21.75" customHeight="1" thickBot="1">
      <c r="A2" s="3270" t="str">
        <f>项目基本情况!S2</f>
        <v>北京市北京市顺义区高丽营镇于庄03-31号地块出让国有建设用地使用权及在建建筑物房地产</v>
      </c>
      <c r="B2" s="3271"/>
      <c r="C2" s="3271"/>
      <c r="D2" s="3271"/>
      <c r="E2" s="3271"/>
      <c r="F2" s="3271"/>
      <c r="G2" s="3271"/>
      <c r="H2" s="3271"/>
      <c r="I2" s="3272"/>
    </row>
    <row r="3" spans="1:12" ht="12.75">
      <c r="A3" s="3274" t="s">
        <v>2104</v>
      </c>
      <c r="B3" s="3275"/>
      <c r="C3" s="3275"/>
      <c r="D3" s="3275"/>
      <c r="E3" s="3275"/>
      <c r="F3" s="3275"/>
      <c r="G3" s="3275"/>
      <c r="H3" s="3275"/>
      <c r="I3" s="3275"/>
    </row>
    <row r="4" spans="1:12" ht="14.25">
      <c r="A4" s="2407" t="s">
        <v>2105</v>
      </c>
      <c r="B4" s="2408" t="s">
        <v>2106</v>
      </c>
      <c r="C4" s="2409" t="s">
        <v>4522</v>
      </c>
      <c r="D4" s="2409" t="s">
        <v>4523</v>
      </c>
      <c r="E4" s="3267" t="s">
        <v>2107</v>
      </c>
      <c r="F4" s="3268"/>
      <c r="G4" s="3268"/>
      <c r="H4" s="3268"/>
      <c r="I4" s="3276"/>
      <c r="K4" s="2410" t="str">
        <f>IF(ISNUMBER(FIND("比较法",结果表!C4)),"比较法",IF(ISNUMBER(FIND("成本法",结果表!C4)),"成本法",IF(ISNUMBER(FIND("假设开发法",结果表!C4)),"假设开发法",IF(ISNUMBER(FIND("收益法",结果表!C4)),"收益法","基准地价系数修正法"))))</f>
        <v>成本法</v>
      </c>
      <c r="L4" s="2410" t="str">
        <f>IF(ISNUMBER(FIND("比较法",结果表!D4)),"比较法",IF(ISNUMBER(FIND("成本法",结果表!D4)),"成本法",IF(ISNUMBER(FIND("假设开发法",结果表!D4)),"假设开发法",IF(ISNUMBER(FIND("收益法",结果表!D4)),"收益法","基准地价系数修正法"))))</f>
        <v>假设开发法</v>
      </c>
    </row>
    <row r="5" spans="1:12" ht="12.75">
      <c r="A5" s="3250" t="s">
        <v>2108</v>
      </c>
      <c r="B5" s="3168">
        <v>25</v>
      </c>
      <c r="C5" s="3253"/>
      <c r="D5" s="3273"/>
      <c r="E5" s="138" t="s">
        <v>2109</v>
      </c>
      <c r="F5" s="2411"/>
      <c r="G5" s="2411"/>
      <c r="H5" s="2411"/>
      <c r="I5" s="1825"/>
    </row>
    <row r="6" spans="1:12" ht="12.75">
      <c r="A6" s="3250"/>
      <c r="B6" s="3168"/>
      <c r="C6" s="3254"/>
      <c r="D6" s="3273"/>
      <c r="E6" s="138" t="s">
        <v>2110</v>
      </c>
      <c r="F6" s="2411"/>
      <c r="G6" s="2411"/>
      <c r="H6" s="2411"/>
      <c r="I6" s="1825"/>
    </row>
    <row r="7" spans="1:12" ht="12.75">
      <c r="A7" s="3250"/>
      <c r="B7" s="3168"/>
      <c r="C7" s="3255"/>
      <c r="D7" s="3273"/>
      <c r="E7" s="138" t="s">
        <v>2111</v>
      </c>
      <c r="F7" s="2411"/>
      <c r="G7" s="2411"/>
      <c r="H7" s="2411"/>
      <c r="I7" s="1825"/>
    </row>
    <row r="8" spans="1:12" ht="12.75">
      <c r="A8" s="3250" t="s">
        <v>2112</v>
      </c>
      <c r="B8" s="3168">
        <v>15</v>
      </c>
      <c r="C8" s="3253"/>
      <c r="D8" s="3273"/>
      <c r="E8" s="138" t="s">
        <v>2113</v>
      </c>
      <c r="F8" s="2411"/>
      <c r="G8" s="2411"/>
      <c r="H8" s="2411"/>
      <c r="I8" s="1825"/>
    </row>
    <row r="9" spans="1:12" ht="12.75">
      <c r="A9" s="3250"/>
      <c r="B9" s="3168"/>
      <c r="C9" s="3255"/>
      <c r="D9" s="3273"/>
      <c r="E9" s="138" t="s">
        <v>2114</v>
      </c>
      <c r="F9" s="2411"/>
      <c r="G9" s="2411"/>
      <c r="H9" s="2411"/>
      <c r="I9" s="1825"/>
    </row>
    <row r="10" spans="1:12" ht="12.75">
      <c r="A10" s="3250" t="s">
        <v>2115</v>
      </c>
      <c r="B10" s="3168">
        <v>15</v>
      </c>
      <c r="C10" s="3253"/>
      <c r="D10" s="3273"/>
      <c r="E10" s="138" t="s">
        <v>2116</v>
      </c>
      <c r="F10" s="2411"/>
      <c r="G10" s="2411"/>
      <c r="H10" s="2411"/>
      <c r="I10" s="1825"/>
    </row>
    <row r="11" spans="1:12" ht="12.75">
      <c r="A11" s="3250"/>
      <c r="B11" s="3168"/>
      <c r="C11" s="3255"/>
      <c r="D11" s="3273"/>
      <c r="E11" s="138" t="s">
        <v>2117</v>
      </c>
      <c r="F11" s="2411"/>
      <c r="G11" s="2411"/>
      <c r="H11" s="2411"/>
      <c r="I11" s="1825"/>
    </row>
    <row r="12" spans="1:12" ht="12.75">
      <c r="A12" s="3250" t="s">
        <v>2118</v>
      </c>
      <c r="B12" s="3168">
        <v>15</v>
      </c>
      <c r="C12" s="3253"/>
      <c r="D12" s="3273"/>
      <c r="E12" s="138" t="s">
        <v>2119</v>
      </c>
      <c r="F12" s="2411"/>
      <c r="G12" s="2411"/>
      <c r="H12" s="2411"/>
      <c r="I12" s="1825"/>
    </row>
    <row r="13" spans="1:12" ht="12.75">
      <c r="A13" s="3250"/>
      <c r="B13" s="3168"/>
      <c r="C13" s="3255"/>
      <c r="D13" s="3273"/>
      <c r="E13" s="138" t="s">
        <v>2120</v>
      </c>
      <c r="F13" s="2411"/>
      <c r="G13" s="2411"/>
      <c r="H13" s="2411"/>
      <c r="I13" s="1825"/>
    </row>
    <row r="14" spans="1:12" ht="12.75">
      <c r="A14" s="3250" t="s">
        <v>2121</v>
      </c>
      <c r="B14" s="3168">
        <v>30</v>
      </c>
      <c r="C14" s="3253">
        <v>5</v>
      </c>
      <c r="D14" s="3273">
        <v>5</v>
      </c>
      <c r="E14" s="138" t="s">
        <v>2122</v>
      </c>
      <c r="F14" s="2411"/>
      <c r="G14" s="2411"/>
      <c r="H14" s="2411"/>
      <c r="I14" s="1825"/>
    </row>
    <row r="15" spans="1:12" ht="12.75">
      <c r="A15" s="3250"/>
      <c r="B15" s="3168"/>
      <c r="C15" s="3254"/>
      <c r="D15" s="3273"/>
      <c r="E15" s="138" t="s">
        <v>2123</v>
      </c>
      <c r="F15" s="2411"/>
      <c r="G15" s="2411"/>
      <c r="H15" s="2411"/>
      <c r="I15" s="1825"/>
    </row>
    <row r="16" spans="1:12" ht="12.75">
      <c r="A16" s="3250"/>
      <c r="B16" s="3168"/>
      <c r="C16" s="3255"/>
      <c r="D16" s="3273"/>
      <c r="E16" s="138" t="s">
        <v>2124</v>
      </c>
      <c r="F16" s="2411"/>
      <c r="G16" s="2411"/>
      <c r="H16" s="2411"/>
      <c r="I16" s="1825"/>
    </row>
    <row r="17" spans="1:35" ht="15">
      <c r="A17" s="2412" t="s">
        <v>2125</v>
      </c>
      <c r="B17" s="63"/>
      <c r="C17" s="139">
        <f>SUM(C5:C16)</f>
        <v>5</v>
      </c>
      <c r="D17" s="139">
        <f>SUM(D5:D16)</f>
        <v>5</v>
      </c>
      <c r="E17" s="136"/>
      <c r="F17" s="136"/>
      <c r="G17" s="136"/>
      <c r="H17" s="136"/>
      <c r="I17" s="136"/>
      <c r="K17" s="2410"/>
      <c r="L17" s="2413" t="s">
        <v>2126</v>
      </c>
      <c r="M17" s="2413" t="s">
        <v>2127</v>
      </c>
    </row>
    <row r="18" spans="1:35" ht="15.75" thickBot="1">
      <c r="A18" s="2414" t="s">
        <v>2128</v>
      </c>
      <c r="B18" s="2415"/>
      <c r="C18" s="140">
        <f>ROUND(C17/SUM(C17:D17),2)</f>
        <v>0.5</v>
      </c>
      <c r="D18" s="140">
        <f>1-C18</f>
        <v>0.5</v>
      </c>
      <c r="E18" s="136"/>
      <c r="F18" s="136"/>
      <c r="G18" s="136"/>
      <c r="H18" s="136"/>
      <c r="I18" s="136"/>
      <c r="K18" s="2410" t="s">
        <v>2129</v>
      </c>
      <c r="L18" s="2410">
        <f>IF(C1="",'数据-汇总表'!E3,SUMIF(项目类型,C1,'数据-汇总表'!E17:E26)+SUMIF(项目类型,C1,'数据-汇总表'!I17:I26))</f>
        <v>149246.95000000001</v>
      </c>
      <c r="M18" s="2410">
        <f>IF(C1="",'数据-汇总表'!E3,SUMIF(项目类型,C1,'数据-汇总表'!E17:E26))</f>
        <v>149246.95000000001</v>
      </c>
    </row>
    <row r="19" spans="1:35" ht="15">
      <c r="A19" s="2416" t="s">
        <v>2130</v>
      </c>
      <c r="B19" s="2417" t="s">
        <v>2131</v>
      </c>
      <c r="C19" s="141">
        <f ca="1">SUMIF(INDIRECT("'"&amp;C4&amp;"'"&amp;"!A:A"),结果表!B19,INDIRECT("'"&amp;C4&amp;"'"&amp;"!B:B"))</f>
        <v>452001</v>
      </c>
      <c r="D19" s="142">
        <f ca="1">SUMIF(INDIRECT("'"&amp;D4&amp;"'"&amp;"!A:A"),结果表!B19,INDIRECT("'"&amp;D4&amp;"'"&amp;"!B:B"))</f>
        <v>333220</v>
      </c>
      <c r="E19" s="2416" t="s">
        <v>2132</v>
      </c>
      <c r="F19" s="2417" t="s">
        <v>2131</v>
      </c>
      <c r="G19" s="143">
        <f ca="1">ROUND(C19*$C$18+D19*$D$18,0)</f>
        <v>392611</v>
      </c>
      <c r="H19" s="2418" t="s">
        <v>2133</v>
      </c>
      <c r="I19" s="136"/>
      <c r="K19" s="2410" t="s">
        <v>2134</v>
      </c>
      <c r="L19" s="2410">
        <f>IF(C1="",'数据-汇总表'!D3,SUMIF(项目类型,C1,'数据-汇总表'!D17:D26)+SUMIF(项目类型,C1,'数据-汇总表'!H17:H27))</f>
        <v>59319.7</v>
      </c>
      <c r="M19" s="2410">
        <f>IF(C1="",'数据-汇总表'!D3,SUMIF(项目类型,C1,'数据-汇总表'!D17:D26))</f>
        <v>59319.7</v>
      </c>
    </row>
    <row r="20" spans="1:35" ht="15">
      <c r="A20" s="2419"/>
      <c r="B20" s="1243" t="s">
        <v>2135</v>
      </c>
      <c r="C20" s="144">
        <f ca="1">SUMIF(INDIRECT("'"&amp;C4&amp;"'"&amp;"!A:A"),结果表!B20,INDIRECT("'"&amp;C4&amp;"'"&amp;"!B:B"))</f>
        <v>30285</v>
      </c>
      <c r="D20" s="145">
        <f ca="1">SUMIF(INDIRECT("'"&amp;D4&amp;"'"&amp;"!A:A"),结果表!B20,INDIRECT("'"&amp;D4&amp;"'"&amp;"!B:B"))</f>
        <v>22327</v>
      </c>
      <c r="E20" s="2419"/>
      <c r="F20" s="1243" t="s">
        <v>2135</v>
      </c>
      <c r="G20" s="146">
        <f ca="1">ROUND(C20*$C$18+D20*$D$18,0)</f>
        <v>26306</v>
      </c>
      <c r="H20" s="978" t="s">
        <v>2136</v>
      </c>
      <c r="I20" s="136"/>
    </row>
    <row r="21" spans="1:35" ht="15" customHeight="1" thickBot="1">
      <c r="A21" s="997"/>
      <c r="B21" s="2420" t="s">
        <v>2137</v>
      </c>
      <c r="C21" s="787">
        <f ca="1">ROUND(C19*10000/L19,0)</f>
        <v>76197</v>
      </c>
      <c r="D21" s="788">
        <f ca="1">ROUND(D19*10000/L19,0)</f>
        <v>56174</v>
      </c>
      <c r="E21" s="997"/>
      <c r="F21" s="2420" t="s">
        <v>2137</v>
      </c>
      <c r="G21" s="147">
        <f ca="1">ROUND(G19*10000/L19,0)</f>
        <v>66186</v>
      </c>
      <c r="H21" s="2421" t="s">
        <v>2136</v>
      </c>
      <c r="I21" s="136"/>
    </row>
    <row r="22" spans="1:35" ht="15" thickBot="1">
      <c r="A22" s="2266" t="s">
        <v>2138</v>
      </c>
      <c r="B22" s="2422"/>
      <c r="C22" s="2423"/>
      <c r="D22" s="789">
        <f ca="1">IF(C19&lt;D19,D19/C19-1,C19/D19-1)</f>
        <v>0.35646419782726135</v>
      </c>
      <c r="E22" s="136"/>
      <c r="F22" s="136"/>
      <c r="G22" s="136"/>
      <c r="H22" s="136"/>
      <c r="I22" s="136"/>
    </row>
    <row r="23" spans="1:35" ht="13.5" thickBot="1">
      <c r="A23" s="2400"/>
      <c r="B23" s="2400"/>
      <c r="C23" s="2400"/>
      <c r="D23" s="2400"/>
      <c r="E23" s="136"/>
      <c r="F23" s="136"/>
      <c r="G23" s="136"/>
      <c r="H23" s="136"/>
      <c r="I23" s="136"/>
    </row>
    <row r="24" spans="1:35" ht="14.25">
      <c r="A24" s="3244" t="s">
        <v>2139</v>
      </c>
      <c r="B24" s="2417" t="s">
        <v>2131</v>
      </c>
      <c r="C24" s="143">
        <f>IF(B30=0,0,D30)</f>
        <v>0</v>
      </c>
      <c r="D24" s="2424"/>
      <c r="E24" s="136"/>
      <c r="F24" s="136"/>
      <c r="G24" s="136"/>
      <c r="H24" s="136"/>
      <c r="I24" s="136"/>
    </row>
    <row r="25" spans="1:35" ht="14.25">
      <c r="A25" s="3245"/>
      <c r="B25" s="1243" t="s">
        <v>2135</v>
      </c>
      <c r="C25" s="148">
        <f>IF(B30=0,0,C30)</f>
        <v>0</v>
      </c>
      <c r="D25" s="2425"/>
      <c r="E25" s="136"/>
      <c r="F25" s="136"/>
      <c r="G25" s="136"/>
      <c r="H25" s="136"/>
      <c r="I25" s="136"/>
    </row>
    <row r="26" spans="1:35" ht="13.5" customHeight="1">
      <c r="A26" s="2426" t="s">
        <v>2140</v>
      </c>
      <c r="B26" s="149" t="s">
        <v>2141</v>
      </c>
      <c r="C26" s="149" t="s">
        <v>2142</v>
      </c>
      <c r="D26" s="150" t="s">
        <v>2143</v>
      </c>
      <c r="E26" s="136"/>
      <c r="F26" s="136"/>
      <c r="G26" s="136"/>
      <c r="H26" s="136"/>
      <c r="I26" s="136"/>
    </row>
    <row r="27" spans="1:35" ht="14.25">
      <c r="A27" s="2426"/>
      <c r="B27" s="149">
        <v>0</v>
      </c>
      <c r="C27" s="149">
        <v>0</v>
      </c>
      <c r="D27" s="150">
        <f>ROUND(C27*B27/10000,0)</f>
        <v>0</v>
      </c>
      <c r="E27" s="136"/>
      <c r="F27" s="136"/>
      <c r="G27" s="136"/>
      <c r="H27" s="136"/>
      <c r="I27" s="136"/>
    </row>
    <row r="28" spans="1:35" ht="14.25">
      <c r="A28" s="2426"/>
      <c r="B28" s="149"/>
      <c r="C28" s="149"/>
      <c r="D28" s="150"/>
      <c r="E28" s="136"/>
      <c r="F28" s="136"/>
      <c r="G28" s="136"/>
      <c r="H28" s="136"/>
      <c r="I28" s="136"/>
    </row>
    <row r="29" spans="1:35" ht="14.25">
      <c r="A29" s="2426"/>
      <c r="B29" s="149"/>
      <c r="C29" s="149"/>
      <c r="D29" s="150"/>
      <c r="E29" s="136"/>
      <c r="F29" s="136"/>
      <c r="G29" s="136"/>
      <c r="H29" s="136"/>
      <c r="I29" s="136"/>
    </row>
    <row r="30" spans="1:35" ht="14.25">
      <c r="A30" s="149" t="s">
        <v>2144</v>
      </c>
      <c r="B30" s="149"/>
      <c r="C30" s="149"/>
      <c r="D30" s="149"/>
      <c r="E30" s="2899" t="s">
        <v>3016</v>
      </c>
      <c r="F30" s="136"/>
      <c r="G30" s="136"/>
      <c r="H30" s="136"/>
      <c r="I30" s="136"/>
    </row>
    <row r="31" spans="1:35" s="2428" customFormat="1" ht="15" thickBot="1">
      <c r="A31" s="2427"/>
      <c r="B31" s="2427"/>
      <c r="C31" s="2427"/>
      <c r="D31" s="2427"/>
      <c r="E31" s="136"/>
      <c r="F31" s="136"/>
      <c r="G31" s="136"/>
      <c r="H31" s="136"/>
      <c r="I31" s="136"/>
      <c r="J31" s="793"/>
      <c r="K31" s="793"/>
      <c r="L31" s="793"/>
      <c r="M31" s="793"/>
      <c r="N31" s="793"/>
      <c r="O31" s="793"/>
      <c r="P31" s="793"/>
      <c r="Q31" s="793"/>
      <c r="R31" s="793"/>
      <c r="S31" s="793"/>
      <c r="T31" s="793"/>
      <c r="U31" s="793"/>
      <c r="V31" s="793"/>
      <c r="W31" s="793"/>
      <c r="X31" s="793"/>
      <c r="Y31" s="793"/>
      <c r="Z31" s="793"/>
      <c r="AA31" s="2405"/>
      <c r="AB31" s="2405"/>
      <c r="AC31" s="2405"/>
      <c r="AD31" s="2405"/>
      <c r="AE31" s="2405"/>
      <c r="AF31" s="2405"/>
      <c r="AG31" s="2405"/>
      <c r="AH31" s="2405"/>
      <c r="AI31" s="2405"/>
    </row>
    <row r="32" spans="1:35" ht="15.75" thickBot="1">
      <c r="A32" s="2429" t="s">
        <v>2145</v>
      </c>
      <c r="B32" s="2430"/>
      <c r="C32" s="151">
        <f ca="1">IF(D32="总价",G19-C24,G20-C25)</f>
        <v>392611</v>
      </c>
      <c r="D32" s="2431" t="s">
        <v>2146</v>
      </c>
      <c r="E32" s="136"/>
      <c r="F32" s="136"/>
      <c r="G32" s="136"/>
      <c r="H32" s="136"/>
      <c r="I32" s="136"/>
    </row>
    <row r="33" spans="1:15" ht="15">
      <c r="A33" s="955" t="s">
        <v>2147</v>
      </c>
      <c r="B33" s="2432"/>
      <c r="C33" s="2433" t="s">
        <v>4739</v>
      </c>
      <c r="D33" s="2434" t="s">
        <v>4522</v>
      </c>
      <c r="E33" s="2435" t="s">
        <v>2148</v>
      </c>
      <c r="F33" s="2436" t="str">
        <f>IF(D32="楼面单价","取值（单价）","取值（总价）")</f>
        <v>取值（总价）</v>
      </c>
      <c r="G33" s="136"/>
      <c r="H33" s="136"/>
      <c r="I33" s="136"/>
    </row>
    <row r="34" spans="1:15" ht="15">
      <c r="A34" s="2437"/>
      <c r="B34" s="2438" t="s">
        <v>2149</v>
      </c>
      <c r="C34" s="155">
        <f ca="1">IF(C33="自定义",F34,C32-C35)</f>
        <v>360417</v>
      </c>
      <c r="D34" s="1051">
        <f ca="1">IF(C33="自定义",ROUND(C34/C32,3),IF(C33="收益比率",SUMIF(INDIRECT("'"&amp;D33&amp;"'"&amp;"!b:b"),"土地收益比率",INDIRECT("'"&amp;D33&amp;"'"&amp;"!c:c")),SUMIF(INDIRECT("'"&amp;D33&amp;"'"&amp;"!b:b"),"土地成本比率",INDIRECT("'"&amp;D33&amp;"'"&amp;"!c:c"))))</f>
        <v>0.91800000000000004</v>
      </c>
      <c r="E34" s="2439" t="s">
        <v>2150</v>
      </c>
      <c r="F34" s="1730"/>
      <c r="G34" s="136"/>
      <c r="H34" s="136"/>
      <c r="I34" s="136"/>
      <c r="J34" s="793">
        <f>37171/452001</f>
        <v>8.2236543724460792E-2</v>
      </c>
    </row>
    <row r="35" spans="1:15" ht="15.75" thickBot="1">
      <c r="A35" s="2440"/>
      <c r="B35" s="2441" t="s">
        <v>2151</v>
      </c>
      <c r="C35" s="1437">
        <f ca="1">IF(C33="自定义",F35,ROUND(C32*D35,0))</f>
        <v>32194</v>
      </c>
      <c r="D35" s="1438">
        <f ca="1">IF(C33="自定义",ROUND(C35/C32,3),IF(C33="收益比率",SUMIF(INDIRECT("'"&amp;D33&amp;"'"&amp;"!b:b"),"建筑物收益比率",INDIRECT("'"&amp;D33&amp;"'"&amp;"!c:c")),SUMIF(INDIRECT("'"&amp;D33&amp;"'"&amp;"!b:b"),"建筑物成本比率",INDIRECT("'"&amp;D33&amp;"'"&amp;"!c:c"))))</f>
        <v>8.2000000000000003E-2</v>
      </c>
      <c r="E35" s="2442" t="s">
        <v>2152</v>
      </c>
      <c r="F35" s="161"/>
      <c r="G35" s="136"/>
      <c r="H35" s="136"/>
      <c r="I35" s="136"/>
    </row>
    <row r="36" spans="1:15" ht="15.75" thickBot="1">
      <c r="A36" s="3262" t="s">
        <v>2153</v>
      </c>
      <c r="B36" s="2443" t="s">
        <v>2154</v>
      </c>
      <c r="C36" s="152"/>
      <c r="D36" s="2444"/>
      <c r="E36" s="2445"/>
      <c r="F36" s="2446"/>
      <c r="G36" s="136"/>
      <c r="H36" s="136"/>
      <c r="I36" s="136"/>
    </row>
    <row r="37" spans="1:15" ht="15.75" thickBot="1">
      <c r="A37" s="3263"/>
      <c r="B37" s="2252" t="s">
        <v>2155</v>
      </c>
      <c r="C37" s="154"/>
      <c r="D37" s="1388"/>
      <c r="E37" s="1388"/>
      <c r="F37" s="2446"/>
      <c r="G37" s="136"/>
      <c r="H37" s="136"/>
      <c r="I37" s="136"/>
    </row>
    <row r="38" spans="1:15" ht="15.75" thickBot="1">
      <c r="A38" s="3264"/>
      <c r="B38" s="2447" t="s">
        <v>2156</v>
      </c>
      <c r="C38" s="725"/>
      <c r="D38" s="2448" t="s">
        <v>2157</v>
      </c>
      <c r="E38" s="1388"/>
      <c r="F38" s="2446"/>
      <c r="G38" s="136"/>
      <c r="H38" s="136"/>
      <c r="I38" s="136"/>
    </row>
    <row r="39" spans="1:15" ht="15">
      <c r="A39" s="2419" t="s">
        <v>2158</v>
      </c>
      <c r="B39" s="2449" t="s">
        <v>2159</v>
      </c>
      <c r="C39" s="2450" t="s">
        <v>2160</v>
      </c>
      <c r="D39" s="2450" t="s">
        <v>2161</v>
      </c>
      <c r="E39" s="2451" t="s">
        <v>2162</v>
      </c>
      <c r="F39" s="2446"/>
      <c r="G39" s="136"/>
      <c r="H39" s="136"/>
      <c r="I39" s="136"/>
    </row>
    <row r="40" spans="1:15" ht="14.25">
      <c r="A40" s="2452" t="s">
        <v>2163</v>
      </c>
      <c r="B40" s="156"/>
      <c r="C40" s="157"/>
      <c r="D40" s="157"/>
      <c r="E40" s="158"/>
      <c r="F40" s="2446"/>
      <c r="G40" s="136"/>
      <c r="H40" s="136"/>
      <c r="I40" s="136"/>
    </row>
    <row r="41" spans="1:15" ht="14.25">
      <c r="A41" s="2452" t="s">
        <v>2164</v>
      </c>
      <c r="B41" s="156"/>
      <c r="C41" s="157"/>
      <c r="D41" s="157"/>
      <c r="E41" s="158"/>
      <c r="F41" s="2446"/>
      <c r="G41" s="136"/>
      <c r="H41" s="136"/>
      <c r="I41" s="136"/>
    </row>
    <row r="42" spans="1:15" ht="15" thickBot="1">
      <c r="A42" s="2453"/>
      <c r="B42" s="159"/>
      <c r="C42" s="160"/>
      <c r="D42" s="160"/>
      <c r="E42" s="161"/>
      <c r="F42" s="2446"/>
      <c r="G42" s="136"/>
      <c r="H42" s="136"/>
      <c r="I42" s="136"/>
    </row>
    <row r="43" spans="1:15" ht="12.75">
      <c r="A43" s="2150"/>
      <c r="B43" s="2150"/>
      <c r="C43" s="2150"/>
      <c r="D43" s="2150"/>
      <c r="E43" s="2150"/>
      <c r="F43" s="2454"/>
      <c r="G43" s="2454"/>
      <c r="H43" s="2454"/>
      <c r="I43" s="2455"/>
    </row>
    <row r="44" spans="1:15" ht="18.75">
      <c r="A44" s="2456" t="s">
        <v>2165</v>
      </c>
      <c r="B44" s="2457"/>
      <c r="C44" s="2457"/>
      <c r="D44" s="2458"/>
      <c r="E44" s="2458"/>
      <c r="F44" s="2459"/>
      <c r="G44" s="2459"/>
      <c r="H44" s="2459"/>
      <c r="I44" s="2459"/>
      <c r="J44" s="2460" t="s">
        <v>2166</v>
      </c>
      <c r="K44" s="2461"/>
      <c r="L44" s="2461"/>
      <c r="M44" s="2461"/>
      <c r="N44" s="2461"/>
      <c r="O44" s="2461"/>
    </row>
    <row r="45" spans="1:15" ht="14.25" customHeight="1" thickBot="1">
      <c r="A45" s="3241" t="s">
        <v>2167</v>
      </c>
      <c r="B45" s="3242"/>
      <c r="C45" s="3243"/>
      <c r="D45" s="162">
        <f ca="1">ROUND(H101*F45,0)</f>
        <v>392611</v>
      </c>
      <c r="E45" s="163" t="s">
        <v>2168</v>
      </c>
      <c r="F45" s="164">
        <v>1</v>
      </c>
      <c r="G45" s="165" t="s">
        <v>2169</v>
      </c>
      <c r="H45" s="136"/>
      <c r="I45" s="136"/>
      <c r="J45" s="3301" t="s">
        <v>2170</v>
      </c>
      <c r="K45" s="3301"/>
      <c r="L45" s="3301"/>
      <c r="M45" s="3301"/>
      <c r="N45" s="3301"/>
      <c r="O45" s="3301"/>
    </row>
    <row r="46" spans="1:15" ht="14.25" customHeight="1">
      <c r="A46" s="3238" t="s">
        <v>2171</v>
      </c>
      <c r="B46" s="3239"/>
      <c r="C46" s="3239"/>
      <c r="D46" s="3239"/>
      <c r="E46" s="3239"/>
      <c r="F46" s="3239"/>
      <c r="G46" s="3240"/>
      <c r="H46" s="2462"/>
      <c r="I46" s="166"/>
      <c r="J46" s="1803">
        <v>1</v>
      </c>
      <c r="K46" s="3301" t="s">
        <v>2172</v>
      </c>
      <c r="L46" s="3301"/>
      <c r="M46" s="3321"/>
      <c r="N46" s="3321"/>
      <c r="O46" s="3321"/>
    </row>
    <row r="47" spans="1:15" ht="12" customHeight="1">
      <c r="A47" s="167" t="s">
        <v>2173</v>
      </c>
      <c r="B47" s="168"/>
      <c r="C47" s="169"/>
      <c r="D47" s="170" t="s">
        <v>2174</v>
      </c>
      <c r="E47" s="24" t="s">
        <v>2175</v>
      </c>
      <c r="F47" s="171" t="s">
        <v>2176</v>
      </c>
      <c r="G47" s="172" t="s">
        <v>2177</v>
      </c>
      <c r="H47" s="2462"/>
      <c r="I47" s="166"/>
      <c r="J47" s="1803">
        <v>2</v>
      </c>
      <c r="K47" s="3301" t="s">
        <v>2178</v>
      </c>
      <c r="L47" s="3301"/>
      <c r="M47" s="3322">
        <f>'数据-取费表'!B2</f>
        <v>43878</v>
      </c>
      <c r="N47" s="3322"/>
      <c r="O47" s="3322"/>
    </row>
    <row r="48" spans="1:15" ht="25.5">
      <c r="A48" s="3269" t="s">
        <v>2179</v>
      </c>
      <c r="B48" s="3252"/>
      <c r="C48" s="3252"/>
      <c r="D48" s="138">
        <f>IF(H48="情况1",0,IF(H48="情况2",D52,IF(H48="情况3",D53,IF(H48="情况4",D54))))</f>
        <v>0</v>
      </c>
      <c r="E48" s="1792" t="str">
        <f>IF(H48="情况4","(销售额-原购置价)×税（费）率","销售额×税（费）率")</f>
        <v>销售额×税（费）率</v>
      </c>
      <c r="F48" s="173" t="str">
        <f>IF(H48="情况1","免征",'数据-取费表'!B41)</f>
        <v>免征</v>
      </c>
      <c r="G48" s="2463" t="s">
        <v>2180</v>
      </c>
      <c r="H48" s="2464" t="s">
        <v>2181</v>
      </c>
      <c r="I48" s="2462"/>
      <c r="J48" s="1803">
        <v>3</v>
      </c>
      <c r="K48" s="3301" t="s">
        <v>2182</v>
      </c>
      <c r="L48" s="3301"/>
      <c r="M48" s="3323">
        <f ca="1">H101</f>
        <v>392611</v>
      </c>
      <c r="N48" s="3323"/>
      <c r="O48" s="3323"/>
    </row>
    <row r="49" spans="1:35" ht="25.5" customHeight="1">
      <c r="A49" s="174" t="s">
        <v>2183</v>
      </c>
      <c r="B49" s="3237" t="s">
        <v>2184</v>
      </c>
      <c r="C49" s="3237"/>
      <c r="D49" s="175">
        <v>0</v>
      </c>
      <c r="E49" s="23" t="s">
        <v>2185</v>
      </c>
      <c r="F49" s="28" t="s">
        <v>34</v>
      </c>
      <c r="G49" s="3307"/>
      <c r="H49" s="136"/>
      <c r="I49" s="2465"/>
      <c r="J49" s="1803">
        <v>4</v>
      </c>
      <c r="K49" s="3301" t="str">
        <f>IF(项目基本情况!E8="房地产抵押价值","房地产抵押价值","抵押担保权已注销时的房地产抵押价值")</f>
        <v>抵押担保权已注销时的房地产抵押价值</v>
      </c>
      <c r="L49" s="3301"/>
      <c r="M49" s="3323">
        <f ca="1">IF(项目基本情况!E8="房地产抵押价值",H107,H109)</f>
        <v>392611</v>
      </c>
      <c r="N49" s="3323"/>
      <c r="O49" s="3323"/>
    </row>
    <row r="50" spans="1:35" ht="25.5" customHeight="1">
      <c r="A50" s="176"/>
      <c r="B50" s="3237" t="s">
        <v>2186</v>
      </c>
      <c r="C50" s="3237"/>
      <c r="D50" s="177"/>
      <c r="E50" s="31"/>
      <c r="F50" s="178"/>
      <c r="G50" s="3308"/>
      <c r="H50" s="136"/>
      <c r="I50" s="2465"/>
      <c r="J50" s="3301" t="s">
        <v>2187</v>
      </c>
      <c r="K50" s="3301"/>
      <c r="L50" s="3301"/>
      <c r="M50" s="3301"/>
      <c r="N50" s="3301"/>
      <c r="O50" s="3301"/>
    </row>
    <row r="51" spans="1:35" ht="12" customHeight="1">
      <c r="A51" s="179"/>
      <c r="B51" s="3237" t="s">
        <v>2188</v>
      </c>
      <c r="C51" s="3237"/>
      <c r="D51" s="180"/>
      <c r="E51" s="30"/>
      <c r="F51" s="178"/>
      <c r="G51" s="3309"/>
      <c r="H51" s="136"/>
      <c r="I51" s="2465"/>
      <c r="J51" s="2466" t="s">
        <v>2189</v>
      </c>
      <c r="K51" s="3301" t="s">
        <v>2190</v>
      </c>
      <c r="L51" s="3301"/>
      <c r="M51" s="2466" t="s">
        <v>2191</v>
      </c>
      <c r="N51" s="2466" t="s">
        <v>2192</v>
      </c>
      <c r="O51" s="2466" t="s">
        <v>2193</v>
      </c>
    </row>
    <row r="52" spans="1:35" ht="24" customHeight="1">
      <c r="A52" s="181" t="s">
        <v>2194</v>
      </c>
      <c r="B52" s="3237" t="s">
        <v>2195</v>
      </c>
      <c r="C52" s="3237"/>
      <c r="D52" s="180">
        <f ca="1">ROUND(D45*'数据-取费表'!B41/(1+'数据-取费表'!C42),0)</f>
        <v>20565</v>
      </c>
      <c r="E52" s="11" t="s">
        <v>2196</v>
      </c>
      <c r="F52" s="182">
        <f>'数据-取费表'!B41</f>
        <v>5.5000000000000007E-2</v>
      </c>
      <c r="G52" s="2467"/>
      <c r="H52" s="136"/>
      <c r="I52" s="2465"/>
      <c r="J52" s="1803">
        <v>1</v>
      </c>
      <c r="K52" s="3302" t="s">
        <v>2197</v>
      </c>
      <c r="L52" s="3302"/>
      <c r="M52" s="1745">
        <f>D48</f>
        <v>0</v>
      </c>
      <c r="N52" s="1803" t="str">
        <f>E48</f>
        <v>销售额×税（费）率</v>
      </c>
      <c r="O52" s="1746" t="str">
        <f>F48</f>
        <v>免征</v>
      </c>
    </row>
    <row r="53" spans="1:35" ht="12" customHeight="1">
      <c r="A53" s="181" t="s">
        <v>2198</v>
      </c>
      <c r="B53" s="3260" t="s">
        <v>2199</v>
      </c>
      <c r="C53" s="3261"/>
      <c r="D53" s="180">
        <f ca="1">ROUND(D45*'数据-取费表'!B41/(1+'数据-取费表'!C42),0)</f>
        <v>20565</v>
      </c>
      <c r="E53" s="11" t="s">
        <v>2196</v>
      </c>
      <c r="F53" s="182">
        <f>'数据-取费表'!B41</f>
        <v>5.5000000000000007E-2</v>
      </c>
      <c r="G53" s="2467"/>
      <c r="H53" s="136"/>
      <c r="I53" s="2465"/>
      <c r="J53" s="1803">
        <v>2</v>
      </c>
      <c r="K53" s="3302" t="s">
        <v>2200</v>
      </c>
      <c r="L53" s="3302"/>
      <c r="M53" s="1745">
        <f t="shared" ref="M53:O54" ca="1" si="0">D55</f>
        <v>196</v>
      </c>
      <c r="N53" s="1803" t="str">
        <f t="shared" si="0"/>
        <v>销售额×税（费）率</v>
      </c>
      <c r="O53" s="1746">
        <f t="shared" si="0"/>
        <v>5.0000000000000001E-4</v>
      </c>
    </row>
    <row r="54" spans="1:35" ht="12" customHeight="1">
      <c r="A54" s="181" t="s">
        <v>2201</v>
      </c>
      <c r="B54" s="3260" t="s">
        <v>2202</v>
      </c>
      <c r="C54" s="3261"/>
      <c r="D54" s="180">
        <f ca="1">C68</f>
        <v>20565</v>
      </c>
      <c r="E54" s="30" t="s">
        <v>2203</v>
      </c>
      <c r="F54" s="182">
        <f>'数据-取费表'!B41</f>
        <v>5.5000000000000007E-2</v>
      </c>
      <c r="G54" s="2467"/>
      <c r="H54" s="2468"/>
      <c r="I54" s="2465"/>
      <c r="J54" s="1803">
        <v>3</v>
      </c>
      <c r="K54" s="3302" t="s">
        <v>2204</v>
      </c>
      <c r="L54" s="3302"/>
      <c r="M54" s="1745">
        <f t="shared" ca="1" si="0"/>
        <v>222573</v>
      </c>
      <c r="N54" s="1803" t="str">
        <f t="shared" si="0"/>
        <v>增值额×税（费）率</v>
      </c>
      <c r="O54" s="1747" t="str">
        <f t="shared" si="0"/>
        <v>——</v>
      </c>
    </row>
    <row r="55" spans="1:35" ht="24" customHeight="1">
      <c r="A55" s="3251" t="s">
        <v>2205</v>
      </c>
      <c r="B55" s="3252"/>
      <c r="C55" s="3252"/>
      <c r="D55" s="183">
        <f ca="1">IF(H55="个人住宅",0,ROUND(D45*I55,0))</f>
        <v>196</v>
      </c>
      <c r="E55" s="11" t="s">
        <v>2206</v>
      </c>
      <c r="F55" s="182">
        <f>IF(H55="正常",I55,"免征")</f>
        <v>5.0000000000000001E-4</v>
      </c>
      <c r="G55" s="2467"/>
      <c r="H55" s="2464" t="s">
        <v>2207</v>
      </c>
      <c r="I55" s="184">
        <f>'数据-取费表'!B49</f>
        <v>5.0000000000000001E-4</v>
      </c>
      <c r="J55" s="1803" t="str">
        <f>IF(H59="非个人房产","",4)</f>
        <v/>
      </c>
      <c r="K55" s="3302" t="str">
        <f>IF(H59="非个人房产","——","个人所得税")</f>
        <v>——</v>
      </c>
      <c r="L55" s="3302"/>
      <c r="M55" s="1748" t="str">
        <f>D59</f>
        <v>——</v>
      </c>
      <c r="N55" s="1801" t="str">
        <f>E59</f>
        <v>——</v>
      </c>
      <c r="O55" s="1749" t="str">
        <f>F59</f>
        <v>——</v>
      </c>
    </row>
    <row r="56" spans="1:35" ht="24.75">
      <c r="A56" s="3251" t="s">
        <v>2208</v>
      </c>
      <c r="B56" s="3252"/>
      <c r="C56" s="3252"/>
      <c r="D56" s="183">
        <f ca="1">IF(H56="个人住宅",D57,D58)</f>
        <v>222573</v>
      </c>
      <c r="E56" s="11" t="s">
        <v>2209</v>
      </c>
      <c r="F56" s="182" t="str">
        <f>IF(H56="正常",F58,"免征")</f>
        <v>——</v>
      </c>
      <c r="G56" s="2469" t="s">
        <v>2210</v>
      </c>
      <c r="H56" s="2470" t="s">
        <v>2207</v>
      </c>
      <c r="I56" s="2471"/>
      <c r="J56" s="1803" t="str">
        <f>IF(项目基本情况!K6="上海银行",IF(J55="",4,J55+1),"")</f>
        <v/>
      </c>
      <c r="K56" s="3325" t="str">
        <f>IF(项目基本情况!K6="上海银行","其他处置费用","")</f>
        <v/>
      </c>
      <c r="L56" s="3326"/>
      <c r="M56" s="1745" t="str">
        <f>IF(项目基本情况!K6="上海银行",M69,"")</f>
        <v/>
      </c>
      <c r="N56" s="3328" t="str">
        <f>IF(项目基本情况!K6="上海银行","包含处置中涉及的律师、诉讼、拍卖、评估等费用","")</f>
        <v/>
      </c>
      <c r="O56" s="3329"/>
    </row>
    <row r="57" spans="1:35" ht="12.75">
      <c r="A57" s="181" t="s">
        <v>2183</v>
      </c>
      <c r="B57" s="3267" t="s">
        <v>2211</v>
      </c>
      <c r="C57" s="3276"/>
      <c r="D57" s="185">
        <v>0</v>
      </c>
      <c r="E57" s="23" t="s">
        <v>2185</v>
      </c>
      <c r="F57" s="153"/>
      <c r="G57" s="2467"/>
      <c r="H57" s="2471"/>
      <c r="I57" s="2471"/>
      <c r="J57" s="3302">
        <f>IF(AND(J55="",J56=""),4,IF(项目基本情况!K6="上海银行",结果表!J56+1,结果表!J55+1))</f>
        <v>4</v>
      </c>
      <c r="K57" s="3302" t="s">
        <v>2212</v>
      </c>
      <c r="L57" s="2472" t="s">
        <v>2213</v>
      </c>
      <c r="M57" s="1750"/>
      <c r="N57" s="1751">
        <f ca="1">SUMIF(M52:M56,"&lt;9e307")</f>
        <v>222769</v>
      </c>
      <c r="O57" s="2473"/>
      <c r="P57" s="1744">
        <f ca="1">N57/M49</f>
        <v>0.56740386795071962</v>
      </c>
    </row>
    <row r="58" spans="1:35" ht="24.75">
      <c r="A58" s="181" t="s">
        <v>2194</v>
      </c>
      <c r="B58" s="3267" t="s">
        <v>2214</v>
      </c>
      <c r="C58" s="3268"/>
      <c r="D58" s="183">
        <f ca="1">IF(H58="转让取得",C81,C97)</f>
        <v>222573</v>
      </c>
      <c r="E58" s="11" t="s">
        <v>2209</v>
      </c>
      <c r="F58" s="24" t="s">
        <v>34</v>
      </c>
      <c r="G58" s="2467"/>
      <c r="H58" s="2470" t="s">
        <v>2215</v>
      </c>
      <c r="I58" s="2471"/>
      <c r="J58" s="3302"/>
      <c r="K58" s="3302"/>
      <c r="L58" s="2472" t="s">
        <v>2216</v>
      </c>
      <c r="M58" s="1752"/>
      <c r="N58" s="2474" t="str">
        <f ca="1">NUMBERSTRING(INT(N57*10000),2)&amp;"元整"</f>
        <v>贰拾贰亿贰仟柒佰陆拾玖万元整</v>
      </c>
      <c r="O58" s="2475"/>
    </row>
    <row r="59" spans="1:35" ht="24.75" thickBot="1">
      <c r="A59" s="3305" t="s">
        <v>2217</v>
      </c>
      <c r="B59" s="3306"/>
      <c r="C59" s="3306"/>
      <c r="D59" s="186" t="str">
        <f>IF(H59="非个人房产","——",IF(H59="个人住宅",0,ROUND(D45*I59,0)))</f>
        <v>——</v>
      </c>
      <c r="E59" s="187" t="str">
        <f>IF(H59="非个人房产","——","销售额×税（费）率")</f>
        <v>——</v>
      </c>
      <c r="F59" s="188" t="str">
        <f>IF(H59="非个人房产","——",IF(H59="个人住宅","免征",I59))</f>
        <v>——</v>
      </c>
      <c r="G59" s="2476" t="s">
        <v>2210</v>
      </c>
      <c r="H59" s="2470" t="s">
        <v>2218</v>
      </c>
      <c r="I59" s="189">
        <v>0.01</v>
      </c>
      <c r="J59" s="3303">
        <f>J57+1</f>
        <v>5</v>
      </c>
      <c r="K59" s="3302" t="s">
        <v>2219</v>
      </c>
      <c r="L59" s="1803" t="s">
        <v>2213</v>
      </c>
      <c r="M59" s="1753"/>
      <c r="N59" s="1754">
        <f ca="1">M49-N57</f>
        <v>169842</v>
      </c>
      <c r="O59" s="2477"/>
    </row>
    <row r="60" spans="1:35" ht="12" customHeight="1">
      <c r="A60" s="2478"/>
      <c r="B60" s="2400"/>
      <c r="C60" s="2400"/>
      <c r="D60" s="2400"/>
      <c r="E60" s="2151"/>
      <c r="F60" s="2471"/>
      <c r="G60" s="2471"/>
      <c r="H60" s="2479"/>
      <c r="I60" s="136"/>
      <c r="J60" s="3304"/>
      <c r="K60" s="3302"/>
      <c r="L60" s="2472" t="s">
        <v>2216</v>
      </c>
      <c r="M60" s="1752"/>
      <c r="N60" s="2474" t="str">
        <f ca="1">NUMBERSTRING(INT(N59*10000),2)&amp;"元整"</f>
        <v>壹拾陆亿玖仟捌佰肆拾贰万元整</v>
      </c>
      <c r="O60" s="2475"/>
    </row>
    <row r="61" spans="1:35" ht="13.5" thickBot="1">
      <c r="A61" s="3249" t="s">
        <v>2220</v>
      </c>
      <c r="B61" s="3249"/>
      <c r="C61" s="3249"/>
      <c r="D61" s="3249"/>
      <c r="E61" s="3249"/>
      <c r="F61" s="2471"/>
      <c r="G61" s="2471"/>
      <c r="H61" s="2479"/>
      <c r="I61" s="136"/>
      <c r="J61" s="1803">
        <f>J59+1</f>
        <v>6</v>
      </c>
      <c r="K61" s="3302" t="s">
        <v>2221</v>
      </c>
      <c r="L61" s="3302"/>
      <c r="M61" s="1755"/>
      <c r="N61" s="1756">
        <f ca="1">ROUND(N59*10000/'数据-汇总表'!E3,0)</f>
        <v>11380</v>
      </c>
      <c r="O61" s="2480"/>
    </row>
    <row r="62" spans="1:35" ht="12.75">
      <c r="A62" s="3265" t="s">
        <v>2222</v>
      </c>
      <c r="B62" s="3266"/>
      <c r="C62" s="1795"/>
      <c r="D62" s="1795" t="s">
        <v>2223</v>
      </c>
      <c r="E62" s="190" t="s">
        <v>2224</v>
      </c>
      <c r="F62" s="2471"/>
      <c r="G62" s="2471"/>
      <c r="H62" s="2479"/>
      <c r="I62" s="136"/>
    </row>
    <row r="63" spans="1:35" ht="12.75">
      <c r="A63" s="201" t="s">
        <v>775</v>
      </c>
      <c r="B63" s="191" t="s">
        <v>2225</v>
      </c>
      <c r="C63" s="192">
        <f ca="1">ROUND((C64+C65)/(1+'数据-取费表'!C42),0)</f>
        <v>373915</v>
      </c>
      <c r="D63" s="193"/>
      <c r="E63" s="194"/>
      <c r="F63" s="2471"/>
      <c r="G63" s="2471"/>
      <c r="H63" s="2479"/>
      <c r="I63" s="136"/>
      <c r="J63" s="3327" t="s">
        <v>2226</v>
      </c>
      <c r="K63" s="2481" t="s">
        <v>2227</v>
      </c>
      <c r="L63" s="1743">
        <f ca="1">IF(M49&gt;10000,M49*0.5%,IF(AND(M49&gt;1000,M49&lt;=10000),M49*1%,IF(AND(M49&gt;100,M49&lt;=1000),M49*3%,IF(AND(M49&gt;10,M49&lt;=100),M49*5%,M49*8%))))</f>
        <v>1963.0550000000001</v>
      </c>
      <c r="M63" s="24">
        <f ca="1">ROUND(L63,1)</f>
        <v>1963.1</v>
      </c>
      <c r="Z63" s="2405"/>
      <c r="AI63" s="2406"/>
    </row>
    <row r="64" spans="1:35" ht="14.25" customHeight="1">
      <c r="A64" s="195" t="s">
        <v>770</v>
      </c>
      <c r="B64" s="196" t="s">
        <v>2228</v>
      </c>
      <c r="C64" s="197">
        <f ca="1">D45</f>
        <v>392611</v>
      </c>
      <c r="D64" s="198" t="s">
        <v>32</v>
      </c>
      <c r="E64" s="199"/>
      <c r="F64" s="2471"/>
      <c r="G64" s="2471"/>
      <c r="H64" s="2479"/>
      <c r="I64" s="136"/>
      <c r="J64" s="3327"/>
      <c r="K64" s="2481" t="s">
        <v>2229</v>
      </c>
      <c r="L64" s="1743">
        <f ca="1">IF(M49&gt;2000,M49*0.5%,IF(AND(M49&gt;1000,M49&lt;=2000),M49*0.6%,IF(AND(M49&gt;500,M49&lt;=1000),M49*0.7%,IF(AND(M49&gt;200,M49&lt;=500),M49*0.8%,IF(AND(M49&gt;100,M49&lt;=200),M49*0.9%,IF(AND(M49&gt;50,M49&lt;=100),M49*1%,IF(AND(M49&gt;20,M49&lt;=50),M49*1.5%,IF(AND(M49&gt;10,M49&lt;=20),M49*2%,IF(AND(M49&gt;1,M49&lt;=10),M49*2.5%)))))))))</f>
        <v>1963.0550000000001</v>
      </c>
      <c r="M64" s="24">
        <f t="shared" ref="M64:M65" ca="1" si="1">ROUND(L64,1)</f>
        <v>1963.1</v>
      </c>
      <c r="N64" s="136" t="s">
        <v>2230</v>
      </c>
      <c r="Z64" s="2405"/>
      <c r="AI64" s="2406"/>
    </row>
    <row r="65" spans="1:35" ht="14.25" customHeight="1">
      <c r="A65" s="195" t="s">
        <v>771</v>
      </c>
      <c r="B65" s="196" t="s">
        <v>2231</v>
      </c>
      <c r="C65" s="200"/>
      <c r="D65" s="198"/>
      <c r="E65" s="199"/>
      <c r="F65" s="2471"/>
      <c r="G65" s="2471"/>
      <c r="H65" s="2479"/>
      <c r="I65" s="136"/>
      <c r="J65" s="3327"/>
      <c r="K65" s="2481" t="s">
        <v>2232</v>
      </c>
      <c r="L65" s="1743">
        <f ca="1">IF(M49&gt;1000,M49*0.1%,IF(AND(M49&gt;500,M49&lt;=1000),M49*0.5%,IF(AND(M49&gt;50,M49&lt;=500),M49*1%,IF(AND(M49&gt;1,M49&lt;=50),M49*1.5%))))</f>
        <v>392.61099999999999</v>
      </c>
      <c r="M65" s="24">
        <f t="shared" ca="1" si="1"/>
        <v>392.6</v>
      </c>
      <c r="N65" s="136" t="s">
        <v>2230</v>
      </c>
      <c r="Z65" s="2405"/>
      <c r="AI65" s="2406"/>
    </row>
    <row r="66" spans="1:35" ht="14.25" customHeight="1">
      <c r="A66" s="201" t="s">
        <v>772</v>
      </c>
      <c r="B66" s="202" t="s">
        <v>2233</v>
      </c>
      <c r="C66" s="203"/>
      <c r="D66" s="204" t="s">
        <v>32</v>
      </c>
      <c r="E66" s="1767" t="s">
        <v>1366</v>
      </c>
      <c r="F66" s="2471"/>
      <c r="G66" s="2471"/>
      <c r="H66" s="2479"/>
      <c r="I66" s="136"/>
      <c r="J66" s="3327"/>
      <c r="K66" s="2481" t="s">
        <v>2234</v>
      </c>
      <c r="L66" s="1743">
        <f ca="1">M49*0.5%</f>
        <v>1963.0550000000001</v>
      </c>
      <c r="M66" s="24">
        <f ca="1">IF(L66&gt;0.5,0.5,ROUND(L66,0))</f>
        <v>0.5</v>
      </c>
      <c r="N66" s="136" t="s">
        <v>2235</v>
      </c>
      <c r="Z66" s="2405"/>
      <c r="AI66" s="2406"/>
    </row>
    <row r="67" spans="1:35" ht="14.25" customHeight="1">
      <c r="A67" s="201" t="s">
        <v>773</v>
      </c>
      <c r="B67" s="202" t="s">
        <v>2236</v>
      </c>
      <c r="C67" s="205">
        <f ca="1">C63-C66</f>
        <v>373915</v>
      </c>
      <c r="D67" s="198" t="s">
        <v>32</v>
      </c>
      <c r="E67" s="199"/>
      <c r="F67" s="2471"/>
      <c r="G67" s="2471"/>
      <c r="H67" s="2479"/>
      <c r="I67" s="136"/>
      <c r="J67" s="3327"/>
      <c r="K67" s="2481" t="s">
        <v>2237</v>
      </c>
      <c r="L67" s="1743">
        <f ca="1">IF(M49&gt;=10000,(8.25+(M49-10000)*0.01%),IF(AND(M49&gt;=8000,M49&lt;10000),(7.85+(M49-8000)*0.02%),IF(AND(M49&gt;=5000,M49&lt;8000),(6.65+(M49-5000)*0.04%),IF(AND(M49&gt;=2000,M49&lt;5000),(4.25+(PM49-2000)*0.08%),IF(AND(M49&gt;=1000,M49&lt;2000),(2.75+(M49-1000)*0.15%),IF(AND(M49&gt;=100,M49&lt;1000),(0.5+(M49-100)*0.25%),IF(AND(M49&gt;0,M49&lt;100),M49*0.5%)))))))</f>
        <v>46.511099999999999</v>
      </c>
      <c r="M67" s="24">
        <f ca="1">ROUND(L67*0.9,1)</f>
        <v>41.9</v>
      </c>
      <c r="Z67" s="2405"/>
      <c r="AI67" s="2406"/>
    </row>
    <row r="68" spans="1:35" ht="14.25" customHeight="1" thickBot="1">
      <c r="A68" s="206" t="s">
        <v>774</v>
      </c>
      <c r="B68" s="207" t="s">
        <v>2238</v>
      </c>
      <c r="C68" s="208">
        <f ca="1">IF(C67&lt;=0,0,ROUND(C67*D68,0))</f>
        <v>20565</v>
      </c>
      <c r="D68" s="209">
        <f>'数据-取费表'!B41</f>
        <v>5.5000000000000007E-2</v>
      </c>
      <c r="E68" s="210"/>
      <c r="F68" s="2471"/>
      <c r="G68" s="2471"/>
      <c r="H68" s="2479"/>
      <c r="I68" s="136"/>
      <c r="J68" s="3327"/>
      <c r="K68" s="2481" t="s">
        <v>2239</v>
      </c>
      <c r="L68" s="1743">
        <f ca="1">IF(M49&gt;10000,M49*0.5%,IF(AND(M49&gt;5000,M49&lt;=10000),M49*1%,IF(AND(M49&gt;1000,M49&lt;=5000),M49*2%,IF(AND(M49&gt;200,M49&lt;=1000),M49*3%,M49*5%))))</f>
        <v>1963.0550000000001</v>
      </c>
      <c r="M68" s="24">
        <f ca="1">ROUND(L68,1)</f>
        <v>1963.1</v>
      </c>
      <c r="Z68" s="2405"/>
      <c r="AI68" s="2406"/>
    </row>
    <row r="69" spans="1:35" s="2428" customFormat="1" ht="16.5" customHeight="1">
      <c r="A69" s="2482"/>
      <c r="B69" s="2483"/>
      <c r="C69" s="2484"/>
      <c r="D69" s="2485"/>
      <c r="E69" s="2486"/>
      <c r="F69" s="2151"/>
      <c r="G69" s="2151"/>
      <c r="H69" s="2150"/>
      <c r="I69" s="2400"/>
      <c r="J69" s="3327"/>
      <c r="K69" s="2481" t="s">
        <v>2240</v>
      </c>
      <c r="L69" s="2487"/>
      <c r="M69" s="24">
        <f ca="1">ROUND(SUM(M63:M68),0)</f>
        <v>6324</v>
      </c>
      <c r="N69" s="1744">
        <f ca="1">M69/M49</f>
        <v>1.6107546655595488E-2</v>
      </c>
      <c r="O69" s="793"/>
      <c r="P69" s="793"/>
      <c r="Q69" s="793"/>
      <c r="R69" s="793"/>
      <c r="S69" s="793"/>
      <c r="T69" s="793"/>
      <c r="U69" s="793"/>
      <c r="V69" s="793"/>
      <c r="W69" s="793"/>
      <c r="X69" s="793"/>
      <c r="Y69" s="793"/>
      <c r="Z69" s="2405"/>
      <c r="AA69" s="2405"/>
      <c r="AB69" s="2405"/>
      <c r="AC69" s="2405"/>
      <c r="AD69" s="2405"/>
      <c r="AE69" s="2405"/>
      <c r="AF69" s="2405"/>
      <c r="AG69" s="2405"/>
      <c r="AH69" s="2405"/>
    </row>
    <row r="70" spans="1:35" s="2489" customFormat="1" ht="15" thickBot="1">
      <c r="A70" s="3286" t="s">
        <v>2241</v>
      </c>
      <c r="B70" s="3287"/>
      <c r="C70" s="3287"/>
      <c r="D70" s="3287"/>
      <c r="E70" s="3287"/>
      <c r="F70" s="3287"/>
      <c r="G70" s="3287"/>
      <c r="H70" s="3287"/>
      <c r="I70" s="2488"/>
      <c r="N70" s="2490"/>
      <c r="O70" s="2490"/>
      <c r="P70" s="2490"/>
      <c r="Q70" s="2490"/>
      <c r="R70" s="2490"/>
      <c r="S70" s="2490"/>
      <c r="T70" s="2490"/>
      <c r="U70" s="2490"/>
      <c r="V70" s="2490"/>
      <c r="W70" s="2490"/>
      <c r="X70" s="2490"/>
      <c r="Y70" s="2490"/>
      <c r="Z70" s="2490"/>
      <c r="AA70" s="2491"/>
      <c r="AB70" s="2491"/>
      <c r="AC70" s="2491"/>
      <c r="AD70" s="2491"/>
      <c r="AE70" s="2491"/>
      <c r="AF70" s="2491"/>
      <c r="AG70" s="2491"/>
      <c r="AH70" s="2491"/>
      <c r="AI70" s="2491"/>
    </row>
    <row r="71" spans="1:35" s="2489" customFormat="1" ht="14.25">
      <c r="A71" s="3265" t="s">
        <v>2222</v>
      </c>
      <c r="B71" s="3266"/>
      <c r="C71" s="1795"/>
      <c r="D71" s="1795" t="s">
        <v>2223</v>
      </c>
      <c r="E71" s="211" t="s">
        <v>2224</v>
      </c>
      <c r="F71" s="212"/>
      <c r="G71" s="212"/>
      <c r="H71" s="213"/>
      <c r="I71" s="2492"/>
      <c r="N71" s="2490"/>
      <c r="O71" s="2490"/>
      <c r="P71" s="2490"/>
      <c r="Q71" s="2490"/>
      <c r="R71" s="2490"/>
      <c r="S71" s="2490"/>
      <c r="T71" s="2490"/>
      <c r="U71" s="2490"/>
      <c r="V71" s="2490"/>
      <c r="W71" s="2490"/>
      <c r="X71" s="2490"/>
      <c r="Y71" s="2490"/>
      <c r="Z71" s="2490"/>
      <c r="AA71" s="2491"/>
      <c r="AB71" s="2491"/>
      <c r="AC71" s="2491"/>
      <c r="AD71" s="2491"/>
      <c r="AE71" s="2491"/>
      <c r="AF71" s="2491"/>
      <c r="AG71" s="2491"/>
      <c r="AH71" s="2491"/>
      <c r="AI71" s="2491"/>
    </row>
    <row r="72" spans="1:35" s="2489" customFormat="1" ht="14.25">
      <c r="A72" s="201" t="s">
        <v>775</v>
      </c>
      <c r="B72" s="202" t="s">
        <v>2242</v>
      </c>
      <c r="C72" s="205">
        <f ca="1">ROUND(D45/(1+'数据-取费表'!C42),0)</f>
        <v>373915</v>
      </c>
      <c r="D72" s="198" t="s">
        <v>32</v>
      </c>
      <c r="E72" s="1794"/>
      <c r="F72" s="1788"/>
      <c r="G72" s="1788"/>
      <c r="H72" s="214"/>
      <c r="I72" s="2492"/>
      <c r="N72" s="2490"/>
      <c r="O72" s="2490"/>
      <c r="P72" s="2490"/>
      <c r="Q72" s="2490"/>
      <c r="R72" s="2490"/>
      <c r="S72" s="2490"/>
      <c r="T72" s="2490"/>
      <c r="U72" s="2490"/>
      <c r="V72" s="2490"/>
      <c r="W72" s="2490"/>
      <c r="X72" s="2490"/>
      <c r="Y72" s="2490"/>
      <c r="Z72" s="2490"/>
      <c r="AA72" s="2491"/>
      <c r="AB72" s="2491"/>
      <c r="AC72" s="2491"/>
      <c r="AD72" s="2491"/>
      <c r="AE72" s="2491"/>
      <c r="AF72" s="2491"/>
      <c r="AG72" s="2491"/>
      <c r="AH72" s="2491"/>
      <c r="AI72" s="2491"/>
    </row>
    <row r="73" spans="1:35" s="2489" customFormat="1" ht="14.25">
      <c r="A73" s="201" t="s">
        <v>772</v>
      </c>
      <c r="B73" s="171" t="s">
        <v>2243</v>
      </c>
      <c r="C73" s="205">
        <f ca="1">C74+C78</f>
        <v>1870</v>
      </c>
      <c r="D73" s="198" t="s">
        <v>32</v>
      </c>
      <c r="E73" s="1794"/>
      <c r="F73" s="1788"/>
      <c r="G73" s="1788"/>
      <c r="H73" s="214"/>
      <c r="I73" s="2492"/>
      <c r="J73" s="2490"/>
      <c r="K73" s="2490"/>
      <c r="L73" s="2490"/>
      <c r="M73" s="2490"/>
      <c r="N73" s="2490"/>
      <c r="O73" s="2490"/>
      <c r="P73" s="2490"/>
      <c r="Q73" s="2490"/>
      <c r="R73" s="2490"/>
      <c r="S73" s="2490"/>
      <c r="T73" s="2490"/>
      <c r="U73" s="2490"/>
      <c r="V73" s="2490"/>
      <c r="W73" s="2490"/>
      <c r="X73" s="2490"/>
      <c r="Y73" s="2490"/>
      <c r="Z73" s="2490"/>
      <c r="AA73" s="2491"/>
      <c r="AB73" s="2491"/>
      <c r="AC73" s="2491"/>
      <c r="AD73" s="2491"/>
      <c r="AE73" s="2491"/>
      <c r="AF73" s="2491"/>
      <c r="AG73" s="2491"/>
      <c r="AH73" s="2491"/>
      <c r="AI73" s="2491"/>
    </row>
    <row r="74" spans="1:35" s="2489" customFormat="1" ht="24">
      <c r="A74" s="215" t="s">
        <v>770</v>
      </c>
      <c r="B74" s="196" t="s">
        <v>2244</v>
      </c>
      <c r="C74" s="198">
        <f>ROUND(IF(G77="2016年5月1日后购买",C75/(1+'数据-取费表'!C42)+C76+C77,C75+C76+C77),0)</f>
        <v>0</v>
      </c>
      <c r="D74" s="198" t="s">
        <v>32</v>
      </c>
      <c r="E74" s="1794"/>
      <c r="F74" s="1788"/>
      <c r="G74" s="1788"/>
      <c r="H74" s="214"/>
      <c r="I74" s="2492"/>
      <c r="J74" s="2490"/>
      <c r="K74" s="2490"/>
      <c r="L74" s="2490"/>
      <c r="M74" s="2490"/>
      <c r="N74" s="2490"/>
      <c r="O74" s="2490"/>
      <c r="P74" s="2490"/>
      <c r="Q74" s="2490"/>
      <c r="R74" s="2490"/>
      <c r="S74" s="2490"/>
      <c r="T74" s="2490"/>
      <c r="U74" s="2490"/>
      <c r="V74" s="2490"/>
      <c r="W74" s="2490"/>
      <c r="X74" s="2490"/>
      <c r="Y74" s="2490"/>
      <c r="Z74" s="2490"/>
      <c r="AA74" s="2491"/>
      <c r="AB74" s="2491"/>
      <c r="AC74" s="2491"/>
      <c r="AD74" s="2491"/>
      <c r="AE74" s="2491"/>
      <c r="AF74" s="2491"/>
      <c r="AG74" s="2491"/>
      <c r="AH74" s="2491"/>
      <c r="AI74" s="2491"/>
    </row>
    <row r="75" spans="1:35" s="2489" customFormat="1" ht="14.25">
      <c r="A75" s="215" t="s">
        <v>776</v>
      </c>
      <c r="B75" s="196" t="s">
        <v>2245</v>
      </c>
      <c r="C75" s="216"/>
      <c r="D75" s="198" t="s">
        <v>32</v>
      </c>
      <c r="E75" s="217" t="s">
        <v>2246</v>
      </c>
      <c r="F75" s="2493" t="s">
        <v>2247</v>
      </c>
      <c r="G75" s="217" t="s">
        <v>2248</v>
      </c>
      <c r="H75" s="218"/>
      <c r="I75" s="2494"/>
      <c r="J75" s="2490"/>
      <c r="K75" s="2490"/>
      <c r="L75" s="2490"/>
      <c r="M75" s="2490"/>
      <c r="N75" s="2490"/>
      <c r="O75" s="2490"/>
      <c r="P75" s="2490"/>
      <c r="Q75" s="2490"/>
      <c r="R75" s="2490"/>
      <c r="S75" s="2490"/>
      <c r="T75" s="2490"/>
      <c r="U75" s="2490"/>
      <c r="V75" s="2490"/>
      <c r="W75" s="2490"/>
      <c r="X75" s="2490"/>
      <c r="Y75" s="2490"/>
      <c r="Z75" s="2490"/>
      <c r="AA75" s="2491"/>
      <c r="AB75" s="2491"/>
      <c r="AC75" s="2491"/>
      <c r="AD75" s="2491"/>
      <c r="AE75" s="2491"/>
      <c r="AF75" s="2491"/>
      <c r="AG75" s="2491"/>
      <c r="AH75" s="2491"/>
      <c r="AI75" s="2491"/>
    </row>
    <row r="76" spans="1:35" s="2489" customFormat="1" ht="24.75" customHeight="1">
      <c r="A76" s="215" t="s">
        <v>777</v>
      </c>
      <c r="B76" s="219" t="s">
        <v>2249</v>
      </c>
      <c r="C76" s="198">
        <f>IF(F75="购房发票",ROUND(C75*H75*D76,0),0)</f>
        <v>0</v>
      </c>
      <c r="D76" s="220">
        <v>0.05</v>
      </c>
      <c r="E76" s="3260" t="s">
        <v>2250</v>
      </c>
      <c r="F76" s="3237"/>
      <c r="G76" s="3237"/>
      <c r="H76" s="3285"/>
      <c r="I76" s="2492"/>
      <c r="J76" s="2490"/>
      <c r="K76" s="2490"/>
      <c r="L76" s="2490"/>
      <c r="M76" s="2490"/>
      <c r="N76" s="2490"/>
      <c r="O76" s="2490"/>
      <c r="P76" s="2490"/>
      <c r="Q76" s="2490"/>
      <c r="R76" s="2490"/>
      <c r="S76" s="2490"/>
      <c r="T76" s="2490"/>
      <c r="U76" s="2490"/>
      <c r="V76" s="2490"/>
      <c r="W76" s="2490"/>
      <c r="X76" s="2490"/>
      <c r="Y76" s="2490"/>
      <c r="Z76" s="2490"/>
      <c r="AA76" s="2491"/>
      <c r="AB76" s="2491"/>
      <c r="AC76" s="2491"/>
      <c r="AD76" s="2491"/>
      <c r="AE76" s="2491"/>
      <c r="AF76" s="2491"/>
      <c r="AG76" s="2491"/>
      <c r="AH76" s="2491"/>
      <c r="AI76" s="2491"/>
    </row>
    <row r="77" spans="1:35" s="2489" customFormat="1" ht="24.75" customHeight="1">
      <c r="A77" s="215" t="s">
        <v>778</v>
      </c>
      <c r="B77" s="196" t="s">
        <v>2251</v>
      </c>
      <c r="C77" s="198">
        <f>ROUND(IF(G77="个人住宅",0,IF(G77="2016年5月1日前购买",C75*D77,C75*D77/(1+'数据-取费表'!C42))),0)</f>
        <v>0</v>
      </c>
      <c r="D77" s="221">
        <f>'数据-取费表'!B48+'数据-取费表'!B49</f>
        <v>3.0499999999999999E-2</v>
      </c>
      <c r="E77" s="15" t="s">
        <v>2252</v>
      </c>
      <c r="F77" s="222"/>
      <c r="G77" s="2495" t="s">
        <v>2253</v>
      </c>
      <c r="H77" s="1799" t="str">
        <f>IF(G77="个人买卖住房","免征印花税"," ")</f>
        <v xml:space="preserve"> </v>
      </c>
      <c r="I77" s="2492"/>
      <c r="J77" s="2490"/>
      <c r="K77" s="2490"/>
      <c r="L77" s="2490"/>
      <c r="M77" s="2490"/>
      <c r="N77" s="2490"/>
      <c r="O77" s="2490"/>
      <c r="P77" s="2490"/>
      <c r="Q77" s="2490"/>
      <c r="R77" s="2490"/>
      <c r="S77" s="2490"/>
      <c r="T77" s="2490"/>
      <c r="U77" s="2490"/>
      <c r="V77" s="2490"/>
      <c r="W77" s="2490"/>
      <c r="X77" s="2490"/>
      <c r="Y77" s="2490"/>
      <c r="Z77" s="2490"/>
      <c r="AA77" s="2491"/>
      <c r="AB77" s="2491"/>
      <c r="AC77" s="2491"/>
      <c r="AD77" s="2491"/>
      <c r="AE77" s="2491"/>
      <c r="AF77" s="2491"/>
      <c r="AG77" s="2491"/>
      <c r="AH77" s="2491"/>
      <c r="AI77" s="2491"/>
    </row>
    <row r="78" spans="1:35" s="2489" customFormat="1" ht="24.75" customHeight="1">
      <c r="A78" s="215" t="s">
        <v>771</v>
      </c>
      <c r="B78" s="196" t="s">
        <v>2254</v>
      </c>
      <c r="C78" s="223">
        <f ca="1">ROUND(D45*D78/(1+'数据-取费表'!C42),0)</f>
        <v>1870</v>
      </c>
      <c r="D78" s="224">
        <f>'数据-取费表'!B43</f>
        <v>5.000000000000001E-3</v>
      </c>
      <c r="E78" s="3246" t="s">
        <v>2255</v>
      </c>
      <c r="F78" s="3247"/>
      <c r="G78" s="3247"/>
      <c r="H78" s="3256"/>
      <c r="I78" s="2496"/>
      <c r="J78" s="2490"/>
      <c r="K78" s="2490"/>
      <c r="L78" s="2490"/>
      <c r="M78" s="2490"/>
      <c r="N78" s="2490"/>
      <c r="O78" s="2490"/>
      <c r="P78" s="2490"/>
      <c r="Q78" s="2490"/>
      <c r="R78" s="2490"/>
      <c r="S78" s="2490"/>
      <c r="T78" s="2490"/>
      <c r="U78" s="2490"/>
      <c r="V78" s="2490"/>
      <c r="W78" s="2490"/>
      <c r="X78" s="2490"/>
      <c r="Y78" s="2490"/>
      <c r="Z78" s="2490"/>
      <c r="AA78" s="2491"/>
      <c r="AB78" s="2491"/>
      <c r="AC78" s="2491"/>
      <c r="AD78" s="2491"/>
      <c r="AE78" s="2491"/>
      <c r="AF78" s="2491"/>
      <c r="AG78" s="2491"/>
      <c r="AH78" s="2491"/>
      <c r="AI78" s="2491"/>
    </row>
    <row r="79" spans="1:35" s="2489" customFormat="1" ht="14.25">
      <c r="A79" s="2497" t="s">
        <v>779</v>
      </c>
      <c r="B79" s="202" t="s">
        <v>2256</v>
      </c>
      <c r="C79" s="205">
        <f ca="1">C72-C73</f>
        <v>372045</v>
      </c>
      <c r="D79" s="198" t="s">
        <v>32</v>
      </c>
      <c r="E79" s="1794"/>
      <c r="F79" s="1788"/>
      <c r="G79" s="1788"/>
      <c r="H79" s="214"/>
      <c r="I79" s="2492"/>
      <c r="J79" s="2490"/>
      <c r="K79" s="2490"/>
      <c r="L79" s="2490"/>
      <c r="M79" s="2490"/>
      <c r="N79" s="2490"/>
      <c r="O79" s="2490"/>
      <c r="P79" s="2490"/>
      <c r="Q79" s="2490"/>
      <c r="R79" s="2490"/>
      <c r="S79" s="2490"/>
      <c r="T79" s="2490"/>
      <c r="U79" s="2490"/>
      <c r="V79" s="2490"/>
      <c r="W79" s="2490"/>
      <c r="X79" s="2490"/>
      <c r="Y79" s="2490"/>
      <c r="Z79" s="2490"/>
      <c r="AA79" s="2491"/>
      <c r="AB79" s="2491"/>
      <c r="AC79" s="2491"/>
      <c r="AD79" s="2491"/>
      <c r="AE79" s="2491"/>
      <c r="AF79" s="2491"/>
      <c r="AG79" s="2491"/>
      <c r="AH79" s="2491"/>
      <c r="AI79" s="2491"/>
    </row>
    <row r="80" spans="1:35" s="2489" customFormat="1" ht="24">
      <c r="A80" s="2497" t="s">
        <v>780</v>
      </c>
      <c r="B80" s="202" t="s">
        <v>2257</v>
      </c>
      <c r="C80" s="225">
        <f ca="1">IF(C79&lt;=0,0,C79/C73)</f>
        <v>198.95454545454547</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8"/>
      <c r="G80" s="1788"/>
      <c r="H80" s="214"/>
      <c r="I80" s="2492"/>
      <c r="J80" s="2490"/>
      <c r="K80" s="2490"/>
      <c r="L80" s="2490"/>
      <c r="M80" s="2490"/>
      <c r="N80" s="2490"/>
      <c r="O80" s="2490"/>
      <c r="P80" s="2490"/>
      <c r="Q80" s="2490"/>
      <c r="R80" s="2490"/>
      <c r="S80" s="2490"/>
      <c r="T80" s="2490"/>
      <c r="U80" s="2490"/>
      <c r="V80" s="2490"/>
      <c r="W80" s="2490"/>
      <c r="X80" s="2490"/>
      <c r="Y80" s="2490"/>
      <c r="Z80" s="2490"/>
      <c r="AA80" s="2491"/>
      <c r="AB80" s="2491"/>
      <c r="AC80" s="2491"/>
      <c r="AD80" s="2491"/>
      <c r="AE80" s="2491"/>
      <c r="AF80" s="2491"/>
      <c r="AG80" s="2491"/>
      <c r="AH80" s="2491"/>
      <c r="AI80" s="2491"/>
    </row>
    <row r="81" spans="1:35" s="2489" customFormat="1" ht="24.75" thickBot="1">
      <c r="A81" s="2498" t="s">
        <v>781</v>
      </c>
      <c r="B81" s="207" t="s">
        <v>2258</v>
      </c>
      <c r="C81" s="226">
        <f ca="1">ROUND(IF(C79&lt;=0,0,IF(C80&gt;=200%,C79*60%-C73*35%,IF(C80&gt;=100%,C79*50%-C73*15%,IF(C80&gt;=50%,C79*40%-C73*5%,IF(C80&lt;50%,C79*30%,0))))),0)</f>
        <v>222573</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492"/>
      <c r="J81" s="2490"/>
      <c r="K81" s="2490"/>
      <c r="L81" s="2490"/>
      <c r="M81" s="2490"/>
      <c r="N81" s="2490"/>
      <c r="O81" s="2490"/>
      <c r="P81" s="2490"/>
      <c r="Q81" s="2490"/>
      <c r="R81" s="2490"/>
      <c r="S81" s="2490"/>
      <c r="T81" s="2490"/>
      <c r="U81" s="2490"/>
      <c r="V81" s="2490"/>
      <c r="W81" s="2490"/>
      <c r="X81" s="2490"/>
      <c r="Y81" s="2490"/>
      <c r="Z81" s="2490"/>
      <c r="AA81" s="2491"/>
      <c r="AB81" s="2491"/>
      <c r="AC81" s="2491"/>
      <c r="AD81" s="2491"/>
      <c r="AE81" s="2491"/>
      <c r="AF81" s="2491"/>
      <c r="AG81" s="2491"/>
      <c r="AH81" s="2491"/>
      <c r="AI81" s="2491"/>
    </row>
    <row r="82" spans="1:35" s="2489" customFormat="1" ht="7.5" customHeight="1">
      <c r="A82" s="731"/>
      <c r="B82" s="732"/>
      <c r="C82" s="7"/>
      <c r="D82" s="7"/>
      <c r="E82" s="732"/>
      <c r="F82" s="732"/>
      <c r="G82" s="732"/>
      <c r="H82" s="733"/>
      <c r="I82" s="2496"/>
      <c r="J82" s="2490"/>
      <c r="K82" s="2490"/>
      <c r="L82" s="2490"/>
      <c r="M82" s="2490"/>
      <c r="N82" s="2490"/>
      <c r="O82" s="2490"/>
      <c r="P82" s="2490"/>
      <c r="Q82" s="2490"/>
      <c r="R82" s="2490"/>
      <c r="S82" s="2490"/>
      <c r="T82" s="2490"/>
      <c r="U82" s="2490"/>
      <c r="V82" s="2490"/>
      <c r="W82" s="2490"/>
      <c r="X82" s="2490"/>
      <c r="Y82" s="2490"/>
      <c r="Z82" s="2490"/>
      <c r="AA82" s="2491"/>
      <c r="AB82" s="2491"/>
      <c r="AC82" s="2491"/>
      <c r="AD82" s="2491"/>
      <c r="AE82" s="2491"/>
      <c r="AF82" s="2491"/>
      <c r="AG82" s="2491"/>
      <c r="AH82" s="2491"/>
      <c r="AI82" s="2491"/>
    </row>
    <row r="83" spans="1:35" s="2489" customFormat="1" ht="15" thickBot="1">
      <c r="A83" s="3286" t="s">
        <v>2259</v>
      </c>
      <c r="B83" s="3287"/>
      <c r="C83" s="3287"/>
      <c r="D83" s="3287"/>
      <c r="E83" s="3287"/>
      <c r="F83" s="3287"/>
      <c r="G83" s="3287"/>
      <c r="H83" s="3287"/>
      <c r="I83" s="2494"/>
      <c r="J83" s="2490"/>
      <c r="K83" s="2490"/>
      <c r="L83" s="2490"/>
      <c r="M83" s="2490"/>
      <c r="N83" s="2490"/>
      <c r="O83" s="2490"/>
      <c r="P83" s="2490"/>
      <c r="Q83" s="2490"/>
      <c r="R83" s="2490"/>
      <c r="S83" s="2490"/>
      <c r="T83" s="2490"/>
      <c r="U83" s="2490"/>
      <c r="V83" s="2490"/>
      <c r="W83" s="2490"/>
      <c r="X83" s="2490"/>
      <c r="Y83" s="2490"/>
      <c r="Z83" s="2490"/>
      <c r="AA83" s="2491"/>
      <c r="AB83" s="2491"/>
      <c r="AC83" s="2491"/>
      <c r="AD83" s="2491"/>
      <c r="AE83" s="2491"/>
      <c r="AF83" s="2491"/>
      <c r="AG83" s="2491"/>
      <c r="AH83" s="2491"/>
      <c r="AI83" s="2491"/>
    </row>
    <row r="84" spans="1:35" s="2489" customFormat="1" ht="14.25">
      <c r="A84" s="3265" t="s">
        <v>2222</v>
      </c>
      <c r="B84" s="3266"/>
      <c r="C84" s="1795"/>
      <c r="D84" s="1795" t="s">
        <v>2223</v>
      </c>
      <c r="E84" s="211" t="s">
        <v>2224</v>
      </c>
      <c r="F84" s="212"/>
      <c r="G84" s="212"/>
      <c r="H84" s="231"/>
      <c r="I84" s="2494"/>
      <c r="J84" s="2490"/>
      <c r="K84" s="2490"/>
      <c r="L84" s="2490"/>
      <c r="M84" s="2490"/>
      <c r="N84" s="2490"/>
      <c r="O84" s="2490"/>
      <c r="P84" s="2490"/>
      <c r="Q84" s="2490"/>
      <c r="R84" s="2490"/>
      <c r="S84" s="2490"/>
      <c r="T84" s="2490"/>
      <c r="U84" s="2490"/>
      <c r="V84" s="2490"/>
      <c r="W84" s="2490"/>
      <c r="X84" s="2490"/>
      <c r="Y84" s="2490"/>
      <c r="Z84" s="2490"/>
      <c r="AA84" s="2491"/>
      <c r="AB84" s="2491"/>
      <c r="AC84" s="2491"/>
      <c r="AD84" s="2491"/>
      <c r="AE84" s="2491"/>
      <c r="AF84" s="2491"/>
      <c r="AG84" s="2491"/>
      <c r="AH84" s="2491"/>
      <c r="AI84" s="2491"/>
    </row>
    <row r="85" spans="1:35" s="2489" customFormat="1" ht="14.25">
      <c r="A85" s="201" t="s">
        <v>775</v>
      </c>
      <c r="B85" s="202" t="s">
        <v>2242</v>
      </c>
      <c r="C85" s="205">
        <f ca="1">ROUND(D45/(1+'数据-取费表'!C42),0)</f>
        <v>373915</v>
      </c>
      <c r="D85" s="198" t="s">
        <v>32</v>
      </c>
      <c r="E85" s="1794"/>
      <c r="F85" s="1788"/>
      <c r="G85" s="1788"/>
      <c r="H85" s="232"/>
      <c r="I85" s="2494"/>
      <c r="J85" s="2490"/>
      <c r="K85" s="2490"/>
      <c r="L85" s="2490"/>
      <c r="M85" s="2490"/>
      <c r="N85" s="2490"/>
      <c r="O85" s="2490"/>
      <c r="P85" s="2490"/>
      <c r="Q85" s="2490"/>
      <c r="R85" s="2490"/>
      <c r="S85" s="2490"/>
      <c r="T85" s="2490"/>
      <c r="U85" s="2490"/>
      <c r="V85" s="2490"/>
      <c r="W85" s="2490"/>
      <c r="X85" s="2490"/>
      <c r="Y85" s="2490"/>
      <c r="Z85" s="2490"/>
      <c r="AA85" s="2491"/>
      <c r="AB85" s="2491"/>
      <c r="AC85" s="2491"/>
      <c r="AD85" s="2491"/>
      <c r="AE85" s="2491"/>
      <c r="AF85" s="2491"/>
      <c r="AG85" s="2491"/>
      <c r="AH85" s="2491"/>
      <c r="AI85" s="2491"/>
    </row>
    <row r="86" spans="1:35" s="2489" customFormat="1" ht="14.25">
      <c r="A86" s="201" t="s">
        <v>772</v>
      </c>
      <c r="B86" s="171" t="s">
        <v>2243</v>
      </c>
      <c r="C86" s="205">
        <f ca="1">IF(H88="仅含出让金",C87+C90+C91+C92+C93+C94,C87+C91+C92+C93+C94)</f>
        <v>1870</v>
      </c>
      <c r="D86" s="233"/>
      <c r="E86" s="1794"/>
      <c r="F86" s="1788"/>
      <c r="G86" s="1788"/>
      <c r="H86" s="232"/>
      <c r="I86" s="2494"/>
      <c r="J86" s="2490"/>
      <c r="K86" s="2490"/>
      <c r="L86" s="2490"/>
      <c r="M86" s="2490"/>
      <c r="N86" s="2490"/>
      <c r="O86" s="2490"/>
      <c r="P86" s="2490"/>
      <c r="Q86" s="2490"/>
      <c r="R86" s="2490"/>
      <c r="S86" s="2490"/>
      <c r="T86" s="2490"/>
      <c r="U86" s="2490"/>
      <c r="V86" s="2490"/>
      <c r="W86" s="2490"/>
      <c r="X86" s="2490"/>
      <c r="Y86" s="2490"/>
      <c r="Z86" s="2490"/>
      <c r="AA86" s="2491"/>
      <c r="AB86" s="2491"/>
      <c r="AC86" s="2491"/>
      <c r="AD86" s="2491"/>
      <c r="AE86" s="2491"/>
      <c r="AF86" s="2491"/>
      <c r="AG86" s="2491"/>
      <c r="AH86" s="2491"/>
      <c r="AI86" s="2491"/>
    </row>
    <row r="87" spans="1:35" s="2489" customFormat="1" ht="14.25">
      <c r="A87" s="215" t="s">
        <v>770</v>
      </c>
      <c r="B87" s="196" t="s">
        <v>2260</v>
      </c>
      <c r="C87" s="223">
        <f>C88+C89</f>
        <v>0</v>
      </c>
      <c r="D87" s="224"/>
      <c r="E87" s="1790"/>
      <c r="F87" s="1791"/>
      <c r="G87" s="1791"/>
      <c r="H87" s="1793"/>
      <c r="I87" s="2494"/>
      <c r="J87" s="2490"/>
      <c r="K87" s="2490"/>
      <c r="L87" s="2490"/>
      <c r="M87" s="2490"/>
      <c r="N87" s="2490"/>
      <c r="O87" s="2490"/>
      <c r="P87" s="2490"/>
      <c r="Q87" s="2490"/>
      <c r="R87" s="2490"/>
      <c r="S87" s="2490"/>
      <c r="T87" s="2490"/>
      <c r="U87" s="2490"/>
      <c r="V87" s="2490"/>
      <c r="W87" s="2490"/>
      <c r="X87" s="2490"/>
      <c r="Y87" s="2490"/>
      <c r="Z87" s="2490"/>
      <c r="AA87" s="2491"/>
      <c r="AB87" s="2491"/>
      <c r="AC87" s="2491"/>
      <c r="AD87" s="2491"/>
      <c r="AE87" s="2491"/>
      <c r="AF87" s="2491"/>
      <c r="AG87" s="2491"/>
      <c r="AH87" s="2491"/>
      <c r="AI87" s="2491"/>
    </row>
    <row r="88" spans="1:35" s="2489" customFormat="1" ht="14.25">
      <c r="A88" s="215" t="s">
        <v>776</v>
      </c>
      <c r="B88" s="196" t="s">
        <v>2261</v>
      </c>
      <c r="C88" s="234"/>
      <c r="D88" s="224"/>
      <c r="E88" s="235" t="s">
        <v>2262</v>
      </c>
      <c r="F88" s="1791"/>
      <c r="G88" s="236" t="s">
        <v>2263</v>
      </c>
      <c r="H88" s="2499"/>
      <c r="I88" s="2494"/>
      <c r="J88" s="2490"/>
      <c r="K88" s="2490"/>
      <c r="L88" s="2490"/>
      <c r="M88" s="2490"/>
      <c r="N88" s="2490"/>
      <c r="O88" s="2490"/>
      <c r="P88" s="2490"/>
      <c r="Q88" s="2490"/>
      <c r="R88" s="2490"/>
      <c r="S88" s="2490"/>
      <c r="T88" s="2490"/>
      <c r="U88" s="2490"/>
      <c r="V88" s="2490"/>
      <c r="W88" s="2490"/>
      <c r="X88" s="2490"/>
      <c r="Y88" s="2490"/>
      <c r="Z88" s="2490"/>
      <c r="AA88" s="2491"/>
      <c r="AB88" s="2491"/>
      <c r="AC88" s="2491"/>
      <c r="AD88" s="2491"/>
      <c r="AE88" s="2491"/>
      <c r="AF88" s="2491"/>
      <c r="AG88" s="2491"/>
      <c r="AH88" s="2491"/>
      <c r="AI88" s="2491"/>
    </row>
    <row r="89" spans="1:35" s="2489" customFormat="1" ht="14.25">
      <c r="A89" s="215" t="s">
        <v>777</v>
      </c>
      <c r="B89" s="196" t="s">
        <v>2251</v>
      </c>
      <c r="C89" s="223">
        <f>ROUND(C88*D89,0)</f>
        <v>0</v>
      </c>
      <c r="D89" s="224">
        <f>'数据-取费表'!B48+'数据-取费表'!B49</f>
        <v>3.0499999999999999E-2</v>
      </c>
      <c r="E89" s="235" t="s">
        <v>2264</v>
      </c>
      <c r="F89" s="1791"/>
      <c r="G89" s="1791"/>
      <c r="H89" s="1793"/>
      <c r="I89" s="2494"/>
      <c r="J89" s="2490"/>
      <c r="K89" s="2490"/>
      <c r="L89" s="2490"/>
      <c r="M89" s="2490"/>
      <c r="N89" s="2490"/>
      <c r="O89" s="2490"/>
      <c r="P89" s="2490"/>
      <c r="Q89" s="2490"/>
      <c r="R89" s="2490"/>
      <c r="S89" s="2490"/>
      <c r="T89" s="2490"/>
      <c r="U89" s="2490"/>
      <c r="V89" s="2490"/>
      <c r="W89" s="2490"/>
      <c r="X89" s="2490"/>
      <c r="Y89" s="2490"/>
      <c r="Z89" s="2490"/>
      <c r="AA89" s="2491"/>
      <c r="AB89" s="2491"/>
      <c r="AC89" s="2491"/>
      <c r="AD89" s="2491"/>
      <c r="AE89" s="2491"/>
      <c r="AF89" s="2491"/>
      <c r="AG89" s="2491"/>
      <c r="AH89" s="2491"/>
      <c r="AI89" s="2491"/>
    </row>
    <row r="90" spans="1:35" s="2489" customFormat="1" ht="14.25">
      <c r="A90" s="215" t="s">
        <v>771</v>
      </c>
      <c r="B90" s="196" t="s">
        <v>2265</v>
      </c>
      <c r="C90" s="234"/>
      <c r="D90" s="224"/>
      <c r="E90" s="235" t="str">
        <f>IF(H88="-","土地取得成本中已包含该笔费用"," ")</f>
        <v xml:space="preserve"> </v>
      </c>
      <c r="F90" s="1791"/>
      <c r="G90" s="1791"/>
      <c r="H90" s="1793"/>
      <c r="I90" s="2494"/>
      <c r="J90" s="2490"/>
      <c r="K90" s="2490"/>
      <c r="L90" s="2490"/>
      <c r="M90" s="2490"/>
      <c r="N90" s="2490"/>
      <c r="O90" s="2490"/>
      <c r="P90" s="2490"/>
      <c r="Q90" s="2490"/>
      <c r="R90" s="2490"/>
      <c r="S90" s="2490"/>
      <c r="T90" s="2490"/>
      <c r="U90" s="2490"/>
      <c r="V90" s="2490"/>
      <c r="W90" s="2490"/>
      <c r="X90" s="2490"/>
      <c r="Y90" s="2490"/>
      <c r="Z90" s="2490"/>
      <c r="AA90" s="2491"/>
      <c r="AB90" s="2491"/>
      <c r="AC90" s="2491"/>
      <c r="AD90" s="2491"/>
      <c r="AE90" s="2491"/>
      <c r="AF90" s="2491"/>
      <c r="AG90" s="2491"/>
      <c r="AH90" s="2491"/>
      <c r="AI90" s="2491"/>
    </row>
    <row r="91" spans="1:35" s="2489" customFormat="1" ht="27.75" customHeight="1">
      <c r="A91" s="215" t="s">
        <v>2266</v>
      </c>
      <c r="B91" s="196" t="s">
        <v>2267</v>
      </c>
      <c r="C91" s="223">
        <f>IF(H91="——",成本法!C33,I91)</f>
        <v>0</v>
      </c>
      <c r="D91" s="224"/>
      <c r="E91" s="3246" t="s">
        <v>2268</v>
      </c>
      <c r="F91" s="3247"/>
      <c r="G91" s="3247"/>
      <c r="H91" s="2500" t="s">
        <v>2269</v>
      </c>
      <c r="I91" s="2501"/>
      <c r="J91" s="2490"/>
      <c r="K91" s="2490"/>
      <c r="L91" s="2490"/>
      <c r="M91" s="2490"/>
      <c r="N91" s="2490"/>
      <c r="O91" s="2490"/>
      <c r="P91" s="2490"/>
      <c r="Q91" s="2490"/>
      <c r="R91" s="2490"/>
      <c r="S91" s="2490"/>
      <c r="T91" s="2490"/>
      <c r="U91" s="2490"/>
      <c r="V91" s="2490"/>
      <c r="W91" s="2490"/>
      <c r="X91" s="2490"/>
      <c r="Y91" s="2490"/>
      <c r="Z91" s="2490"/>
      <c r="AA91" s="2491"/>
      <c r="AB91" s="2491"/>
      <c r="AC91" s="2491"/>
      <c r="AD91" s="2491"/>
      <c r="AE91" s="2491"/>
      <c r="AF91" s="2491"/>
      <c r="AG91" s="2491"/>
      <c r="AH91" s="2491"/>
      <c r="AI91" s="2491"/>
    </row>
    <row r="92" spans="1:35" s="2489" customFormat="1" ht="25.5" customHeight="1">
      <c r="A92" s="215" t="s">
        <v>2270</v>
      </c>
      <c r="B92" s="196" t="s">
        <v>2271</v>
      </c>
      <c r="C92" s="223">
        <f>ROUND((C87+C90+C91)*D92,0)</f>
        <v>0</v>
      </c>
      <c r="D92" s="224">
        <v>0.1</v>
      </c>
      <c r="E92" s="3246" t="s">
        <v>2272</v>
      </c>
      <c r="F92" s="3247"/>
      <c r="G92" s="3247"/>
      <c r="H92" s="3256"/>
      <c r="I92" s="2494"/>
      <c r="J92" s="2490"/>
      <c r="K92" s="2490"/>
      <c r="L92" s="2490"/>
      <c r="M92" s="2490"/>
      <c r="N92" s="2490"/>
      <c r="O92" s="2490"/>
      <c r="P92" s="2490"/>
      <c r="Q92" s="2490"/>
      <c r="R92" s="2490"/>
      <c r="S92" s="2490"/>
      <c r="T92" s="2490"/>
      <c r="U92" s="2490"/>
      <c r="V92" s="2490"/>
      <c r="W92" s="2490"/>
      <c r="X92" s="2490"/>
      <c r="Y92" s="2490"/>
      <c r="Z92" s="2490"/>
      <c r="AA92" s="2491"/>
      <c r="AB92" s="2491"/>
      <c r="AC92" s="2491"/>
      <c r="AD92" s="2491"/>
      <c r="AE92" s="2491"/>
      <c r="AF92" s="2491"/>
      <c r="AG92" s="2491"/>
      <c r="AH92" s="2491"/>
      <c r="AI92" s="2491"/>
    </row>
    <row r="93" spans="1:35" s="2489" customFormat="1" ht="25.5" customHeight="1">
      <c r="A93" s="215" t="s">
        <v>2273</v>
      </c>
      <c r="B93" s="196" t="s">
        <v>2254</v>
      </c>
      <c r="C93" s="223">
        <f ca="1">ROUND(D45*D93/(1+'数据-取费表'!C42),0)</f>
        <v>1870</v>
      </c>
      <c r="D93" s="224">
        <f>'数据-取费表'!B43</f>
        <v>5.000000000000001E-3</v>
      </c>
      <c r="E93" s="3246" t="s">
        <v>2255</v>
      </c>
      <c r="F93" s="3247"/>
      <c r="G93" s="3247"/>
      <c r="H93" s="3256"/>
      <c r="I93" s="2494"/>
      <c r="J93" s="2490"/>
      <c r="K93" s="2490"/>
      <c r="L93" s="2490"/>
      <c r="M93" s="2490"/>
      <c r="N93" s="2490"/>
      <c r="O93" s="2490"/>
      <c r="P93" s="2490"/>
      <c r="Q93" s="2490"/>
      <c r="R93" s="2490"/>
      <c r="S93" s="2490"/>
      <c r="T93" s="2490"/>
      <c r="U93" s="2490"/>
      <c r="V93" s="2490"/>
      <c r="W93" s="2490"/>
      <c r="X93" s="2490"/>
      <c r="Y93" s="2490"/>
      <c r="Z93" s="2490"/>
      <c r="AA93" s="2491"/>
      <c r="AB93" s="2491"/>
      <c r="AC93" s="2491"/>
      <c r="AD93" s="2491"/>
      <c r="AE93" s="2491"/>
      <c r="AF93" s="2491"/>
      <c r="AG93" s="2491"/>
      <c r="AH93" s="2491"/>
      <c r="AI93" s="2491"/>
    </row>
    <row r="94" spans="1:35" s="2489" customFormat="1" ht="36.75" customHeight="1">
      <c r="A94" s="215" t="s">
        <v>2274</v>
      </c>
      <c r="B94" s="196" t="s">
        <v>2275</v>
      </c>
      <c r="C94" s="234">
        <f>ROUND((C87+C90+C91)*D94,0)</f>
        <v>0</v>
      </c>
      <c r="D94" s="224">
        <v>0.2</v>
      </c>
      <c r="E94" s="3257" t="s">
        <v>2276</v>
      </c>
      <c r="F94" s="3258"/>
      <c r="G94" s="3258"/>
      <c r="H94" s="3259"/>
      <c r="I94" s="2494"/>
      <c r="J94" s="2490"/>
      <c r="K94" s="2490"/>
      <c r="L94" s="2490"/>
      <c r="M94" s="2490"/>
      <c r="N94" s="2490"/>
      <c r="O94" s="2490"/>
      <c r="P94" s="2490"/>
      <c r="Q94" s="2490"/>
      <c r="R94" s="2490"/>
      <c r="S94" s="2490"/>
      <c r="T94" s="2490"/>
      <c r="U94" s="2490"/>
      <c r="V94" s="2490"/>
      <c r="W94" s="2490"/>
      <c r="X94" s="2490"/>
      <c r="Y94" s="2490"/>
      <c r="Z94" s="2490"/>
      <c r="AA94" s="2491"/>
      <c r="AB94" s="2491"/>
      <c r="AC94" s="2491"/>
      <c r="AD94" s="2491"/>
      <c r="AE94" s="2491"/>
      <c r="AF94" s="2491"/>
      <c r="AG94" s="2491"/>
      <c r="AH94" s="2491"/>
      <c r="AI94" s="2491"/>
    </row>
    <row r="95" spans="1:35" s="2489" customFormat="1" ht="14.25">
      <c r="A95" s="2497" t="s">
        <v>779</v>
      </c>
      <c r="B95" s="202" t="s">
        <v>2256</v>
      </c>
      <c r="C95" s="205">
        <f ca="1">ROUND(C85-C86,0)</f>
        <v>372045</v>
      </c>
      <c r="D95" s="198" t="s">
        <v>32</v>
      </c>
      <c r="E95" s="1794"/>
      <c r="F95" s="1788"/>
      <c r="G95" s="1788"/>
      <c r="H95" s="232"/>
      <c r="I95" s="2494"/>
      <c r="J95" s="2490"/>
      <c r="K95" s="2490"/>
      <c r="L95" s="2490"/>
      <c r="M95" s="2490"/>
      <c r="N95" s="2490"/>
      <c r="O95" s="2490"/>
      <c r="P95" s="2490"/>
      <c r="Q95" s="2490"/>
      <c r="R95" s="2490"/>
      <c r="S95" s="2490"/>
      <c r="T95" s="2490"/>
      <c r="U95" s="2490"/>
      <c r="V95" s="2490"/>
      <c r="W95" s="2490"/>
      <c r="X95" s="2490"/>
      <c r="Y95" s="2490"/>
      <c r="Z95" s="2490"/>
      <c r="AA95" s="2491"/>
      <c r="AB95" s="2491"/>
      <c r="AC95" s="2491"/>
      <c r="AD95" s="2491"/>
      <c r="AE95" s="2491"/>
      <c r="AF95" s="2491"/>
      <c r="AG95" s="2491"/>
      <c r="AH95" s="2491"/>
      <c r="AI95" s="2491"/>
    </row>
    <row r="96" spans="1:35" s="2489" customFormat="1" ht="24">
      <c r="A96" s="2497" t="s">
        <v>780</v>
      </c>
      <c r="B96" s="202" t="s">
        <v>2257</v>
      </c>
      <c r="C96" s="225">
        <f ca="1">IF(C95&lt;=0,0,C95/C86)</f>
        <v>198.95454545454547</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8"/>
      <c r="G96" s="1788"/>
      <c r="H96" s="232"/>
      <c r="I96" s="2494"/>
      <c r="J96" s="2490"/>
      <c r="K96" s="2490"/>
      <c r="L96" s="2490"/>
      <c r="M96" s="2490"/>
      <c r="N96" s="2490"/>
      <c r="O96" s="2490"/>
      <c r="P96" s="2490"/>
      <c r="Q96" s="2490"/>
      <c r="R96" s="2490"/>
      <c r="S96" s="2490"/>
      <c r="T96" s="2490"/>
      <c r="U96" s="2490"/>
      <c r="V96" s="2490"/>
      <c r="W96" s="2490"/>
      <c r="X96" s="2490"/>
      <c r="Y96" s="2490"/>
      <c r="Z96" s="2490"/>
      <c r="AA96" s="2491"/>
      <c r="AB96" s="2491"/>
      <c r="AC96" s="2491"/>
      <c r="AD96" s="2491"/>
      <c r="AE96" s="2491"/>
      <c r="AF96" s="2491"/>
      <c r="AG96" s="2491"/>
      <c r="AH96" s="2491"/>
      <c r="AI96" s="2491"/>
    </row>
    <row r="97" spans="1:35" s="2489" customFormat="1" ht="24.75" thickBot="1">
      <c r="A97" s="2498" t="s">
        <v>781</v>
      </c>
      <c r="B97" s="207" t="s">
        <v>2258</v>
      </c>
      <c r="C97" s="226">
        <f ca="1">ROUND(IF(C95&lt;=0,0,IF(C96&gt;=200%,C95*60%-C86*35%,IF(C96&gt;=100%,C95*50%-C86*15%,IF(C96&gt;=50%,C95*40%-C86*5%,IF(C96&lt;50%,C95*30%,0))))),0)</f>
        <v>222573</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494"/>
      <c r="J97" s="2490"/>
      <c r="K97" s="2490"/>
      <c r="L97" s="2490"/>
      <c r="M97" s="2490"/>
      <c r="N97" s="2490"/>
      <c r="O97" s="2490"/>
      <c r="P97" s="2490"/>
      <c r="Q97" s="2490"/>
      <c r="R97" s="2490"/>
      <c r="S97" s="2490"/>
      <c r="T97" s="2490"/>
      <c r="U97" s="2490"/>
      <c r="V97" s="2490"/>
      <c r="W97" s="2490"/>
      <c r="X97" s="2490"/>
      <c r="Y97" s="2490"/>
      <c r="Z97" s="2490"/>
      <c r="AA97" s="2491"/>
      <c r="AB97" s="2491"/>
      <c r="AC97" s="2491"/>
      <c r="AD97" s="2491"/>
      <c r="AE97" s="2491"/>
      <c r="AF97" s="2491"/>
      <c r="AG97" s="2491"/>
      <c r="AH97" s="2491"/>
      <c r="AI97" s="2491"/>
    </row>
    <row r="98" spans="1:35" ht="21.75" customHeight="1">
      <c r="A98" s="2478"/>
      <c r="B98" s="2400"/>
      <c r="C98" s="2400"/>
      <c r="D98" s="2400"/>
      <c r="E98" s="2151"/>
      <c r="F98" s="2151"/>
      <c r="G98" s="2151"/>
      <c r="H98" s="2150"/>
      <c r="I98" s="136"/>
    </row>
    <row r="99" spans="1:35" ht="21.75" customHeight="1" thickBot="1">
      <c r="A99" s="2456" t="s">
        <v>2277</v>
      </c>
      <c r="B99" s="2400"/>
      <c r="C99" s="2400"/>
      <c r="D99" s="2400"/>
      <c r="E99" s="2151"/>
      <c r="F99" s="2151"/>
      <c r="G99" s="2151"/>
      <c r="H99" s="2150"/>
      <c r="I99" s="136"/>
    </row>
    <row r="100" spans="1:35" ht="18.75" customHeight="1">
      <c r="A100" s="3231" t="s">
        <v>2278</v>
      </c>
      <c r="B100" s="3232"/>
      <c r="C100" s="3232"/>
      <c r="D100" s="3248"/>
      <c r="E100" s="3232" t="s">
        <v>2279</v>
      </c>
      <c r="F100" s="3232"/>
      <c r="G100" s="3232"/>
      <c r="H100" s="3248"/>
      <c r="I100" s="136"/>
    </row>
    <row r="101" spans="1:35" ht="18.75" customHeight="1">
      <c r="A101" s="3310" t="s">
        <v>2280</v>
      </c>
      <c r="B101" s="3311"/>
      <c r="C101" s="734" t="str">
        <f>C4</f>
        <v>成本法</v>
      </c>
      <c r="D101" s="735" t="str">
        <f>D4</f>
        <v>假设开发法</v>
      </c>
      <c r="E101" s="3324" t="s">
        <v>2281</v>
      </c>
      <c r="F101" s="3278"/>
      <c r="G101" s="2502" t="s">
        <v>2282</v>
      </c>
      <c r="H101" s="1042">
        <f ca="1">H118</f>
        <v>392611</v>
      </c>
      <c r="I101" s="136"/>
    </row>
    <row r="102" spans="1:35" ht="18.75" customHeight="1">
      <c r="A102" s="3280" t="s">
        <v>2283</v>
      </c>
      <c r="B102" s="2502" t="s">
        <v>2282</v>
      </c>
      <c r="C102" s="734">
        <f ca="1">C19</f>
        <v>452001</v>
      </c>
      <c r="D102" s="735">
        <f ca="1">D19</f>
        <v>333220</v>
      </c>
      <c r="E102" s="3324"/>
      <c r="F102" s="3278"/>
      <c r="G102" s="2502" t="s">
        <v>2284</v>
      </c>
      <c r="H102" s="369">
        <f ca="1">I118</f>
        <v>26306</v>
      </c>
      <c r="I102" s="136"/>
    </row>
    <row r="103" spans="1:35" ht="42.75" customHeight="1">
      <c r="A103" s="3280"/>
      <c r="B103" s="2502" t="s">
        <v>2284</v>
      </c>
      <c r="C103" s="736">
        <f ca="1">C20</f>
        <v>30285</v>
      </c>
      <c r="D103" s="737">
        <f ca="1">D20</f>
        <v>22327</v>
      </c>
      <c r="E103" s="3319" t="s">
        <v>2285</v>
      </c>
      <c r="F103" s="3320"/>
      <c r="G103" s="2503" t="s">
        <v>2286</v>
      </c>
      <c r="H103" s="1042">
        <f>IF(D36="正常操作",H104+H105+H106,H105+H106)</f>
        <v>0</v>
      </c>
      <c r="I103" s="136"/>
    </row>
    <row r="104" spans="1:35" ht="18.75" customHeight="1">
      <c r="A104" s="3280" t="s">
        <v>2287</v>
      </c>
      <c r="B104" s="2504" t="s">
        <v>2282</v>
      </c>
      <c r="C104" s="738">
        <f ca="1">H118</f>
        <v>392611</v>
      </c>
      <c r="D104" s="739"/>
      <c r="E104" s="2252" t="s">
        <v>2288</v>
      </c>
      <c r="F104" s="2243"/>
      <c r="G104" s="2503" t="s">
        <v>2286</v>
      </c>
      <c r="H104" s="1043">
        <f>IF(D36="同一抵押权人同一抵押物续贷",C36&amp;"（未扣减，详见特别提示）",C36)</f>
        <v>0</v>
      </c>
      <c r="I104" s="136"/>
    </row>
    <row r="105" spans="1:35" ht="18.75" customHeight="1" thickBot="1">
      <c r="A105" s="3281"/>
      <c r="B105" s="2505" t="s">
        <v>2284</v>
      </c>
      <c r="C105" s="740">
        <f ca="1">I118</f>
        <v>26306</v>
      </c>
      <c r="D105" s="741"/>
      <c r="E105" s="2252" t="s">
        <v>2289</v>
      </c>
      <c r="F105" s="2243"/>
      <c r="G105" s="2503" t="s">
        <v>2286</v>
      </c>
      <c r="H105" s="1043">
        <f>C37</f>
        <v>0</v>
      </c>
      <c r="I105" s="136"/>
    </row>
    <row r="106" spans="1:35" ht="18.75" customHeight="1">
      <c r="A106" s="2400" t="s">
        <v>2290</v>
      </c>
      <c r="B106" s="2400"/>
      <c r="C106" s="2400"/>
      <c r="D106" s="2400"/>
      <c r="E106" s="2506" t="s">
        <v>2291</v>
      </c>
      <c r="F106" s="2243"/>
      <c r="G106" s="2503" t="s">
        <v>2286</v>
      </c>
      <c r="H106" s="1043">
        <f>C38</f>
        <v>0</v>
      </c>
      <c r="I106" s="136"/>
    </row>
    <row r="107" spans="1:35" ht="18.75" customHeight="1">
      <c r="A107" s="136"/>
      <c r="B107" s="136"/>
      <c r="C107" s="136"/>
      <c r="D107" s="136"/>
      <c r="E107" s="3277" t="str">
        <f>IF(项目基本情况!E8="已注销","——","3.房地产抵押价值")</f>
        <v>——</v>
      </c>
      <c r="F107" s="3278"/>
      <c r="G107" s="2502" t="s">
        <v>2282</v>
      </c>
      <c r="H107" s="1042" t="str">
        <f>IF(E107="——","——",H101-H103)</f>
        <v>——</v>
      </c>
      <c r="I107" s="136"/>
    </row>
    <row r="108" spans="1:35" ht="18.75" customHeight="1">
      <c r="A108" s="136"/>
      <c r="B108" s="136"/>
      <c r="C108" s="136"/>
      <c r="D108" s="136"/>
      <c r="E108" s="3277"/>
      <c r="F108" s="3278"/>
      <c r="G108" s="2502" t="s">
        <v>2284</v>
      </c>
      <c r="H108" s="369" t="e">
        <f>ROUND(H107*10000/'数据-汇总表'!E3,0)</f>
        <v>#VALUE!</v>
      </c>
      <c r="I108" s="136"/>
    </row>
    <row r="109" spans="1:35" ht="18.75" customHeight="1">
      <c r="A109" s="136"/>
      <c r="B109" s="136"/>
      <c r="C109" s="136"/>
      <c r="D109" s="136"/>
      <c r="E109" s="3277" t="str">
        <f>IF(项目基本情况!E8="已注销及未注销","4.抵押担保权已注销时的房地产抵押价值",IF(项目基本情况!E8="已注销","3.抵押担保权已注销时的房地产抵押价值","——"))</f>
        <v>3.抵押担保权已注销时的房地产抵押价值</v>
      </c>
      <c r="F109" s="3278"/>
      <c r="G109" s="2502" t="s">
        <v>2282</v>
      </c>
      <c r="H109" s="346">
        <f ca="1">IF(E109="——","——",H101-H105-H106)</f>
        <v>392611</v>
      </c>
      <c r="I109" s="136"/>
    </row>
    <row r="110" spans="1:35" ht="18.75" customHeight="1">
      <c r="A110" s="136"/>
      <c r="B110" s="136"/>
      <c r="C110" s="136"/>
      <c r="D110" s="136"/>
      <c r="E110" s="3277"/>
      <c r="F110" s="3278"/>
      <c r="G110" s="2502" t="s">
        <v>2284</v>
      </c>
      <c r="H110" s="369">
        <f ca="1">IF(H109="——","——",ROUND(H109*10000/'数据-汇总表'!E3,0))</f>
        <v>26306</v>
      </c>
      <c r="I110" s="136"/>
    </row>
    <row r="111" spans="1:35" ht="18.75" customHeight="1">
      <c r="A111" s="136"/>
      <c r="B111" s="136"/>
      <c r="C111" s="136"/>
      <c r="D111" s="136"/>
      <c r="E111" s="3312" t="str">
        <f>IF(项目基本情况!E9="抵押净值",IF(OR(项目基本情况!E8="已注销",项目基本情况!E8="房地产抵押价值"),"4.抵押净值","5.抵押净值"),"——")</f>
        <v>——</v>
      </c>
      <c r="F111" s="3313"/>
      <c r="G111" s="2502" t="s">
        <v>2282</v>
      </c>
      <c r="H111" s="1042" t="str">
        <f>IF(E111="——","——",N59)</f>
        <v>——</v>
      </c>
      <c r="I111" s="136"/>
    </row>
    <row r="112" spans="1:35" ht="18.75" customHeight="1" thickBot="1">
      <c r="A112" s="136"/>
      <c r="B112" s="136"/>
      <c r="C112" s="136"/>
      <c r="D112" s="136"/>
      <c r="E112" s="3314"/>
      <c r="F112" s="3315"/>
      <c r="G112" s="2507" t="s">
        <v>2284</v>
      </c>
      <c r="H112" s="788" t="str">
        <f>IF(E111="——","——",N61)</f>
        <v>——</v>
      </c>
      <c r="I112" s="136"/>
    </row>
    <row r="113" spans="1:11" ht="18.75" customHeight="1">
      <c r="A113" s="136"/>
      <c r="B113" s="136"/>
      <c r="C113" s="136"/>
      <c r="D113" s="136"/>
      <c r="E113" s="3282" t="s">
        <v>2290</v>
      </c>
      <c r="F113" s="3282"/>
      <c r="G113" s="3282"/>
      <c r="H113" s="3282"/>
      <c r="I113" s="136"/>
    </row>
    <row r="114" spans="1:11" ht="3.75" customHeight="1">
      <c r="A114" s="2400"/>
      <c r="B114" s="2400"/>
      <c r="C114" s="2400"/>
      <c r="D114" s="2400"/>
      <c r="E114" s="2478"/>
      <c r="F114" s="2478"/>
      <c r="G114" s="2478"/>
      <c r="H114" s="2478"/>
      <c r="I114" s="2400"/>
    </row>
    <row r="115" spans="1:11" ht="18.75" customHeight="1">
      <c r="A115" s="3295" t="s">
        <v>2292</v>
      </c>
      <c r="B115" s="3296"/>
      <c r="C115" s="3296"/>
      <c r="D115" s="3296"/>
      <c r="E115" s="3296"/>
      <c r="F115" s="3296"/>
      <c r="G115" s="3296"/>
      <c r="H115" s="3296"/>
      <c r="I115" s="3297"/>
    </row>
    <row r="116" spans="1:11" ht="27" customHeight="1">
      <c r="A116" s="3168" t="s">
        <v>2293</v>
      </c>
      <c r="B116" s="3283" t="s">
        <v>2294</v>
      </c>
      <c r="C116" s="3283" t="s">
        <v>2295</v>
      </c>
      <c r="D116" s="3299" t="s">
        <v>2296</v>
      </c>
      <c r="E116" s="3300"/>
      <c r="F116" s="3291" t="s">
        <v>2297</v>
      </c>
      <c r="G116" s="3291"/>
      <c r="H116" s="3168" t="s">
        <v>2298</v>
      </c>
      <c r="I116" s="3168"/>
    </row>
    <row r="117" spans="1:11" ht="18.75" customHeight="1">
      <c r="A117" s="3168"/>
      <c r="B117" s="3284"/>
      <c r="C117" s="3284"/>
      <c r="D117" s="1789" t="s">
        <v>2299</v>
      </c>
      <c r="E117" s="1789" t="s">
        <v>2300</v>
      </c>
      <c r="F117" s="1789" t="s">
        <v>2299</v>
      </c>
      <c r="G117" s="1789" t="s">
        <v>2301</v>
      </c>
      <c r="H117" s="1789" t="s">
        <v>2299</v>
      </c>
      <c r="I117" s="1789" t="s">
        <v>2301</v>
      </c>
    </row>
    <row r="118" spans="1:11" ht="24.75" customHeight="1">
      <c r="A118" s="2508" t="str">
        <f>项目基本情况!S2</f>
        <v>北京市北京市顺义区高丽营镇于庄03-31号地块出让国有建设用地使用权及在建建筑物房地产</v>
      </c>
      <c r="B118" s="1789">
        <f>M18</f>
        <v>149246.95000000001</v>
      </c>
      <c r="C118" s="1789">
        <f>M19</f>
        <v>59319.7</v>
      </c>
      <c r="D118" s="1789">
        <f ca="1">ROUND(IF(D32="总价",C34,E118*B118/10000),0)</f>
        <v>360417</v>
      </c>
      <c r="E118" s="1789">
        <f ca="1">ROUND(IF(C33="自定义",IF(D32="楼面单价",C34,D118*10000/B118),I118-G118),0)</f>
        <v>24149</v>
      </c>
      <c r="F118" s="1789">
        <f ca="1">ROUND(IF(D32="总价",C35,G118*B118/10000),0)</f>
        <v>32194</v>
      </c>
      <c r="G118" s="1789">
        <f ca="1">ROUND(IF(D32="楼面单价",C35,F118*10000/B118),0)</f>
        <v>2157</v>
      </c>
      <c r="H118" s="1789">
        <f ca="1">ROUND(IF(D32="总价",C32,I118*B118/10000),0)</f>
        <v>392611</v>
      </c>
      <c r="I118" s="1789">
        <f ca="1">ROUND(IF(D32="楼面单价",C32,H118*10000/B118),0)</f>
        <v>26306</v>
      </c>
    </row>
    <row r="119" spans="1:11" ht="18.75" customHeight="1">
      <c r="A119" s="3168" t="s">
        <v>2302</v>
      </c>
      <c r="B119" s="3168"/>
      <c r="C119" s="3168"/>
      <c r="D119" s="3288" t="str">
        <f ca="1">NUMBERSTRING(INT(D118*10000),2)&amp;"元整"</f>
        <v>叁拾陆亿零肆佰壹拾柒万元整</v>
      </c>
      <c r="E119" s="3290"/>
      <c r="F119" s="3288" t="str">
        <f ca="1">NUMBERSTRING(INT(F118*10000),2)&amp;"元整"</f>
        <v>叁亿贰仟壹佰玖拾肆万元整</v>
      </c>
      <c r="G119" s="3290"/>
      <c r="H119" s="3288" t="str">
        <f ca="1">NUMBERSTRING(INT(H118*10000),2)&amp;"元整"</f>
        <v>叁拾玖亿贰仟陆佰壹拾壹万元整</v>
      </c>
      <c r="I119" s="3290"/>
    </row>
    <row r="120" spans="1:11" ht="18.75" customHeight="1">
      <c r="A120" s="3316" t="str">
        <f>IF(项目基本情况!B9="房地产市场价值","",MID(E103,3,LEN(E103)-2))</f>
        <v>估价师知悉的法定优先受偿款</v>
      </c>
      <c r="B120" s="3317"/>
      <c r="C120" s="3318"/>
      <c r="D120" s="3316">
        <f>H103</f>
        <v>0</v>
      </c>
      <c r="E120" s="3317"/>
      <c r="F120" s="3317"/>
      <c r="G120" s="3317"/>
      <c r="H120" s="3317"/>
      <c r="I120" s="3318"/>
      <c r="K120" s="2405" t="str">
        <f>IF(D120=0,"故，本次评估不存在"&amp;A120,"故，本次评估"&amp;A120&amp;"为人民币"&amp;D120&amp;"万元整。")</f>
        <v>故，本次评估不存在估价师知悉的法定优先受偿款</v>
      </c>
    </row>
    <row r="121" spans="1:11" ht="18.75" customHeight="1">
      <c r="A121" s="3292" t="s">
        <v>2302</v>
      </c>
      <c r="B121" s="3293"/>
      <c r="C121" s="3294"/>
      <c r="D121" s="3288" t="str">
        <f>IF(D120=0,"零元整",NUMBERSTRING(INT(D120*10000),2)&amp;"元整")</f>
        <v>零元整</v>
      </c>
      <c r="E121" s="3289"/>
      <c r="F121" s="3289"/>
      <c r="G121" s="3289"/>
      <c r="H121" s="3289"/>
      <c r="I121" s="3290"/>
    </row>
    <row r="122" spans="1:11" ht="18.75" customHeight="1">
      <c r="A122" s="3279" t="str">
        <f>IF(项目基本情况!B9="房地产市场价值","",MID(E107,3,LEN(E107)-2))</f>
        <v/>
      </c>
      <c r="B122" s="3279"/>
      <c r="C122" s="3279"/>
      <c r="D122" s="3316" t="str">
        <f>H107</f>
        <v>——</v>
      </c>
      <c r="E122" s="3317"/>
      <c r="F122" s="3317"/>
      <c r="G122" s="3317"/>
      <c r="H122" s="3317"/>
      <c r="I122" s="3318"/>
    </row>
    <row r="123" spans="1:11" ht="18.75" customHeight="1">
      <c r="A123" s="3168" t="s">
        <v>2302</v>
      </c>
      <c r="B123" s="3168"/>
      <c r="C123" s="3168"/>
      <c r="D123" s="3288" t="e">
        <f>NUMBERSTRING(INT(D122*10000),2)&amp;"元整"</f>
        <v>#VALUE!</v>
      </c>
      <c r="E123" s="3289"/>
      <c r="F123" s="3289"/>
      <c r="G123" s="3289"/>
      <c r="H123" s="3289"/>
      <c r="I123" s="3290"/>
    </row>
    <row r="124" spans="1:11" ht="18.75" customHeight="1">
      <c r="A124" s="3279" t="str">
        <f>IF(项目基本情况!B9="房地产市场价值","",MID(E109,3,LEN(E109)-2))</f>
        <v>抵押担保权已注销时的房地产抵押价值</v>
      </c>
      <c r="B124" s="3279"/>
      <c r="C124" s="3279"/>
      <c r="D124" s="3316">
        <f ca="1">H109</f>
        <v>392611</v>
      </c>
      <c r="E124" s="3317"/>
      <c r="F124" s="3317"/>
      <c r="G124" s="3317"/>
      <c r="H124" s="3317"/>
      <c r="I124" s="3318"/>
    </row>
    <row r="125" spans="1:11" ht="18.75" customHeight="1">
      <c r="A125" s="3168" t="s">
        <v>2302</v>
      </c>
      <c r="B125" s="3168"/>
      <c r="C125" s="3168"/>
      <c r="D125" s="3288" t="str">
        <f ca="1">NUMBERSTRING(INT(D124*10000),2)&amp;"元整"</f>
        <v>叁拾玖亿贰仟陆佰壹拾壹万元整</v>
      </c>
      <c r="E125" s="3289"/>
      <c r="F125" s="3289"/>
      <c r="G125" s="3289"/>
      <c r="H125" s="3289"/>
      <c r="I125" s="3290"/>
    </row>
    <row r="126" spans="1:11" ht="18.75" customHeight="1">
      <c r="A126" s="3279" t="str">
        <f>IF(项目基本情况!B9="房地产市场价值","",MID(E111,3,LEN(E111)-2))</f>
        <v/>
      </c>
      <c r="B126" s="3279"/>
      <c r="C126" s="3279"/>
      <c r="D126" s="3316" t="str">
        <f>H111</f>
        <v>——</v>
      </c>
      <c r="E126" s="3317"/>
      <c r="F126" s="3317"/>
      <c r="G126" s="3317"/>
      <c r="H126" s="3317"/>
      <c r="I126" s="3318"/>
    </row>
    <row r="127" spans="1:11" ht="18.75" customHeight="1">
      <c r="A127" s="3168" t="s">
        <v>2302</v>
      </c>
      <c r="B127" s="3168"/>
      <c r="C127" s="3168"/>
      <c r="D127" s="3288" t="e">
        <f>NUMBERSTRING(INT(D126*10000),2)&amp;"元整"</f>
        <v>#VALUE!</v>
      </c>
      <c r="E127" s="3289"/>
      <c r="F127" s="3289"/>
      <c r="G127" s="3289"/>
      <c r="H127" s="3289"/>
      <c r="I127" s="3290"/>
    </row>
    <row r="128" spans="1:11" ht="21.75" customHeight="1">
      <c r="A128" s="3298" t="s">
        <v>2303</v>
      </c>
      <c r="B128" s="3298"/>
      <c r="C128" s="3298"/>
      <c r="D128" s="3298"/>
      <c r="E128" s="3298"/>
      <c r="F128" s="3298"/>
      <c r="G128" s="3298"/>
      <c r="H128" s="3298"/>
      <c r="I128" s="3298"/>
    </row>
    <row r="129" spans="1:35" ht="21.75" customHeight="1">
      <c r="A129" s="2509" t="s">
        <v>2304</v>
      </c>
      <c r="B129" s="2510"/>
      <c r="C129" s="2511" t="s">
        <v>2305</v>
      </c>
      <c r="D129" s="2512"/>
      <c r="E129" s="2512"/>
      <c r="F129" s="2512"/>
      <c r="G129" s="2512"/>
      <c r="H129" s="2513"/>
      <c r="I129" s="2514"/>
    </row>
    <row r="130" spans="1:35" ht="21.75" customHeight="1">
      <c r="A130" s="2515">
        <v>1</v>
      </c>
      <c r="B130" s="2516"/>
      <c r="C130" s="2516"/>
      <c r="D130" s="2517"/>
      <c r="E130" s="2517"/>
      <c r="F130" s="2517"/>
      <c r="G130" s="2517"/>
      <c r="H130" s="2518"/>
      <c r="I130" s="2519"/>
    </row>
    <row r="131" spans="1:35" ht="21.75" customHeight="1">
      <c r="A131" s="2515">
        <v>2</v>
      </c>
      <c r="B131" s="2516"/>
      <c r="C131" s="2516"/>
      <c r="D131" s="2517"/>
      <c r="E131" s="2517"/>
      <c r="F131" s="2517"/>
      <c r="G131" s="2517"/>
      <c r="H131" s="2518"/>
      <c r="I131" s="2519"/>
    </row>
    <row r="132" spans="1:35" ht="21.75" customHeight="1">
      <c r="A132" s="2515">
        <v>3</v>
      </c>
      <c r="B132" s="2516"/>
      <c r="C132" s="2516"/>
      <c r="D132" s="2517"/>
      <c r="E132" s="2517"/>
      <c r="F132" s="2517"/>
      <c r="G132" s="2517"/>
      <c r="H132" s="2518"/>
      <c r="I132" s="2519"/>
    </row>
    <row r="133" spans="1:35" ht="21.75" customHeight="1">
      <c r="A133" s="2520"/>
      <c r="B133" s="2521"/>
      <c r="C133" s="2521"/>
      <c r="D133" s="2522"/>
      <c r="E133" s="2522"/>
      <c r="F133" s="2522"/>
      <c r="G133" s="2522"/>
      <c r="H133" s="2523"/>
      <c r="I133" s="2524"/>
    </row>
    <row r="134" spans="1:35" ht="21.75" customHeight="1">
      <c r="A134" s="2516"/>
      <c r="B134" s="2516"/>
      <c r="C134" s="2516"/>
      <c r="D134" s="2517"/>
      <c r="E134" s="2517"/>
      <c r="F134" s="2517"/>
      <c r="G134" s="2517"/>
      <c r="H134" s="2518"/>
      <c r="I134" s="793"/>
    </row>
    <row r="135" spans="1:35" ht="21.75" customHeight="1">
      <c r="A135" s="793"/>
      <c r="B135" s="793"/>
      <c r="C135" s="793"/>
      <c r="D135" s="793"/>
      <c r="E135" s="793"/>
      <c r="F135" s="2525" t="s">
        <v>2306</v>
      </c>
      <c r="G135" s="2526"/>
      <c r="H135" s="2526"/>
      <c r="I135" s="2527" t="s">
        <v>2307</v>
      </c>
    </row>
    <row r="136" spans="1:35" ht="21.75" customHeight="1">
      <c r="A136" s="793"/>
      <c r="B136" s="2528" t="s">
        <v>2308</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26"/>
      <c r="C138" s="2526"/>
      <c r="D138" s="2526"/>
      <c r="E138" s="2526"/>
      <c r="F138" s="2526"/>
      <c r="G138" s="2526"/>
      <c r="H138" s="2526"/>
      <c r="I138" s="2527" t="s">
        <v>2309</v>
      </c>
    </row>
    <row r="139" spans="1:35" ht="21.75" customHeight="1">
      <c r="A139" s="793"/>
      <c r="B139" s="2528" t="s">
        <v>2310</v>
      </c>
      <c r="C139" s="793"/>
      <c r="D139" s="793"/>
      <c r="E139" s="793"/>
      <c r="F139" s="793"/>
      <c r="G139" s="793"/>
      <c r="H139" s="793"/>
      <c r="I139" s="793"/>
    </row>
    <row r="140" spans="1:35" ht="21.75" customHeight="1">
      <c r="A140" s="793"/>
      <c r="B140" s="2528"/>
      <c r="C140" s="793"/>
      <c r="D140" s="793"/>
      <c r="E140" s="793"/>
      <c r="F140" s="793"/>
      <c r="G140" s="793"/>
      <c r="H140" s="793"/>
      <c r="I140" s="793"/>
    </row>
    <row r="141" spans="1:35" ht="21.75" customHeight="1">
      <c r="A141" s="793"/>
      <c r="B141" s="2526"/>
      <c r="C141" s="2526"/>
      <c r="D141" s="2526"/>
      <c r="E141" s="2526"/>
      <c r="F141" s="2526"/>
      <c r="G141" s="2526"/>
      <c r="H141" s="2526"/>
      <c r="I141" s="2527" t="s">
        <v>2309</v>
      </c>
    </row>
    <row r="142" spans="1:35" ht="21.75" customHeight="1">
      <c r="A142" s="793"/>
      <c r="B142" s="2528"/>
      <c r="C142" s="2529"/>
      <c r="D142" s="2530"/>
      <c r="E142" s="2530"/>
      <c r="F142" s="2326"/>
      <c r="G142" s="793"/>
      <c r="H142" s="793"/>
      <c r="I142" s="793"/>
    </row>
    <row r="143" spans="1:35" s="137" customFormat="1" ht="21.75" customHeight="1">
      <c r="A143" s="793"/>
      <c r="B143" s="2528"/>
      <c r="C143" s="2529"/>
      <c r="D143" s="2530"/>
      <c r="E143" s="2530"/>
      <c r="F143" s="2326"/>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05"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05"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05"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05"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05"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05"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05"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05"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05"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05"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05"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05"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05"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05"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05"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05"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05"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05"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05"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05"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05"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05"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05"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05"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05"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05"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05"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05"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05"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05"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05"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05"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05"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05"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05"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05"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05"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05"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05"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05"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05"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05"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05"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05"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05"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05"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05"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05"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05"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05"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05"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05"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05"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05"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05"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05"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05"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05"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05"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05"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05"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05"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05"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05"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05"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05"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05"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05"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05"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05"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05"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05"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05"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05"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05"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05"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05"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05"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05"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05"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05"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05"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05"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05"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05"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05"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05"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05"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05"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05"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05"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05"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05"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05"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05"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05"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05"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05"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05"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05"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05"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05"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05"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05"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C52" sqref="C52"/>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2311</v>
      </c>
      <c r="B1" s="1930"/>
      <c r="C1" s="240"/>
      <c r="D1" s="240"/>
      <c r="E1" s="240"/>
      <c r="F1" s="240"/>
      <c r="G1" s="1375" t="e">
        <f>MATCH(B1,'数据-取费表'!A6:A16,0)+5</f>
        <v>#N/A</v>
      </c>
    </row>
    <row r="2" spans="1:9" s="242" customFormat="1" ht="18" customHeight="1">
      <c r="A2" s="243" t="s">
        <v>2312</v>
      </c>
      <c r="B2" s="244">
        <f ca="1">IF(D2="——",C52,C52-E2)</f>
        <v>452001</v>
      </c>
      <c r="C2" s="241" t="s">
        <v>2313</v>
      </c>
      <c r="D2" s="2531" t="s">
        <v>70</v>
      </c>
      <c r="E2" s="1436" t="e">
        <f ca="1">SUMIF(INDIRECT("'"&amp;G2&amp;"'"&amp;"!A:A"),"承租人权益价值",INDIRECT("'"&amp;G2&amp;"'"&amp;"!c:c"))</f>
        <v>#REF!</v>
      </c>
      <c r="F2" s="2532" t="s">
        <v>2313</v>
      </c>
      <c r="G2" s="2533"/>
    </row>
    <row r="3" spans="1:9" s="242" customFormat="1" ht="18" customHeight="1" thickBot="1">
      <c r="A3" s="245" t="s">
        <v>2314</v>
      </c>
      <c r="B3" s="246">
        <f ca="1">ROUND(B2*10000/(IF(B1="",'数据-汇总表'!E3,INDIRECT("'数据-取费表'!k"&amp;$G$1))),0)</f>
        <v>30285</v>
      </c>
      <c r="C3" s="241" t="s">
        <v>2315</v>
      </c>
      <c r="D3" s="241"/>
      <c r="E3" s="241"/>
      <c r="F3" s="241"/>
      <c r="G3" s="241"/>
    </row>
    <row r="4" spans="1:9" s="250" customFormat="1" ht="15.75">
      <c r="A4" s="247" t="s">
        <v>2316</v>
      </c>
      <c r="B4" s="248"/>
      <c r="C4" s="248"/>
      <c r="D4" s="248"/>
      <c r="E4" s="248"/>
      <c r="F4" s="248"/>
      <c r="G4" s="249"/>
    </row>
    <row r="5" spans="1:9" s="256" customFormat="1" ht="13.5" customHeight="1">
      <c r="A5" s="297" t="s">
        <v>2317</v>
      </c>
      <c r="B5" s="252" t="s">
        <v>2318</v>
      </c>
      <c r="C5" s="253">
        <f>C6+C7+C8</f>
        <v>339341</v>
      </c>
      <c r="D5" s="253" t="s">
        <v>2319</v>
      </c>
      <c r="E5" s="254" t="s">
        <v>2320</v>
      </c>
      <c r="F5" s="254" t="s">
        <v>2321</v>
      </c>
      <c r="G5" s="255"/>
    </row>
    <row r="6" spans="1:9" s="256" customFormat="1" ht="13.5" customHeight="1">
      <c r="A6" s="947" t="s">
        <v>2322</v>
      </c>
      <c r="B6" s="257" t="s">
        <v>2323</v>
      </c>
      <c r="C6" s="258">
        <f>'土地比较法-住宅、综合'!F66</f>
        <v>329297</v>
      </c>
      <c r="D6" s="259"/>
      <c r="E6" s="260"/>
      <c r="F6" s="260"/>
      <c r="G6" s="261"/>
    </row>
    <row r="7" spans="1:9" s="256" customFormat="1" ht="13.5" customHeight="1">
      <c r="A7" s="947" t="s">
        <v>2324</v>
      </c>
      <c r="B7" s="257" t="s">
        <v>2325</v>
      </c>
      <c r="C7" s="262">
        <f>ROUND(C6*F7,0)</f>
        <v>10044</v>
      </c>
      <c r="D7" s="262"/>
      <c r="E7" s="260"/>
      <c r="F7" s="263">
        <f>IF(项目基本情况!B8="出让",0,'数据-取费表'!B48+'数据-取费表'!B49)</f>
        <v>3.0499999999999999E-2</v>
      </c>
      <c r="G7" s="261"/>
    </row>
    <row r="8" spans="1:9" s="265" customFormat="1">
      <c r="A8" s="947" t="s">
        <v>2326</v>
      </c>
      <c r="B8" s="257" t="s">
        <v>2327</v>
      </c>
      <c r="C8" s="262">
        <f>IF(G8="已包含在土地购买价格中","0",IF(B1="",'数据-取费表'!B29,IF(G9="全部缴纳",C9+C10,H9)))</f>
        <v>0</v>
      </c>
      <c r="D8" s="264"/>
      <c r="E8" s="262"/>
      <c r="F8" s="263"/>
      <c r="G8" s="2534"/>
    </row>
    <row r="9" spans="1:9" s="256" customFormat="1" ht="13.5" customHeight="1">
      <c r="A9" s="948" t="s">
        <v>800</v>
      </c>
      <c r="B9" s="266" t="s">
        <v>2328</v>
      </c>
      <c r="C9" s="267">
        <f ca="1">ROUND(D9*E9/10000,0)</f>
        <v>0</v>
      </c>
      <c r="D9" s="1029">
        <f ca="1">IF(B1="",'数据-汇总表'!E5,IF(INDIRECT("'数据-取费表'!c"&amp;$G$1)="住宅",INDIRECT("'数据-取费表'!k"&amp;$G$1),0))</f>
        <v>72747.44</v>
      </c>
      <c r="E9" s="267">
        <f>'数据-取费表'!B27</f>
        <v>0</v>
      </c>
      <c r="F9" s="263"/>
      <c r="G9" s="2535"/>
      <c r="H9" s="1386"/>
      <c r="I9" s="2536" t="s">
        <v>2329</v>
      </c>
    </row>
    <row r="10" spans="1:9" s="256" customFormat="1" ht="13.5" customHeight="1">
      <c r="A10" s="948" t="s">
        <v>801</v>
      </c>
      <c r="B10" s="266" t="s">
        <v>2330</v>
      </c>
      <c r="C10" s="267">
        <f ca="1">ROUND(D10*E10/10000,0)</f>
        <v>0</v>
      </c>
      <c r="D10" s="1029">
        <f ca="1">IF(B1="",'数据-汇总表'!E6,IF(INDIRECT("'数据-取费表'!c"&amp;$G$1)="住宅",INDIRECT("'数据-取费表'!s"&amp;$G$1),INDIRECT("'数据-取费表'!k"&amp;$G$1)+INDIRECT("'数据-取费表'!s"&amp;$G$1)))</f>
        <v>76499.510000000009</v>
      </c>
      <c r="E10" s="267">
        <f>'数据-取费表'!B28</f>
        <v>0</v>
      </c>
      <c r="F10" s="263"/>
      <c r="G10" s="268"/>
    </row>
    <row r="11" spans="1:9" s="256" customFormat="1" ht="13.5" hidden="1" customHeight="1">
      <c r="A11" s="269" t="s">
        <v>7</v>
      </c>
      <c r="B11" s="257" t="s">
        <v>2331</v>
      </c>
      <c r="C11" s="253"/>
      <c r="D11" s="1031"/>
      <c r="E11" s="260"/>
      <c r="F11" s="260"/>
      <c r="G11" s="261"/>
    </row>
    <row r="12" spans="1:9" s="256" customFormat="1" ht="13.5" hidden="1" customHeight="1">
      <c r="A12" s="269" t="s">
        <v>8</v>
      </c>
      <c r="B12" s="257" t="s">
        <v>2332</v>
      </c>
      <c r="C12" s="253">
        <v>0</v>
      </c>
      <c r="D12" s="1031"/>
      <c r="E12" s="270"/>
      <c r="F12" s="263">
        <v>3.0499999999999999E-2</v>
      </c>
      <c r="G12" s="261"/>
    </row>
    <row r="13" spans="1:9" s="256" customFormat="1" ht="13.5" hidden="1" customHeight="1">
      <c r="A13" s="269" t="s">
        <v>9</v>
      </c>
      <c r="B13" s="257" t="s">
        <v>2333</v>
      </c>
      <c r="C13" s="253"/>
      <c r="D13" s="1031"/>
      <c r="E13" s="260"/>
      <c r="F13" s="260"/>
      <c r="G13" s="261"/>
    </row>
    <row r="14" spans="1:9" s="256" customFormat="1" ht="13.5" hidden="1" customHeight="1">
      <c r="A14" s="269" t="s">
        <v>10</v>
      </c>
      <c r="B14" s="257" t="s">
        <v>2334</v>
      </c>
      <c r="C14" s="253"/>
      <c r="D14" s="1031"/>
      <c r="E14" s="260"/>
      <c r="F14" s="260"/>
      <c r="G14" s="261" t="s">
        <v>2335</v>
      </c>
    </row>
    <row r="15" spans="1:9" s="256" customFormat="1" ht="13.5" hidden="1" customHeight="1">
      <c r="A15" s="269" t="s">
        <v>11</v>
      </c>
      <c r="B15" s="257" t="s">
        <v>2336</v>
      </c>
      <c r="C15" s="262"/>
      <c r="D15" s="1031"/>
      <c r="E15" s="260"/>
      <c r="F15" s="260"/>
      <c r="G15" s="261" t="s">
        <v>2337</v>
      </c>
    </row>
    <row r="16" spans="1:9" s="256" customFormat="1" ht="13.5" hidden="1" customHeight="1">
      <c r="A16" s="269" t="s">
        <v>12</v>
      </c>
      <c r="B16" s="257" t="s">
        <v>2334</v>
      </c>
      <c r="C16" s="262"/>
      <c r="D16" s="1031"/>
      <c r="E16" s="260"/>
      <c r="F16" s="260"/>
      <c r="G16" s="261"/>
    </row>
    <row r="17" spans="1:7" s="256" customFormat="1" ht="13.5" hidden="1" customHeight="1">
      <c r="A17" s="269" t="s">
        <v>13</v>
      </c>
      <c r="B17" s="257" t="s">
        <v>2338</v>
      </c>
      <c r="C17" s="271"/>
      <c r="D17" s="1032"/>
      <c r="E17" s="271"/>
      <c r="F17" s="271"/>
      <c r="G17" s="261" t="s">
        <v>2337</v>
      </c>
    </row>
    <row r="18" spans="1:7" s="256" customFormat="1" ht="13.5" hidden="1" customHeight="1">
      <c r="A18" s="269" t="s">
        <v>14</v>
      </c>
      <c r="B18" s="257" t="s">
        <v>2339</v>
      </c>
      <c r="C18" s="262">
        <v>0</v>
      </c>
      <c r="D18" s="1031"/>
      <c r="E18" s="260"/>
      <c r="F18" s="263">
        <v>3.0499999999999999E-2</v>
      </c>
      <c r="G18" s="261" t="s">
        <v>2340</v>
      </c>
    </row>
    <row r="19" spans="1:7" s="265" customFormat="1" ht="13.5" customHeight="1">
      <c r="A19" s="297" t="s">
        <v>2341</v>
      </c>
      <c r="B19" s="252" t="s">
        <v>2342</v>
      </c>
      <c r="C19" s="253" t="str">
        <f>IF(G19="已包含在土地取得成本中","0",ROUND(D19*E19/10000,0))</f>
        <v>0</v>
      </c>
      <c r="D19" s="1033">
        <f ca="1">D9+D10</f>
        <v>149246.95000000001</v>
      </c>
      <c r="E19" s="253">
        <f>'数据-取费表'!B31</f>
        <v>200</v>
      </c>
      <c r="F19" s="273"/>
      <c r="G19" s="2534" t="s">
        <v>4524</v>
      </c>
    </row>
    <row r="20" spans="1:7" s="256" customFormat="1" ht="13.5" customHeight="1">
      <c r="A20" s="297" t="s">
        <v>2343</v>
      </c>
      <c r="B20" s="252" t="s">
        <v>2344</v>
      </c>
      <c r="C20" s="274">
        <f>ROUND((C5+C19)*F20,0)</f>
        <v>10180</v>
      </c>
      <c r="D20" s="274"/>
      <c r="E20" s="274"/>
      <c r="F20" s="275">
        <f>'数据-取费表'!B37</f>
        <v>0.03</v>
      </c>
      <c r="G20" s="276" t="s">
        <v>2345</v>
      </c>
    </row>
    <row r="21" spans="1:7" s="256" customFormat="1" ht="13.5" customHeight="1">
      <c r="A21" s="297" t="s">
        <v>2346</v>
      </c>
      <c r="B21" s="252" t="s">
        <v>2347</v>
      </c>
      <c r="C21" s="277">
        <f>F21</f>
        <v>0.03</v>
      </c>
      <c r="D21" s="278" t="s">
        <v>2348</v>
      </c>
      <c r="E21" s="274"/>
      <c r="F21" s="275">
        <f>'数据-取费表'!B38</f>
        <v>0.03</v>
      </c>
      <c r="G21" s="276" t="s">
        <v>2349</v>
      </c>
    </row>
    <row r="22" spans="1:7" s="256" customFormat="1" ht="13.5" customHeight="1">
      <c r="A22" s="297" t="s">
        <v>2350</v>
      </c>
      <c r="B22" s="252" t="s">
        <v>2351</v>
      </c>
      <c r="C22" s="1350">
        <f ca="1">ROUND(SUM(C23:C25),0)</f>
        <v>16358</v>
      </c>
      <c r="D22" s="277">
        <f ca="1">C26</f>
        <v>6.9999999999999999E-4</v>
      </c>
      <c r="E22" s="278" t="s">
        <v>2348</v>
      </c>
      <c r="F22" s="279">
        <f ca="1">'数据-取费表'!B40</f>
        <v>4.7500000000000001E-2</v>
      </c>
      <c r="G22" s="276" t="str">
        <f>IF('数据-取费表'!B22&lt;=1,"单利计息","复利计息")</f>
        <v>复利计息</v>
      </c>
    </row>
    <row r="23" spans="1:7" s="256" customFormat="1" ht="13.5" customHeight="1">
      <c r="A23" s="949" t="s">
        <v>2352</v>
      </c>
      <c r="B23" s="257" t="s">
        <v>2353</v>
      </c>
      <c r="C23" s="1351">
        <f ca="1">ROUND(IF('数据-取费表'!B22&lt;=1,C5*F22*'数据-取费表'!B23,C5*(POWER((1+F22),'数据-取费表'!B23)-1)),0)</f>
        <v>16119</v>
      </c>
      <c r="D23" s="280"/>
      <c r="E23" s="280"/>
      <c r="F23" s="281"/>
      <c r="G23" s="282" t="s">
        <v>2354</v>
      </c>
    </row>
    <row r="24" spans="1:7" s="256" customFormat="1" ht="13.5" customHeight="1">
      <c r="A24" s="949" t="s">
        <v>2355</v>
      </c>
      <c r="B24" s="257" t="s">
        <v>2356</v>
      </c>
      <c r="C24" s="1351">
        <f ca="1">ROUND(IF('数据-取费表'!B22&lt;=1,C19*F22*('数据-取费表'!B19/2+'数据-取费表'!B21),C19*(POWER((1+F22),('数据-取费表'!B19/2+'数据-取费表'!B21))-1)),0)</f>
        <v>0</v>
      </c>
      <c r="D24" s="280"/>
      <c r="E24" s="280"/>
      <c r="F24" s="281"/>
      <c r="G24" s="282" t="s">
        <v>2357</v>
      </c>
    </row>
    <row r="25" spans="1:7" s="256" customFormat="1" ht="24">
      <c r="A25" s="949" t="s">
        <v>2358</v>
      </c>
      <c r="B25" s="257" t="s">
        <v>2359</v>
      </c>
      <c r="C25" s="1351">
        <f ca="1">ROUND(IF('数据-取费表'!B22&lt;=1,C20*F22*'数据-取费表'!B23/2,C20*(POWER((1+F22),'数据-取费表'!B23/2)-1)),0)</f>
        <v>239</v>
      </c>
      <c r="D25" s="280"/>
      <c r="E25" s="283"/>
      <c r="F25" s="281"/>
      <c r="G25" s="284" t="s">
        <v>2360</v>
      </c>
    </row>
    <row r="26" spans="1:7" s="256" customFormat="1">
      <c r="A26" s="949" t="s">
        <v>795</v>
      </c>
      <c r="B26" s="257" t="s">
        <v>2361</v>
      </c>
      <c r="C26" s="280">
        <f ca="1">ROUND(IF('数据-取费表'!B22&lt;=1,F21*F22*'数据-取费表'!B23/2,F21*(POWER((1+F22),'数据-取费表'!B23/2)-1)),4)</f>
        <v>6.9999999999999999E-4</v>
      </c>
      <c r="D26" s="280"/>
      <c r="E26" s="283"/>
      <c r="F26" s="281"/>
      <c r="G26" s="285"/>
    </row>
    <row r="27" spans="1:7" s="256" customFormat="1" ht="24.75">
      <c r="A27" s="297" t="s">
        <v>2362</v>
      </c>
      <c r="B27" s="286" t="s">
        <v>2363</v>
      </c>
      <c r="C27" s="287">
        <f ca="1">C28</f>
        <v>13981</v>
      </c>
      <c r="D27" s="277">
        <f ca="1">C29</f>
        <v>1.1999999999999999E-3</v>
      </c>
      <c r="E27" s="278" t="s">
        <v>2364</v>
      </c>
      <c r="F27" s="288">
        <f ca="1">IF(B1="",'数据-取费表'!Q16,INDIRECT("'数据-取费表'!q"&amp;$G$1))</f>
        <v>0.08</v>
      </c>
      <c r="G27" s="289" t="s">
        <v>2365</v>
      </c>
    </row>
    <row r="28" spans="1:7" s="256" customFormat="1" ht="13.5" customHeight="1">
      <c r="A28" s="949" t="s">
        <v>791</v>
      </c>
      <c r="B28" s="290" t="s">
        <v>2366</v>
      </c>
      <c r="C28" s="291">
        <f ca="1">ROUND((C5+C19+C20)*F27*'数据-取费表'!B21/'数据-取费表'!B20,0)</f>
        <v>13981</v>
      </c>
      <c r="D28" s="277"/>
      <c r="E28" s="278"/>
      <c r="F28" s="288"/>
      <c r="G28" s="289"/>
    </row>
    <row r="29" spans="1:7" s="256" customFormat="1" ht="13.5" customHeight="1">
      <c r="A29" s="949" t="s">
        <v>792</v>
      </c>
      <c r="B29" s="290" t="s">
        <v>2367</v>
      </c>
      <c r="C29" s="280">
        <f ca="1">ROUND(C21*F27*'数据-取费表'!B21/'数据-取费表'!B20,4)</f>
        <v>1.1999999999999999E-3</v>
      </c>
      <c r="D29" s="277"/>
      <c r="E29" s="278"/>
      <c r="F29" s="288"/>
      <c r="G29" s="289"/>
    </row>
    <row r="30" spans="1:7" s="256" customFormat="1" ht="13.5" customHeight="1">
      <c r="A30" s="297" t="s">
        <v>2368</v>
      </c>
      <c r="B30" s="252" t="s">
        <v>2369</v>
      </c>
      <c r="C30" s="277">
        <f>ROUND(F30/(1+'数据-取费表'!C42),4)</f>
        <v>5.2400000000000002E-2</v>
      </c>
      <c r="D30" s="278" t="s">
        <v>2364</v>
      </c>
      <c r="E30" s="283"/>
      <c r="F30" s="279">
        <f>'数据-取费表'!B41</f>
        <v>5.5000000000000007E-2</v>
      </c>
      <c r="G30" s="276" t="s">
        <v>2370</v>
      </c>
    </row>
    <row r="31" spans="1:7" ht="16.5" customHeight="1">
      <c r="A31" s="251">
        <v>1</v>
      </c>
      <c r="B31" s="252" t="s">
        <v>2371</v>
      </c>
      <c r="C31" s="253">
        <f ca="1">ROUND((C5+C19+C20+C22+C27)/(1-C21-D22-D27-C30),0)</f>
        <v>414830</v>
      </c>
      <c r="D31" s="272"/>
      <c r="E31" s="253"/>
      <c r="F31" s="292"/>
      <c r="G31" s="276" t="s">
        <v>2372</v>
      </c>
    </row>
    <row r="32" spans="1:7" s="250" customFormat="1" ht="15.75">
      <c r="A32" s="294" t="s">
        <v>2373</v>
      </c>
      <c r="B32" s="295"/>
      <c r="C32" s="295"/>
      <c r="D32" s="295"/>
      <c r="E32" s="295"/>
      <c r="F32" s="295"/>
      <c r="G32" s="296"/>
    </row>
    <row r="33" spans="1:8" s="256" customFormat="1" ht="13.5" customHeight="1">
      <c r="A33" s="297" t="s">
        <v>782</v>
      </c>
      <c r="B33" s="252" t="s">
        <v>2374</v>
      </c>
      <c r="C33" s="298">
        <f ca="1">SUM(C34:C38)</f>
        <v>29909</v>
      </c>
      <c r="D33" s="274"/>
      <c r="E33" s="254"/>
      <c r="F33" s="283"/>
      <c r="G33" s="276"/>
    </row>
    <row r="34" spans="1:8" s="300" customFormat="1" ht="13.5" customHeight="1">
      <c r="A34" s="949" t="s">
        <v>791</v>
      </c>
      <c r="B34" s="257" t="s">
        <v>2375</v>
      </c>
      <c r="C34" s="262">
        <f ca="1">IF(B1="",IF(F34=100%,'数据-取费表'!M16,'数据-取费表'!O16),IF(F34=100%,INDIRECT("'数据-取费表'!m"&amp;$G$1)+INDIRECT("'数据-取费表'!t"&amp;$G$1),INDIRECT("'数据-取费表'!o"&amp;$G$1)+INDIRECT("'数据-取费表'!aq"&amp;$G$1)))</f>
        <v>26284</v>
      </c>
      <c r="D34" s="259"/>
      <c r="E34" s="262"/>
      <c r="F34" s="299">
        <f ca="1">IF('数据-取费表'!B24=0,1,IF(B1="",'数据-取费表'!N16,INDIRECT("'数据-取费表'!n"&amp;$G$1)))</f>
        <v>0.55000000000000004</v>
      </c>
      <c r="G34" s="261" t="s">
        <v>2376</v>
      </c>
    </row>
    <row r="35" spans="1:8" ht="13.5" customHeight="1">
      <c r="A35" s="949" t="s">
        <v>796</v>
      </c>
      <c r="B35" s="257" t="s">
        <v>2377</v>
      </c>
      <c r="C35" s="262">
        <f ca="1">ROUND(C34*F35,0)</f>
        <v>789</v>
      </c>
      <c r="D35" s="262"/>
      <c r="E35" s="262"/>
      <c r="F35" s="301">
        <f>'数据-取费表'!B33</f>
        <v>0.03</v>
      </c>
      <c r="G35" s="261" t="s">
        <v>2378</v>
      </c>
    </row>
    <row r="36" spans="1:8" ht="24">
      <c r="A36" s="949" t="s">
        <v>797</v>
      </c>
      <c r="B36" s="257" t="s">
        <v>2379</v>
      </c>
      <c r="C36" s="262">
        <f ca="1">ROUND(IF(B1="",SUMIF('数据-取费表'!C:C,"住宅",IF(F34=100%,'数据-取费表'!M:M,'数据-取费表'!O:O))*F36,IF(INDIRECT("'数据-取费表'!c"&amp;$G$1)="住宅",IF(F34=100%,INDIRECT("'数据-取费表'!m"&amp;$G$1)*F36,INDIRECT("'数据-取费表'!o"&amp;$G$1)*F36),0)),0)</f>
        <v>800</v>
      </c>
      <c r="D36" s="262"/>
      <c r="E36" s="262"/>
      <c r="F36" s="301">
        <f>'数据-取费表'!B34</f>
        <v>0.05</v>
      </c>
      <c r="G36" s="302" t="s">
        <v>2380</v>
      </c>
    </row>
    <row r="37" spans="1:8" s="300" customFormat="1" ht="13.5" customHeight="1">
      <c r="A37" s="949" t="s">
        <v>798</v>
      </c>
      <c r="B37" s="257" t="s">
        <v>2381</v>
      </c>
      <c r="C37" s="291">
        <f ca="1">ROUND(E37*D37*F34/10000,0)</f>
        <v>1642</v>
      </c>
      <c r="D37" s="259">
        <f ca="1">D19</f>
        <v>149246.95000000001</v>
      </c>
      <c r="E37" s="291">
        <f>'数据-取费表'!B35</f>
        <v>200</v>
      </c>
      <c r="F37" s="301"/>
      <c r="G37" s="303" t="s">
        <v>2382</v>
      </c>
      <c r="H37" s="300">
        <f>149246.95*200/10000*55%</f>
        <v>1641.7164500000003</v>
      </c>
    </row>
    <row r="38" spans="1:8" ht="13.5" customHeight="1">
      <c r="A38" s="949" t="s">
        <v>799</v>
      </c>
      <c r="B38" s="257" t="s">
        <v>2383</v>
      </c>
      <c r="C38" s="262">
        <f ca="1">ROUND(C34*F38,0)</f>
        <v>394</v>
      </c>
      <c r="D38" s="262"/>
      <c r="E38" s="262"/>
      <c r="F38" s="301">
        <f>'数据-取费表'!B36</f>
        <v>1.4999999999999999E-2</v>
      </c>
      <c r="G38" s="261" t="s">
        <v>2378</v>
      </c>
      <c r="H38" s="293">
        <f>26284+789+800+1642+394</f>
        <v>29909</v>
      </c>
    </row>
    <row r="39" spans="1:8" s="256" customFormat="1" ht="13.5" customHeight="1">
      <c r="A39" s="297" t="s">
        <v>2384</v>
      </c>
      <c r="B39" s="252" t="s">
        <v>2385</v>
      </c>
      <c r="C39" s="274">
        <f ca="1">ROUND(C33*F20,0)</f>
        <v>897</v>
      </c>
      <c r="D39" s="274"/>
      <c r="E39" s="274"/>
      <c r="F39" s="275"/>
      <c r="G39" s="276" t="s">
        <v>2386</v>
      </c>
    </row>
    <row r="40" spans="1:8" s="256" customFormat="1" ht="13.5" customHeight="1">
      <c r="A40" s="297" t="s">
        <v>2387</v>
      </c>
      <c r="B40" s="252" t="s">
        <v>2388</v>
      </c>
      <c r="C40" s="1722">
        <f>F21</f>
        <v>0.03</v>
      </c>
      <c r="D40" s="278" t="s">
        <v>2389</v>
      </c>
      <c r="E40" s="274"/>
      <c r="F40" s="275"/>
      <c r="G40" s="276" t="s">
        <v>2390</v>
      </c>
    </row>
    <row r="41" spans="1:8" s="256" customFormat="1" ht="13.5" customHeight="1">
      <c r="A41" s="297" t="s">
        <v>2391</v>
      </c>
      <c r="B41" s="252" t="s">
        <v>2392</v>
      </c>
      <c r="C41" s="274">
        <f ca="1">ROUND(SUM(C42:C43),0)</f>
        <v>723</v>
      </c>
      <c r="D41" s="277">
        <f ca="1">C44</f>
        <v>6.9999999999999999E-4</v>
      </c>
      <c r="E41" s="278" t="s">
        <v>2389</v>
      </c>
      <c r="F41" s="279"/>
      <c r="G41" s="276" t="str">
        <f>IF('数据-取费表'!B22&lt;=1,"单利计息","复利计息")</f>
        <v>复利计息</v>
      </c>
    </row>
    <row r="42" spans="1:8" ht="13.5" customHeight="1">
      <c r="A42" s="949" t="s">
        <v>791</v>
      </c>
      <c r="B42" s="257" t="s">
        <v>2393</v>
      </c>
      <c r="C42" s="280">
        <f ca="1">ROUND(IF('数据-取费表'!B22&lt;=1,C33*F22*'数据-取费表'!B21/2,C33*(POWER((1+F22),'数据-取费表'!B21/2)-1)),0)</f>
        <v>702</v>
      </c>
      <c r="D42" s="280"/>
      <c r="E42" s="280"/>
      <c r="F42" s="281"/>
      <c r="G42" s="3330" t="s">
        <v>2394</v>
      </c>
    </row>
    <row r="43" spans="1:8" ht="13.5" customHeight="1">
      <c r="A43" s="949" t="s">
        <v>792</v>
      </c>
      <c r="B43" s="257" t="s">
        <v>2395</v>
      </c>
      <c r="C43" s="280">
        <f ca="1">ROUND(IF('数据-取费表'!B22&lt;=1,C39*F22*'数据-取费表'!B21/2,C39*(POWER((1+F22),'数据-取费表'!B21/2)-1)),0)</f>
        <v>21</v>
      </c>
      <c r="D43" s="280"/>
      <c r="E43" s="280"/>
      <c r="F43" s="281"/>
      <c r="G43" s="3331"/>
    </row>
    <row r="44" spans="1:8" ht="13.5" customHeight="1">
      <c r="A44" s="949" t="s">
        <v>793</v>
      </c>
      <c r="B44" s="257" t="s">
        <v>2396</v>
      </c>
      <c r="C44" s="280">
        <f ca="1">ROUND(IF('数据-取费表'!B22&lt;=1,C40*F22*'数据-取费表'!B21/2,C40*(POWER((1+F22),'数据-取费表'!B21/2)-1)),4)</f>
        <v>6.9999999999999999E-4</v>
      </c>
      <c r="D44" s="280"/>
      <c r="E44" s="280"/>
      <c r="F44" s="281"/>
      <c r="G44" s="3332"/>
    </row>
    <row r="45" spans="1:8" s="256" customFormat="1" ht="13.5" customHeight="1">
      <c r="A45" s="297" t="s">
        <v>2397</v>
      </c>
      <c r="B45" s="286" t="s">
        <v>2363</v>
      </c>
      <c r="C45" s="287">
        <f ca="1">C46</f>
        <v>2464</v>
      </c>
      <c r="D45" s="277">
        <f ca="1">C47</f>
        <v>2.3999999999999998E-3</v>
      </c>
      <c r="E45" s="278" t="s">
        <v>2389</v>
      </c>
      <c r="F45" s="288"/>
      <c r="G45" s="289" t="s">
        <v>2398</v>
      </c>
    </row>
    <row r="46" spans="1:8" s="256" customFormat="1" ht="13.5" customHeight="1">
      <c r="A46" s="949" t="s">
        <v>791</v>
      </c>
      <c r="B46" s="290" t="s">
        <v>2399</v>
      </c>
      <c r="C46" s="291">
        <f ca="1">ROUND((C33+C39)*F27,0)</f>
        <v>2464</v>
      </c>
      <c r="D46" s="305"/>
      <c r="E46" s="278"/>
      <c r="F46" s="288"/>
      <c r="G46" s="289"/>
    </row>
    <row r="47" spans="1:8" s="256" customFormat="1" ht="13.5" customHeight="1">
      <c r="A47" s="949" t="s">
        <v>792</v>
      </c>
      <c r="B47" s="290" t="s">
        <v>2400</v>
      </c>
      <c r="C47" s="280">
        <f ca="1">ROUND(C40*F27,4)</f>
        <v>2.3999999999999998E-3</v>
      </c>
      <c r="D47" s="305"/>
      <c r="E47" s="278"/>
      <c r="F47" s="288"/>
      <c r="G47" s="289"/>
    </row>
    <row r="48" spans="1:8" s="256" customFormat="1" ht="13.5" customHeight="1">
      <c r="A48" s="297" t="s">
        <v>2362</v>
      </c>
      <c r="B48" s="252" t="s">
        <v>2401</v>
      </c>
      <c r="C48" s="1722">
        <f>ROUND(F30/(1+'数据-取费表'!C42),4)</f>
        <v>5.2400000000000002E-2</v>
      </c>
      <c r="D48" s="278" t="s">
        <v>2389</v>
      </c>
      <c r="E48" s="274"/>
      <c r="F48" s="279"/>
      <c r="G48" s="276" t="s">
        <v>2402</v>
      </c>
    </row>
    <row r="49" spans="1:7" ht="16.5" customHeight="1">
      <c r="A49" s="297" t="s">
        <v>2368</v>
      </c>
      <c r="B49" s="252" t="s">
        <v>2403</v>
      </c>
      <c r="C49" s="274">
        <f ca="1">ROUND((C33+C39+C41+C45)/(1-C40-D41-D45-C48),0)</f>
        <v>37171</v>
      </c>
      <c r="D49" s="274"/>
      <c r="E49" s="274"/>
      <c r="F49" s="306"/>
      <c r="G49" s="276" t="s">
        <v>2404</v>
      </c>
    </row>
    <row r="50" spans="1:7" s="300" customFormat="1" ht="24">
      <c r="A50" s="297" t="s">
        <v>2405</v>
      </c>
      <c r="B50" s="252" t="s">
        <v>2406</v>
      </c>
      <c r="C50" s="274"/>
      <c r="D50" s="274"/>
      <c r="E50" s="274"/>
      <c r="F50" s="306">
        <f>IF('数据-取费表'!B24=0,'数据-取费表'!N16,1)</f>
        <v>1</v>
      </c>
      <c r="G50" s="289" t="s">
        <v>2407</v>
      </c>
    </row>
    <row r="51" spans="1:7" ht="16.5" customHeight="1">
      <c r="A51" s="297" t="s">
        <v>2408</v>
      </c>
      <c r="B51" s="252" t="s">
        <v>2409</v>
      </c>
      <c r="C51" s="274">
        <f ca="1">ROUND(C49*F50,0)</f>
        <v>37171</v>
      </c>
      <c r="D51" s="274"/>
      <c r="E51" s="274"/>
      <c r="F51" s="306"/>
      <c r="G51" s="276" t="s">
        <v>2410</v>
      </c>
    </row>
    <row r="52" spans="1:7" s="250" customFormat="1" ht="16.5" thickBot="1">
      <c r="A52" s="307" t="s">
        <v>2411</v>
      </c>
      <c r="B52" s="308"/>
      <c r="C52" s="309">
        <f ca="1">C31+C51</f>
        <v>452001</v>
      </c>
      <c r="D52" s="308"/>
      <c r="E52" s="308"/>
      <c r="F52" s="308"/>
      <c r="G52" s="310"/>
    </row>
    <row r="55" spans="1:7" ht="15">
      <c r="B55" s="312" t="s">
        <v>2412</v>
      </c>
      <c r="C55" s="313"/>
    </row>
    <row r="56" spans="1:7">
      <c r="B56" s="315" t="s">
        <v>1507</v>
      </c>
      <c r="C56" s="317">
        <f ca="1">1-C57</f>
        <v>0.91800000000000004</v>
      </c>
    </row>
    <row r="57" spans="1:7">
      <c r="B57" s="315" t="s">
        <v>1508</v>
      </c>
      <c r="C57" s="316">
        <f ca="1">ROUND(C51/C52,3)</f>
        <v>8.2000000000000003E-2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2311</v>
      </c>
      <c r="B1" s="1930"/>
      <c r="C1" s="2537" t="s">
        <v>2413</v>
      </c>
      <c r="D1" s="240"/>
      <c r="E1" s="240"/>
      <c r="F1" s="240"/>
      <c r="G1" s="1375" t="e">
        <f>MATCH(B1,'数据-取费表'!A6:A16,0)+5</f>
        <v>#N/A</v>
      </c>
      <c r="H1" s="1278" t="str">
        <f>IF(ISERROR(FIND("住宅",B1)),"非住宅","住宅")</f>
        <v>非住宅</v>
      </c>
    </row>
    <row r="2" spans="1:8" s="242" customFormat="1" ht="18" customHeight="1">
      <c r="A2" s="243" t="s">
        <v>2312</v>
      </c>
      <c r="B2" s="244">
        <f ca="1">ROUND(IF(D2="——",C52/10000,C52/10000-E2),0)</f>
        <v>73063</v>
      </c>
      <c r="C2" s="241" t="s">
        <v>2313</v>
      </c>
      <c r="D2" s="2531" t="s">
        <v>70</v>
      </c>
      <c r="E2" s="1436" t="e">
        <f ca="1">SUMIF(INDIRECT("'"&amp;G2&amp;"'"&amp;"!A:A"),"承租人权益价值",INDIRECT("'"&amp;G2&amp;"'"&amp;"!c:c"))</f>
        <v>#REF!</v>
      </c>
      <c r="F2" s="2532" t="s">
        <v>2313</v>
      </c>
      <c r="G2" s="2533"/>
    </row>
    <row r="3" spans="1:8" s="242" customFormat="1" ht="18" customHeight="1" thickBot="1">
      <c r="A3" s="245" t="s">
        <v>2314</v>
      </c>
      <c r="B3" s="246">
        <f ca="1">ROUND(B2*10000/(IF(B1="",'数据-汇总表'!E3,INDIRECT("'数据-取费表'!k"&amp;$G$1))),0)</f>
        <v>4895</v>
      </c>
      <c r="C3" s="241" t="s">
        <v>2315</v>
      </c>
      <c r="D3" s="241"/>
      <c r="E3" s="241"/>
      <c r="F3" s="241"/>
      <c r="G3" s="241"/>
    </row>
    <row r="4" spans="1:8" s="250" customFormat="1" ht="15.75">
      <c r="A4" s="247" t="s">
        <v>2316</v>
      </c>
      <c r="B4" s="248"/>
      <c r="C4" s="248"/>
      <c r="D4" s="248"/>
      <c r="E4" s="248"/>
      <c r="F4" s="248"/>
      <c r="G4" s="249"/>
    </row>
    <row r="5" spans="1:8" s="256" customFormat="1" ht="13.5" customHeight="1">
      <c r="A5" s="297" t="s">
        <v>2317</v>
      </c>
      <c r="B5" s="252" t="s">
        <v>2318</v>
      </c>
      <c r="C5" s="253">
        <f ca="1">C6+C7+C8</f>
        <v>0</v>
      </c>
      <c r="D5" s="253" t="s">
        <v>2319</v>
      </c>
      <c r="E5" s="254" t="s">
        <v>2320</v>
      </c>
      <c r="F5" s="254" t="s">
        <v>2321</v>
      </c>
      <c r="G5" s="255"/>
    </row>
    <row r="6" spans="1:8" s="256" customFormat="1" ht="13.5" customHeight="1">
      <c r="A6" s="947" t="s">
        <v>2322</v>
      </c>
      <c r="B6" s="257" t="s">
        <v>2323</v>
      </c>
      <c r="C6" s="258"/>
      <c r="D6" s="259"/>
      <c r="E6" s="260"/>
      <c r="F6" s="260"/>
      <c r="G6" s="261"/>
    </row>
    <row r="7" spans="1:8" s="256" customFormat="1" ht="13.5" customHeight="1">
      <c r="A7" s="947" t="s">
        <v>2324</v>
      </c>
      <c r="B7" s="257" t="s">
        <v>2325</v>
      </c>
      <c r="C7" s="262">
        <f>ROUND(C6*F7,0)</f>
        <v>0</v>
      </c>
      <c r="D7" s="262"/>
      <c r="E7" s="260"/>
      <c r="F7" s="263">
        <f>IF(项目基本情况!B8="出让",0,'数据-取费表'!B48+'数据-取费表'!B49)</f>
        <v>3.0499999999999999E-2</v>
      </c>
      <c r="G7" s="261"/>
    </row>
    <row r="8" spans="1:8" s="265" customFormat="1">
      <c r="A8" s="947" t="s">
        <v>2326</v>
      </c>
      <c r="B8" s="257" t="s">
        <v>2327</v>
      </c>
      <c r="C8" s="262">
        <f ca="1">IF(G8="已包含在土地购买价格中",0,C9+C10)</f>
        <v>0</v>
      </c>
      <c r="D8" s="264"/>
      <c r="E8" s="262"/>
      <c r="F8" s="263"/>
      <c r="G8" s="2534"/>
    </row>
    <row r="9" spans="1:8" s="256" customFormat="1" ht="13.5" customHeight="1">
      <c r="A9" s="948" t="s">
        <v>800</v>
      </c>
      <c r="B9" s="266" t="s">
        <v>2328</v>
      </c>
      <c r="C9" s="267">
        <f ca="1">ROUND(D9*E9,0)</f>
        <v>0</v>
      </c>
      <c r="D9" s="1029">
        <f ca="1">IF(B1="",'数据-汇总表'!E5,IF(INDIRECT("'数据-取费表'!c"&amp;$G$1)="住宅",INDIRECT("'数据-取费表'!k"&amp;$G$1),0))</f>
        <v>72747.44</v>
      </c>
      <c r="E9" s="267">
        <f>'数据-取费表'!B27</f>
        <v>0</v>
      </c>
      <c r="F9" s="263"/>
      <c r="G9" s="268"/>
    </row>
    <row r="10" spans="1:8" s="256" customFormat="1" ht="13.5" customHeight="1">
      <c r="A10" s="948" t="s">
        <v>801</v>
      </c>
      <c r="B10" s="266" t="s">
        <v>2330</v>
      </c>
      <c r="C10" s="267">
        <f ca="1">ROUND(D10*E10,0)</f>
        <v>0</v>
      </c>
      <c r="D10" s="1029">
        <f ca="1">IF(B1="",'数据-汇总表'!E6,IF(INDIRECT("'数据-取费表'!c"&amp;$G$1)="住宅",INDIRECT("'数据-取费表'!s"&amp;$G$1),INDIRECT("'数据-取费表'!k"&amp;$G$1)+INDIRECT("'数据-取费表'!s"&amp;$G$1)))</f>
        <v>76499.510000000009</v>
      </c>
      <c r="E10" s="267">
        <f>'数据-取费表'!B28</f>
        <v>0</v>
      </c>
      <c r="F10" s="263"/>
      <c r="G10" s="268"/>
    </row>
    <row r="11" spans="1:8" s="256" customFormat="1" ht="13.5" hidden="1" customHeight="1">
      <c r="A11" s="269" t="s">
        <v>7</v>
      </c>
      <c r="B11" s="257" t="s">
        <v>2331</v>
      </c>
      <c r="C11" s="253"/>
      <c r="D11" s="1031"/>
      <c r="E11" s="260"/>
      <c r="F11" s="260"/>
      <c r="G11" s="261"/>
    </row>
    <row r="12" spans="1:8" s="256" customFormat="1" ht="13.5" hidden="1" customHeight="1">
      <c r="A12" s="269" t="s">
        <v>8</v>
      </c>
      <c r="B12" s="257" t="s">
        <v>2414</v>
      </c>
      <c r="C12" s="253">
        <v>0</v>
      </c>
      <c r="D12" s="1031"/>
      <c r="E12" s="270"/>
      <c r="F12" s="263">
        <v>3.0499999999999999E-2</v>
      </c>
      <c r="G12" s="261"/>
    </row>
    <row r="13" spans="1:8" s="256" customFormat="1" ht="13.5" hidden="1" customHeight="1">
      <c r="A13" s="269" t="s">
        <v>9</v>
      </c>
      <c r="B13" s="257" t="s">
        <v>2415</v>
      </c>
      <c r="C13" s="253"/>
      <c r="D13" s="1031"/>
      <c r="E13" s="260"/>
      <c r="F13" s="260"/>
      <c r="G13" s="261"/>
    </row>
    <row r="14" spans="1:8" s="256" customFormat="1" ht="13.5" hidden="1" customHeight="1">
      <c r="A14" s="269" t="s">
        <v>10</v>
      </c>
      <c r="B14" s="257" t="s">
        <v>2327</v>
      </c>
      <c r="C14" s="253"/>
      <c r="D14" s="1031"/>
      <c r="E14" s="260"/>
      <c r="F14" s="260"/>
      <c r="G14" s="261" t="s">
        <v>2416</v>
      </c>
    </row>
    <row r="15" spans="1:8" s="256" customFormat="1" ht="13.5" hidden="1" customHeight="1">
      <c r="A15" s="269" t="s">
        <v>11</v>
      </c>
      <c r="B15" s="257" t="s">
        <v>2417</v>
      </c>
      <c r="C15" s="262"/>
      <c r="D15" s="1031"/>
      <c r="E15" s="260"/>
      <c r="F15" s="260"/>
      <c r="G15" s="261" t="s">
        <v>2418</v>
      </c>
    </row>
    <row r="16" spans="1:8" s="256" customFormat="1" ht="13.5" hidden="1" customHeight="1">
      <c r="A16" s="269" t="s">
        <v>12</v>
      </c>
      <c r="B16" s="257" t="s">
        <v>2327</v>
      </c>
      <c r="C16" s="262"/>
      <c r="D16" s="1031"/>
      <c r="E16" s="260"/>
      <c r="F16" s="260"/>
      <c r="G16" s="261"/>
    </row>
    <row r="17" spans="1:7" s="256" customFormat="1" ht="13.5" hidden="1" customHeight="1">
      <c r="A17" s="269" t="s">
        <v>13</v>
      </c>
      <c r="B17" s="257" t="s">
        <v>2419</v>
      </c>
      <c r="C17" s="271"/>
      <c r="D17" s="1032"/>
      <c r="E17" s="271"/>
      <c r="F17" s="271"/>
      <c r="G17" s="261" t="s">
        <v>2418</v>
      </c>
    </row>
    <row r="18" spans="1:7" s="256" customFormat="1" ht="13.5" hidden="1" customHeight="1">
      <c r="A18" s="269" t="s">
        <v>14</v>
      </c>
      <c r="B18" s="257" t="s">
        <v>2420</v>
      </c>
      <c r="C18" s="262">
        <v>0</v>
      </c>
      <c r="D18" s="1031"/>
      <c r="E18" s="260"/>
      <c r="F18" s="263">
        <v>3.0499999999999999E-2</v>
      </c>
      <c r="G18" s="261" t="s">
        <v>2421</v>
      </c>
    </row>
    <row r="19" spans="1:7" s="265" customFormat="1" ht="13.5" customHeight="1">
      <c r="A19" s="297" t="s">
        <v>2422</v>
      </c>
      <c r="B19" s="252" t="s">
        <v>2423</v>
      </c>
      <c r="C19" s="253">
        <f ca="1">IF(G19="已包含在土地取得成本中","0",ROUND(D19*E19,0))</f>
        <v>29849390</v>
      </c>
      <c r="D19" s="1033">
        <f ca="1">D9+D10</f>
        <v>149246.95000000001</v>
      </c>
      <c r="E19" s="253">
        <f>'数据-取费表'!B31</f>
        <v>200</v>
      </c>
      <c r="F19" s="273"/>
      <c r="G19" s="2534"/>
    </row>
    <row r="20" spans="1:7" s="256" customFormat="1" ht="13.5" customHeight="1">
      <c r="A20" s="297" t="s">
        <v>2424</v>
      </c>
      <c r="B20" s="252" t="s">
        <v>2425</v>
      </c>
      <c r="C20" s="274">
        <f ca="1">ROUND((C5+C19)*F20,0)</f>
        <v>895482</v>
      </c>
      <c r="D20" s="274"/>
      <c r="E20" s="274"/>
      <c r="F20" s="275">
        <f>'数据-取费表'!B37</f>
        <v>0.03</v>
      </c>
      <c r="G20" s="276" t="s">
        <v>2426</v>
      </c>
    </row>
    <row r="21" spans="1:7" s="256" customFormat="1" ht="13.5" customHeight="1">
      <c r="A21" s="297" t="s">
        <v>2427</v>
      </c>
      <c r="B21" s="252" t="s">
        <v>2428</v>
      </c>
      <c r="C21" s="277">
        <f>F21</f>
        <v>0.03</v>
      </c>
      <c r="D21" s="278" t="s">
        <v>2429</v>
      </c>
      <c r="E21" s="274"/>
      <c r="F21" s="275">
        <f>'数据-取费表'!B38</f>
        <v>0.03</v>
      </c>
      <c r="G21" s="276" t="s">
        <v>2430</v>
      </c>
    </row>
    <row r="22" spans="1:7" s="256" customFormat="1" ht="13.5" customHeight="1">
      <c r="A22" s="297" t="s">
        <v>2431</v>
      </c>
      <c r="B22" s="252" t="s">
        <v>2432</v>
      </c>
      <c r="C22" s="1376">
        <f ca="1">ROUND(SUM(C23:C25),0)</f>
        <v>2945575</v>
      </c>
      <c r="D22" s="277">
        <f ca="1">C26</f>
        <v>1.4E-3</v>
      </c>
      <c r="E22" s="278" t="s">
        <v>2429</v>
      </c>
      <c r="F22" s="279">
        <f ca="1">'数据-取费表'!B40</f>
        <v>4.7500000000000001E-2</v>
      </c>
      <c r="G22" s="276" t="str">
        <f>IF('数据-取费表'!B22&lt;=1,"单利计息","复利计息")</f>
        <v>复利计息</v>
      </c>
    </row>
    <row r="23" spans="1:7" s="256" customFormat="1" ht="13.5" customHeight="1">
      <c r="A23" s="949" t="s">
        <v>2322</v>
      </c>
      <c r="B23" s="257" t="s">
        <v>2433</v>
      </c>
      <c r="C23" s="1377">
        <f ca="1">ROUND(IF('数据-取费表'!B22&lt;=1,C5*F22*'数据-取费表'!B22,C5*(POWER((1+F22),'数据-取费表'!B22)-1)),0)</f>
        <v>0</v>
      </c>
      <c r="D23" s="280"/>
      <c r="E23" s="280"/>
      <c r="F23" s="281"/>
      <c r="G23" s="282" t="s">
        <v>2434</v>
      </c>
    </row>
    <row r="24" spans="1:7" s="256" customFormat="1" ht="13.5" customHeight="1">
      <c r="A24" s="949" t="s">
        <v>2324</v>
      </c>
      <c r="B24" s="257" t="s">
        <v>2435</v>
      </c>
      <c r="C24" s="1377">
        <f ca="1">ROUND(IF('数据-取费表'!B22&lt;=1,C19*F22*('数据-取费表'!B19/2+'数据-取费表'!B20),C19*(POWER((1+F22),('数据-取费表'!B19/2+'数据-取费表'!B20))-1)),0)</f>
        <v>2903040</v>
      </c>
      <c r="D24" s="280"/>
      <c r="E24" s="280"/>
      <c r="F24" s="281"/>
      <c r="G24" s="282" t="s">
        <v>2436</v>
      </c>
    </row>
    <row r="25" spans="1:7" s="256" customFormat="1" ht="24">
      <c r="A25" s="949" t="s">
        <v>2326</v>
      </c>
      <c r="B25" s="257" t="s">
        <v>2437</v>
      </c>
      <c r="C25" s="1377">
        <f ca="1">ROUND(IF('数据-取费表'!B22&lt;=1,C20*F22*'数据-取费表'!B22/2,C20*(POWER((1+F22),'数据-取费表'!B22/2)-1)),0)</f>
        <v>42535</v>
      </c>
      <c r="D25" s="280"/>
      <c r="E25" s="283"/>
      <c r="F25" s="281"/>
      <c r="G25" s="284" t="s">
        <v>2438</v>
      </c>
    </row>
    <row r="26" spans="1:7" s="256" customFormat="1">
      <c r="A26" s="949" t="s">
        <v>795</v>
      </c>
      <c r="B26" s="257" t="s">
        <v>2361</v>
      </c>
      <c r="C26" s="280">
        <f ca="1">ROUND(IF('数据-取费表'!B22&lt;=1,F21*F22*'数据-取费表'!B22/2,F21*(POWER((1+F22),'数据-取费表'!B22/2)-1)),4)</f>
        <v>1.4E-3</v>
      </c>
      <c r="D26" s="280"/>
      <c r="E26" s="283"/>
      <c r="F26" s="281"/>
      <c r="G26" s="285"/>
    </row>
    <row r="27" spans="1:7" s="256" customFormat="1" ht="24.75">
      <c r="A27" s="297" t="s">
        <v>2362</v>
      </c>
      <c r="B27" s="286" t="s">
        <v>2363</v>
      </c>
      <c r="C27" s="287">
        <f ca="1">C28</f>
        <v>2459590</v>
      </c>
      <c r="D27" s="277">
        <f ca="1">C29</f>
        <v>2.3999999999999998E-3</v>
      </c>
      <c r="E27" s="278" t="s">
        <v>2364</v>
      </c>
      <c r="F27" s="288">
        <f ca="1">IF(B1="",'数据-取费表'!Q16,INDIRECT("'数据-取费表'!q"&amp;$G$1))</f>
        <v>0.08</v>
      </c>
      <c r="G27" s="289" t="s">
        <v>2365</v>
      </c>
    </row>
    <row r="28" spans="1:7" s="256" customFormat="1" ht="13.5" customHeight="1">
      <c r="A28" s="949" t="s">
        <v>791</v>
      </c>
      <c r="B28" s="290" t="s">
        <v>2366</v>
      </c>
      <c r="C28" s="291">
        <f ca="1">ROUND((C5+C19+C20)*F27,0)</f>
        <v>2459590</v>
      </c>
      <c r="D28" s="277"/>
      <c r="E28" s="278"/>
      <c r="F28" s="288"/>
      <c r="G28" s="289"/>
    </row>
    <row r="29" spans="1:7" s="256" customFormat="1" ht="13.5" customHeight="1">
      <c r="A29" s="949" t="s">
        <v>792</v>
      </c>
      <c r="B29" s="290" t="s">
        <v>2367</v>
      </c>
      <c r="C29" s="280">
        <f ca="1">ROUND(C21*F27,4)</f>
        <v>2.3999999999999998E-3</v>
      </c>
      <c r="D29" s="277"/>
      <c r="E29" s="278"/>
      <c r="F29" s="288"/>
      <c r="G29" s="289"/>
    </row>
    <row r="30" spans="1:7" s="256" customFormat="1" ht="13.5" customHeight="1">
      <c r="A30" s="297" t="s">
        <v>2368</v>
      </c>
      <c r="B30" s="252" t="s">
        <v>2369</v>
      </c>
      <c r="C30" s="277">
        <f>ROUND(F30/(1+'数据-取费表'!C42),4)</f>
        <v>5.2400000000000002E-2</v>
      </c>
      <c r="D30" s="278" t="s">
        <v>2364</v>
      </c>
      <c r="E30" s="283"/>
      <c r="F30" s="279">
        <f>'数据-取费表'!B41</f>
        <v>5.5000000000000007E-2</v>
      </c>
      <c r="G30" s="276" t="s">
        <v>2370</v>
      </c>
    </row>
    <row r="31" spans="1:7" ht="16.5" customHeight="1">
      <c r="A31" s="251">
        <v>1</v>
      </c>
      <c r="B31" s="252" t="s">
        <v>2371</v>
      </c>
      <c r="C31" s="253">
        <f ca="1">ROUND((C5+C19+C20+C22+C27)/(1-C21-D22-D27-C30),0)</f>
        <v>39560119</v>
      </c>
      <c r="D31" s="272"/>
      <c r="E31" s="253"/>
      <c r="F31" s="292"/>
      <c r="G31" s="276" t="s">
        <v>2372</v>
      </c>
    </row>
    <row r="32" spans="1:7" s="250" customFormat="1" ht="15.75">
      <c r="A32" s="294" t="s">
        <v>2439</v>
      </c>
      <c r="B32" s="295"/>
      <c r="C32" s="295"/>
      <c r="D32" s="295"/>
      <c r="E32" s="295"/>
      <c r="F32" s="295"/>
      <c r="G32" s="296"/>
    </row>
    <row r="33" spans="1:7" s="256" customFormat="1" ht="13.5" customHeight="1">
      <c r="A33" s="297" t="s">
        <v>782</v>
      </c>
      <c r="B33" s="252" t="s">
        <v>2440</v>
      </c>
      <c r="C33" s="298">
        <f ca="1">SUM(C34:C38)</f>
        <v>543775896</v>
      </c>
      <c r="D33" s="274"/>
      <c r="E33" s="254"/>
      <c r="F33" s="283"/>
      <c r="G33" s="276"/>
    </row>
    <row r="34" spans="1:7" s="300" customFormat="1" ht="13.5" customHeight="1">
      <c r="A34" s="949" t="s">
        <v>791</v>
      </c>
      <c r="B34" s="257" t="s">
        <v>2375</v>
      </c>
      <c r="C34" s="262">
        <f ca="1">ROUND(IF(B1="",SUMPRODUCT('数据-取费表'!K6:K14,'数据-取费表'!L6:L14),INDIRECT("'数据-取费表'!l"&amp;$G$1)*INDIRECT("'数据-取费表'!k"&amp;$G$1)+'数据-取费表'!L14*INDIRECT("'数据-取费表'!S"&amp;$G$1)),0)</f>
        <v>477872745</v>
      </c>
      <c r="D34" s="259"/>
      <c r="E34" s="262"/>
      <c r="F34" s="299"/>
      <c r="G34" s="261"/>
    </row>
    <row r="35" spans="1:7" ht="13.5" customHeight="1">
      <c r="A35" s="949" t="s">
        <v>796</v>
      </c>
      <c r="B35" s="257" t="s">
        <v>2377</v>
      </c>
      <c r="C35" s="262">
        <f ca="1">ROUND(C34*F35,0)</f>
        <v>14336182</v>
      </c>
      <c r="D35" s="262"/>
      <c r="E35" s="262"/>
      <c r="F35" s="301">
        <f>'数据-取费表'!B33</f>
        <v>0.03</v>
      </c>
      <c r="G35" s="261" t="s">
        <v>2378</v>
      </c>
    </row>
    <row r="36" spans="1:7" ht="24">
      <c r="A36" s="949" t="s">
        <v>797</v>
      </c>
      <c r="B36" s="257" t="s">
        <v>2379</v>
      </c>
      <c r="C36" s="262">
        <f ca="1">ROUND(IF(B1="",SUM('数据-取费表'!AP6:AP13)*F36,IF(INDIRECT("'数据-取费表'!c"&amp;$G$1)="住宅",INDIRECT("'数据-取费表'!k"&amp;$G$1)*INDIRECT("'数据-取费表'!l"&amp;$G$1)*F36,0)),0)</f>
        <v>14549488</v>
      </c>
      <c r="D36" s="262"/>
      <c r="E36" s="262"/>
      <c r="F36" s="301">
        <f>'数据-取费表'!B34</f>
        <v>0.05</v>
      </c>
      <c r="G36" s="302" t="s">
        <v>2380</v>
      </c>
    </row>
    <row r="37" spans="1:7" s="300" customFormat="1" ht="13.5" customHeight="1">
      <c r="A37" s="949" t="s">
        <v>798</v>
      </c>
      <c r="B37" s="257" t="s">
        <v>2381</v>
      </c>
      <c r="C37" s="291">
        <f ca="1">ROUND(E37*D37,0)</f>
        <v>29849390</v>
      </c>
      <c r="D37" s="259">
        <f ca="1">D19</f>
        <v>149246.95000000001</v>
      </c>
      <c r="E37" s="291">
        <f>'数据-取费表'!B35</f>
        <v>200</v>
      </c>
      <c r="F37" s="301"/>
      <c r="G37" s="303"/>
    </row>
    <row r="38" spans="1:7" ht="13.5" customHeight="1">
      <c r="A38" s="949" t="s">
        <v>799</v>
      </c>
      <c r="B38" s="257" t="s">
        <v>2383</v>
      </c>
      <c r="C38" s="262">
        <f ca="1">ROUND(C34*F38,0)</f>
        <v>7168091</v>
      </c>
      <c r="D38" s="262"/>
      <c r="E38" s="262"/>
      <c r="F38" s="301">
        <f>'数据-取费表'!B36</f>
        <v>1.4999999999999999E-2</v>
      </c>
      <c r="G38" s="261" t="s">
        <v>2378</v>
      </c>
    </row>
    <row r="39" spans="1:7" s="256" customFormat="1" ht="13.5" customHeight="1">
      <c r="A39" s="297" t="s">
        <v>2384</v>
      </c>
      <c r="B39" s="252" t="s">
        <v>2385</v>
      </c>
      <c r="C39" s="274">
        <f ca="1">ROUND(C33*F20,0)</f>
        <v>16313277</v>
      </c>
      <c r="D39" s="274"/>
      <c r="E39" s="274"/>
      <c r="F39" s="275"/>
      <c r="G39" s="276" t="s">
        <v>2386</v>
      </c>
    </row>
    <row r="40" spans="1:7" s="256" customFormat="1" ht="13.5" customHeight="1">
      <c r="A40" s="297" t="s">
        <v>2387</v>
      </c>
      <c r="B40" s="252" t="s">
        <v>2388</v>
      </c>
      <c r="C40" s="1722">
        <f>F21</f>
        <v>0.03</v>
      </c>
      <c r="D40" s="278" t="s">
        <v>2389</v>
      </c>
      <c r="E40" s="274"/>
      <c r="F40" s="275"/>
      <c r="G40" s="276" t="s">
        <v>2390</v>
      </c>
    </row>
    <row r="41" spans="1:7" s="256" customFormat="1" ht="13.5" customHeight="1">
      <c r="A41" s="297" t="s">
        <v>2391</v>
      </c>
      <c r="B41" s="252" t="s">
        <v>2392</v>
      </c>
      <c r="C41" s="274">
        <f ca="1">ROUND(SUM(C42:C43),0)</f>
        <v>26604236</v>
      </c>
      <c r="D41" s="277">
        <f ca="1">C44</f>
        <v>1.4E-3</v>
      </c>
      <c r="E41" s="278" t="s">
        <v>2389</v>
      </c>
      <c r="F41" s="279"/>
      <c r="G41" s="276" t="str">
        <f>IF('数据-取费表'!B22&lt;=1,"单利计息","复利计息")</f>
        <v>复利计息</v>
      </c>
    </row>
    <row r="42" spans="1:7" ht="13.5" customHeight="1">
      <c r="A42" s="949" t="s">
        <v>791</v>
      </c>
      <c r="B42" s="257" t="s">
        <v>2393</v>
      </c>
      <c r="C42" s="280">
        <f ca="1">ROUND(IF('数据-取费表'!B22&lt;=1,C33*F22*'数据-取费表'!B20/2,C33*(POWER((1+F22),'数据-取费表'!B20/2)-1)),0)</f>
        <v>25829355</v>
      </c>
      <c r="D42" s="280"/>
      <c r="E42" s="280"/>
      <c r="F42" s="281"/>
      <c r="G42" s="3330" t="s">
        <v>2441</v>
      </c>
    </row>
    <row r="43" spans="1:7" ht="13.5" customHeight="1">
      <c r="A43" s="949" t="s">
        <v>792</v>
      </c>
      <c r="B43" s="257" t="s">
        <v>2395</v>
      </c>
      <c r="C43" s="280">
        <f ca="1">ROUND(IF('数据-取费表'!B22&lt;=1,C39*F22*'数据-取费表'!B20/2,C39*(POWER((1+F22),'数据-取费表'!B20/2)-1)),0)</f>
        <v>774881</v>
      </c>
      <c r="D43" s="280"/>
      <c r="E43" s="280"/>
      <c r="F43" s="281"/>
      <c r="G43" s="3331"/>
    </row>
    <row r="44" spans="1:7" ht="13.5" customHeight="1">
      <c r="A44" s="949" t="s">
        <v>793</v>
      </c>
      <c r="B44" s="257" t="s">
        <v>2396</v>
      </c>
      <c r="C44" s="280">
        <f ca="1">ROUND(IF('数据-取费表'!B22&lt;=1,C40*F22*'数据-取费表'!B20/2,C40*(POWER((1+F22),'数据-取费表'!B20/2)-1)),4)</f>
        <v>1.4E-3</v>
      </c>
      <c r="D44" s="280"/>
      <c r="E44" s="280"/>
      <c r="F44" s="281"/>
      <c r="G44" s="3332"/>
    </row>
    <row r="45" spans="1:7" s="256" customFormat="1" ht="13.5" customHeight="1">
      <c r="A45" s="297" t="s">
        <v>2397</v>
      </c>
      <c r="B45" s="286" t="s">
        <v>2363</v>
      </c>
      <c r="C45" s="287">
        <f ca="1">C46</f>
        <v>44807134</v>
      </c>
      <c r="D45" s="277">
        <f ca="1">C47</f>
        <v>2.3999999999999998E-3</v>
      </c>
      <c r="E45" s="278" t="s">
        <v>2389</v>
      </c>
      <c r="F45" s="288"/>
      <c r="G45" s="289" t="s">
        <v>2398</v>
      </c>
    </row>
    <row r="46" spans="1:7" s="256" customFormat="1" ht="13.5" customHeight="1">
      <c r="A46" s="949" t="s">
        <v>791</v>
      </c>
      <c r="B46" s="290" t="s">
        <v>2399</v>
      </c>
      <c r="C46" s="291">
        <f ca="1">ROUND((C33+C39)*F27,0)</f>
        <v>44807134</v>
      </c>
      <c r="D46" s="305"/>
      <c r="E46" s="278"/>
      <c r="F46" s="288"/>
      <c r="G46" s="289"/>
    </row>
    <row r="47" spans="1:7" s="256" customFormat="1" ht="13.5" customHeight="1">
      <c r="A47" s="949" t="s">
        <v>792</v>
      </c>
      <c r="B47" s="290" t="s">
        <v>2400</v>
      </c>
      <c r="C47" s="280">
        <f ca="1">ROUND(C40*F27,4)</f>
        <v>2.3999999999999998E-3</v>
      </c>
      <c r="D47" s="305"/>
      <c r="E47" s="278"/>
      <c r="F47" s="288"/>
      <c r="G47" s="289"/>
    </row>
    <row r="48" spans="1:7" s="256" customFormat="1" ht="13.5" customHeight="1">
      <c r="A48" s="297" t="s">
        <v>2362</v>
      </c>
      <c r="B48" s="252" t="s">
        <v>2401</v>
      </c>
      <c r="C48" s="304">
        <f>ROUND(F30/(1+'数据-取费表'!C42),4)</f>
        <v>5.2400000000000002E-2</v>
      </c>
      <c r="D48" s="278" t="s">
        <v>2389</v>
      </c>
      <c r="E48" s="274"/>
      <c r="F48" s="279"/>
      <c r="G48" s="276" t="s">
        <v>2402</v>
      </c>
    </row>
    <row r="49" spans="1:7" ht="16.5" customHeight="1">
      <c r="A49" s="297" t="s">
        <v>2368</v>
      </c>
      <c r="B49" s="252" t="s">
        <v>2442</v>
      </c>
      <c r="C49" s="274">
        <f ca="1">ROUND((C33+C39+C41+C45)/(1-C40-D41-D45-C48),0)</f>
        <v>691070850</v>
      </c>
      <c r="D49" s="274"/>
      <c r="E49" s="274"/>
      <c r="F49" s="306"/>
      <c r="G49" s="276" t="s">
        <v>2404</v>
      </c>
    </row>
    <row r="50" spans="1:7" s="300" customFormat="1">
      <c r="A50" s="297" t="s">
        <v>2405</v>
      </c>
      <c r="B50" s="252" t="s">
        <v>2406</v>
      </c>
      <c r="C50" s="274"/>
      <c r="D50" s="274"/>
      <c r="E50" s="274"/>
      <c r="F50" s="306">
        <f>IF('数据-取费表'!B24=0,'数据-取费表'!N16,1)</f>
        <v>1</v>
      </c>
      <c r="G50" s="289"/>
    </row>
    <row r="51" spans="1:7" ht="16.5" customHeight="1">
      <c r="A51" s="297" t="s">
        <v>2408</v>
      </c>
      <c r="B51" s="252" t="s">
        <v>2443</v>
      </c>
      <c r="C51" s="274">
        <f ca="1">ROUND(C49*F50,0)</f>
        <v>691070850</v>
      </c>
      <c r="D51" s="274"/>
      <c r="E51" s="274"/>
      <c r="F51" s="306"/>
      <c r="G51" s="276" t="s">
        <v>2410</v>
      </c>
    </row>
    <row r="52" spans="1:7" s="250" customFormat="1" ht="16.5" thickBot="1">
      <c r="A52" s="307" t="s">
        <v>2411</v>
      </c>
      <c r="B52" s="308"/>
      <c r="C52" s="309">
        <f ca="1">C31+C51</f>
        <v>730630969</v>
      </c>
      <c r="D52" s="308"/>
      <c r="E52" s="308"/>
      <c r="F52" s="308"/>
      <c r="G52" s="310"/>
    </row>
    <row r="55" spans="1:7" ht="15">
      <c r="B55" s="312" t="s">
        <v>2412</v>
      </c>
      <c r="C55" s="313"/>
    </row>
    <row r="56" spans="1:7">
      <c r="B56" s="315" t="s">
        <v>1507</v>
      </c>
      <c r="C56" s="317">
        <f ca="1">1-C57</f>
        <v>5.4000000000000048E-2</v>
      </c>
    </row>
    <row r="57" spans="1:7">
      <c r="B57" s="315" t="s">
        <v>1508</v>
      </c>
      <c r="C57" s="316">
        <f ca="1">ROUND(C51/C52,3)</f>
        <v>0.94599999999999995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1" zoomScale="80" zoomScaleNormal="80" workbookViewId="0">
      <selection activeCell="A55" sqref="A55:F66"/>
    </sheetView>
  </sheetViews>
  <sheetFormatPr defaultColWidth="9"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2725</v>
      </c>
      <c r="B1" s="393"/>
      <c r="C1" s="394" t="s">
        <v>2726</v>
      </c>
      <c r="D1" s="753"/>
      <c r="E1" s="753"/>
      <c r="F1" s="752" t="s">
        <v>2625</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2312</v>
      </c>
      <c r="B2" s="669">
        <f>F66</f>
        <v>329297</v>
      </c>
      <c r="C2" s="1120"/>
      <c r="D2" s="1120"/>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c r="AD2" s="395"/>
    </row>
    <row r="3" spans="1:30" s="396" customFormat="1" ht="28.5" customHeight="1" thickBot="1">
      <c r="A3" s="245" t="s">
        <v>2314</v>
      </c>
      <c r="B3" s="607">
        <f>ROUND(IF(D3="",B2*10000/'数据-汇总表'!E3,B2*10000/D3),0)</f>
        <v>22759</v>
      </c>
      <c r="C3" s="245" t="s">
        <v>2727</v>
      </c>
      <c r="D3" s="1577">
        <f>'数据-汇总表'!F27+'数据-汇总表'!G27+'数据-汇总表'!G29</f>
        <v>144685.73000000001</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30" ht="15">
      <c r="A4" s="399" t="s">
        <v>2627</v>
      </c>
      <c r="B4" s="400"/>
      <c r="C4" s="3337" t="s">
        <v>2628</v>
      </c>
      <c r="D4" s="3350"/>
      <c r="E4" s="3351" t="s">
        <v>2629</v>
      </c>
      <c r="F4" s="3352"/>
      <c r="G4" s="3337" t="s">
        <v>2630</v>
      </c>
      <c r="H4" s="3350"/>
      <c r="I4" s="3337" t="s">
        <v>2631</v>
      </c>
      <c r="J4" s="3350"/>
      <c r="K4" s="608" t="s">
        <v>2632</v>
      </c>
      <c r="L4" s="1126"/>
      <c r="M4" s="1127"/>
      <c r="N4" s="1127"/>
      <c r="O4" s="1127"/>
      <c r="P4" s="3353" t="s">
        <v>2633</v>
      </c>
      <c r="Q4" s="3354"/>
      <c r="R4" s="3359" t="s">
        <v>2629</v>
      </c>
      <c r="S4" s="3360"/>
      <c r="T4" s="3359" t="s">
        <v>2630</v>
      </c>
      <c r="U4" s="3360"/>
      <c r="V4" s="3346" t="s">
        <v>2631</v>
      </c>
      <c r="W4" s="3346"/>
      <c r="X4" s="1807"/>
      <c r="Y4" s="3359" t="s">
        <v>2633</v>
      </c>
      <c r="Z4" s="3360"/>
      <c r="AA4" s="3347" t="s">
        <v>2629</v>
      </c>
      <c r="AB4" s="3348" t="s">
        <v>2630</v>
      </c>
      <c r="AC4" s="3347" t="s">
        <v>2631</v>
      </c>
    </row>
    <row r="5" spans="1:30" ht="15">
      <c r="A5" s="402"/>
      <c r="B5" s="403"/>
      <c r="C5" s="3367" t="s">
        <v>2524</v>
      </c>
      <c r="D5" s="3368"/>
      <c r="E5" s="3374" t="str">
        <f>土地案例!A11</f>
        <v>北京市顺义区后沙峪镇马头庄村SY00-0019-6007地块R2二类居住用地</v>
      </c>
      <c r="F5" s="3375"/>
      <c r="G5" s="3367" t="str">
        <f>土地案例!A12</f>
        <v>北京市顺义区后沙峪镇21-18-001e地块R2二类居住用地、21-18-002地块A33基础教育用地</v>
      </c>
      <c r="H5" s="3368"/>
      <c r="I5" s="3367" t="str">
        <f>土地案例!A14</f>
        <v>北京市顺义区后沙峪镇马头庄村SY00-0019-6005地块B1商业用地、SY00-0019-6006地块R2二类居住用地</v>
      </c>
      <c r="J5" s="3368"/>
      <c r="K5" s="608"/>
      <c r="L5" s="1126"/>
      <c r="M5" s="1127"/>
      <c r="N5" s="1127"/>
      <c r="O5" s="1127"/>
      <c r="P5" s="3355"/>
      <c r="Q5" s="3356"/>
      <c r="R5" s="3361"/>
      <c r="S5" s="3362"/>
      <c r="T5" s="3361"/>
      <c r="U5" s="3362"/>
      <c r="V5" s="3346"/>
      <c r="W5" s="3346"/>
      <c r="X5" s="1807"/>
      <c r="Y5" s="3361"/>
      <c r="Z5" s="3362"/>
      <c r="AA5" s="3348"/>
      <c r="AB5" s="3348"/>
      <c r="AC5" s="3348"/>
    </row>
    <row r="6" spans="1:30" ht="15.75" thickBot="1">
      <c r="A6" s="404"/>
      <c r="B6" s="405"/>
      <c r="C6" s="3365" t="s">
        <v>2528</v>
      </c>
      <c r="D6" s="3366"/>
      <c r="E6" s="3372" t="s">
        <v>2528</v>
      </c>
      <c r="F6" s="3373"/>
      <c r="G6" s="3365" t="s">
        <v>2528</v>
      </c>
      <c r="H6" s="3366"/>
      <c r="I6" s="3365" t="s">
        <v>2528</v>
      </c>
      <c r="J6" s="3366"/>
      <c r="K6" s="608" t="s">
        <v>2529</v>
      </c>
      <c r="L6" s="1126"/>
      <c r="M6" s="1127"/>
      <c r="N6" s="1127"/>
      <c r="O6" s="1127"/>
      <c r="P6" s="3357"/>
      <c r="Q6" s="3358"/>
      <c r="R6" s="3361"/>
      <c r="S6" s="3362"/>
      <c r="T6" s="3363"/>
      <c r="U6" s="3364"/>
      <c r="V6" s="3346"/>
      <c r="W6" s="3346"/>
      <c r="X6" s="1807"/>
      <c r="Y6" s="3363"/>
      <c r="Z6" s="3364"/>
      <c r="AA6" s="3349"/>
      <c r="AB6" s="3349"/>
      <c r="AC6" s="3349"/>
    </row>
    <row r="7" spans="1:30" s="115" customFormat="1" ht="15.75" thickBot="1">
      <c r="A7" s="406" t="s">
        <v>2530</v>
      </c>
      <c r="B7" s="407"/>
      <c r="C7" s="408">
        <f>'数据-取费表'!B2</f>
        <v>43878</v>
      </c>
      <c r="D7" s="409">
        <v>100</v>
      </c>
      <c r="E7" s="410" t="str">
        <f>土地案例!I11</f>
        <v>2018-07-04</v>
      </c>
      <c r="F7" s="411">
        <f>SUMIF(70:70,YEAR(E7)&amp;"-"&amp;INT((MONTH(E7)+2)/3),71:71)</f>
        <v>94</v>
      </c>
      <c r="G7" s="2680" t="str">
        <f>土地案例!I12</f>
        <v>2018-06-22</v>
      </c>
      <c r="H7" s="409">
        <f>SUMIF(70:70,YEAR(G7)&amp;"-"&amp;INT((MONTH(G7)+2)/3),71:71)</f>
        <v>93</v>
      </c>
      <c r="I7" s="2680" t="str">
        <f>土地案例!I14</f>
        <v>2017-10-30</v>
      </c>
      <c r="J7" s="409">
        <f>SUMIF(70:70,YEAR(I7)&amp;"-"&amp;INT((MONTH(I7)+2)/3),71:71)</f>
        <v>91</v>
      </c>
      <c r="K7" s="609"/>
      <c r="L7" s="1128"/>
      <c r="M7" s="1129"/>
      <c r="N7" s="1129"/>
      <c r="O7" s="1129"/>
      <c r="P7" s="3369" t="s">
        <v>2531</v>
      </c>
      <c r="Q7" s="3371"/>
      <c r="R7" s="768" t="s">
        <v>17</v>
      </c>
      <c r="S7" s="769">
        <f t="shared" ref="S7:S15" si="0">F7</f>
        <v>94</v>
      </c>
      <c r="T7" s="768" t="s">
        <v>17</v>
      </c>
      <c r="U7" s="769">
        <f t="shared" ref="U7:U15" si="1">H7</f>
        <v>93</v>
      </c>
      <c r="V7" s="768" t="s">
        <v>17</v>
      </c>
      <c r="W7" s="769">
        <f t="shared" ref="W7:W15" si="2">J7</f>
        <v>91</v>
      </c>
      <c r="X7" s="770"/>
      <c r="Y7" s="3369" t="s">
        <v>2531</v>
      </c>
      <c r="Z7" s="3370"/>
      <c r="AA7" s="771">
        <f>D7/F7</f>
        <v>1.0638297872340425</v>
      </c>
      <c r="AB7" s="771">
        <f>D7/H7</f>
        <v>1.075268817204301</v>
      </c>
      <c r="AC7" s="771">
        <f>D7/J7</f>
        <v>1.098901098901099</v>
      </c>
    </row>
    <row r="8" spans="1:30" s="115" customFormat="1" ht="15.75" thickBot="1">
      <c r="A8" s="406" t="s">
        <v>2532</v>
      </c>
      <c r="B8" s="407"/>
      <c r="C8" s="412" t="s">
        <v>2533</v>
      </c>
      <c r="D8" s="409">
        <v>100</v>
      </c>
      <c r="E8" s="412" t="s">
        <v>4640</v>
      </c>
      <c r="F8" s="411">
        <f>SUMIF(73:73,E8,74:74)-SUMIF(73:73,C8,74:74)+100</f>
        <v>100</v>
      </c>
      <c r="G8" s="412" t="s">
        <v>4640</v>
      </c>
      <c r="H8" s="409">
        <f>SUMIF(73:73,G8,74:74)-SUMIF(73:73,C8,74:74)+100</f>
        <v>100</v>
      </c>
      <c r="I8" s="412" t="s">
        <v>4640</v>
      </c>
      <c r="J8" s="409">
        <f>SUMIF(73:73,I8,74:74)-SUMIF(73:73,C8,74:74)+100</f>
        <v>100</v>
      </c>
      <c r="K8" s="609"/>
      <c r="L8" s="1128"/>
      <c r="M8" s="1129"/>
      <c r="N8" s="1129"/>
      <c r="O8" s="1129"/>
      <c r="P8" s="3369" t="s">
        <v>2534</v>
      </c>
      <c r="Q8" s="3370"/>
      <c r="R8" s="768" t="s">
        <v>17</v>
      </c>
      <c r="S8" s="769">
        <f t="shared" si="0"/>
        <v>100</v>
      </c>
      <c r="T8" s="768" t="s">
        <v>17</v>
      </c>
      <c r="U8" s="769">
        <f t="shared" si="1"/>
        <v>100</v>
      </c>
      <c r="V8" s="768" t="s">
        <v>17</v>
      </c>
      <c r="W8" s="769">
        <f t="shared" si="2"/>
        <v>100</v>
      </c>
      <c r="X8" s="770"/>
      <c r="Y8" s="3369" t="s">
        <v>2534</v>
      </c>
      <c r="Z8" s="3370"/>
      <c r="AA8" s="771">
        <f t="shared" ref="AA8:AA45" si="3">D8/F8</f>
        <v>1</v>
      </c>
      <c r="AB8" s="771">
        <f t="shared" ref="AB8:AB45" si="4">D8/H8</f>
        <v>1</v>
      </c>
      <c r="AC8" s="771">
        <f t="shared" ref="AC8:AC45" si="5">D8/J8</f>
        <v>1</v>
      </c>
    </row>
    <row r="9" spans="1:30" s="115" customFormat="1" ht="28.5">
      <c r="A9" s="413" t="s">
        <v>2535</v>
      </c>
      <c r="B9" s="70" t="s">
        <v>2536</v>
      </c>
      <c r="C9" s="2683" t="s">
        <v>4618</v>
      </c>
      <c r="D9" s="133">
        <v>100</v>
      </c>
      <c r="E9" s="2683" t="s">
        <v>4618</v>
      </c>
      <c r="F9" s="133">
        <f>SUMIF(75:75,E9,76:76)-SUMIF(75:75,C9,76:76)+100</f>
        <v>100</v>
      </c>
      <c r="G9" s="2683" t="s">
        <v>4618</v>
      </c>
      <c r="H9" s="133">
        <f>SUMIF(75:75,G9,76:76)-SUMIF(75:75,C9,76:76)+100</f>
        <v>100</v>
      </c>
      <c r="I9" s="2683" t="s">
        <v>4618</v>
      </c>
      <c r="J9" s="133">
        <f>SUMIF(75:75,I9,76:76)-SUMIF(75:75,C9,76:76)+100</f>
        <v>100</v>
      </c>
      <c r="K9" s="609"/>
      <c r="L9" s="1128"/>
      <c r="M9" s="1129"/>
      <c r="N9" s="1129"/>
      <c r="O9" s="1130"/>
      <c r="P9" s="3340" t="s">
        <v>2537</v>
      </c>
      <c r="Q9" s="1789" t="str">
        <f t="shared" ref="Q9:Q15" si="6">B9</f>
        <v>用途</v>
      </c>
      <c r="R9" s="768" t="s">
        <v>17</v>
      </c>
      <c r="S9" s="769">
        <f t="shared" si="0"/>
        <v>100</v>
      </c>
      <c r="T9" s="768" t="s">
        <v>17</v>
      </c>
      <c r="U9" s="769">
        <f t="shared" si="1"/>
        <v>100</v>
      </c>
      <c r="V9" s="768" t="s">
        <v>17</v>
      </c>
      <c r="W9" s="769">
        <f t="shared" si="2"/>
        <v>100</v>
      </c>
      <c r="X9" s="770"/>
      <c r="Y9" s="3168" t="s">
        <v>2538</v>
      </c>
      <c r="Z9" s="55" t="str">
        <f t="shared" ref="Z9:Z15" si="7">Q9</f>
        <v>用途</v>
      </c>
      <c r="AA9" s="771">
        <f t="shared" si="3"/>
        <v>1</v>
      </c>
      <c r="AB9" s="771">
        <f t="shared" si="4"/>
        <v>1</v>
      </c>
      <c r="AC9" s="771">
        <f t="shared" si="5"/>
        <v>1</v>
      </c>
    </row>
    <row r="10" spans="1:30" s="425" customFormat="1" ht="57">
      <c r="A10" s="419"/>
      <c r="B10" s="420" t="s">
        <v>2539</v>
      </c>
      <c r="C10" s="430" t="str">
        <f>项目基本情况!F16</f>
        <v>住宅67.4年、商业37.4年、地下车库及地下仓储47.4年</v>
      </c>
      <c r="D10" s="134">
        <v>100</v>
      </c>
      <c r="E10" s="463" t="s">
        <v>4641</v>
      </c>
      <c r="F10" s="134">
        <f>ROUND(100/'数据-取费表'!G16,0)</f>
        <v>101</v>
      </c>
      <c r="G10" s="463" t="s">
        <v>4641</v>
      </c>
      <c r="H10" s="134">
        <f>ROUND(100/'数据-取费表'!G16,0)</f>
        <v>101</v>
      </c>
      <c r="I10" s="463" t="s">
        <v>4641</v>
      </c>
      <c r="J10" s="134">
        <f>ROUND(100/'数据-取费表'!G16,0)</f>
        <v>101</v>
      </c>
      <c r="K10" s="670"/>
      <c r="L10" s="1131"/>
      <c r="M10" s="1132"/>
      <c r="N10" s="1132"/>
      <c r="O10" s="1133"/>
      <c r="P10" s="3340"/>
      <c r="Q10" s="1789" t="str">
        <f t="shared" si="6"/>
        <v>土地使用年限（年）</v>
      </c>
      <c r="R10" s="768" t="s">
        <v>17</v>
      </c>
      <c r="S10" s="769">
        <f t="shared" si="0"/>
        <v>101</v>
      </c>
      <c r="T10" s="768" t="s">
        <v>17</v>
      </c>
      <c r="U10" s="769">
        <f t="shared" si="1"/>
        <v>101</v>
      </c>
      <c r="V10" s="768" t="s">
        <v>17</v>
      </c>
      <c r="W10" s="769">
        <f t="shared" si="2"/>
        <v>101</v>
      </c>
      <c r="X10" s="770"/>
      <c r="Y10" s="3168"/>
      <c r="Z10" s="55" t="str">
        <f t="shared" si="7"/>
        <v>土地使用年限（年）</v>
      </c>
      <c r="AA10" s="771">
        <f t="shared" si="3"/>
        <v>0.99009900990099009</v>
      </c>
      <c r="AB10" s="771">
        <f t="shared" si="4"/>
        <v>0.99009900990099009</v>
      </c>
      <c r="AC10" s="771">
        <f t="shared" si="5"/>
        <v>0.99009900990099009</v>
      </c>
    </row>
    <row r="11" spans="1:30" ht="15">
      <c r="A11" s="426"/>
      <c r="B11" s="420" t="s">
        <v>2540</v>
      </c>
      <c r="C11" s="427">
        <f>'数据-汇总表'!I7</f>
        <v>1.01</v>
      </c>
      <c r="D11" s="134">
        <v>100</v>
      </c>
      <c r="E11" s="427">
        <f>土地案例!G11</f>
        <v>1.8</v>
      </c>
      <c r="F11" s="134">
        <f>LOOKUP(E11,80:80,81:81)-LOOKUP(C11,80:80,81:81)+100</f>
        <v>100</v>
      </c>
      <c r="G11" s="428">
        <f>土地案例!G12</f>
        <v>1</v>
      </c>
      <c r="H11" s="134">
        <f>LOOKUP(G11,80:80,81:81)-LOOKUP(C11,80:80,81:81)+100</f>
        <v>100</v>
      </c>
      <c r="I11" s="427">
        <f>土地案例!G14</f>
        <v>1.83</v>
      </c>
      <c r="J11" s="134">
        <f>LOOKUP(I11,80:80,81:81)-LOOKUP(C11,80:80,81:81)+100</f>
        <v>100</v>
      </c>
      <c r="K11" s="671">
        <v>5</v>
      </c>
      <c r="L11" s="1134"/>
      <c r="M11" s="1127"/>
      <c r="N11" s="1127"/>
      <c r="O11" s="1135"/>
      <c r="P11" s="3340"/>
      <c r="Q11" s="1789" t="str">
        <f t="shared" si="6"/>
        <v>容积率</v>
      </c>
      <c r="R11" s="768" t="s">
        <v>17</v>
      </c>
      <c r="S11" s="769">
        <f t="shared" si="0"/>
        <v>100</v>
      </c>
      <c r="T11" s="768" t="s">
        <v>17</v>
      </c>
      <c r="U11" s="769">
        <f t="shared" si="1"/>
        <v>100</v>
      </c>
      <c r="V11" s="768" t="s">
        <v>17</v>
      </c>
      <c r="W11" s="769">
        <f t="shared" si="2"/>
        <v>100</v>
      </c>
      <c r="X11" s="770"/>
      <c r="Y11" s="3168"/>
      <c r="Z11" s="55" t="str">
        <f t="shared" si="7"/>
        <v>容积率</v>
      </c>
      <c r="AA11" s="771">
        <f t="shared" si="3"/>
        <v>1</v>
      </c>
      <c r="AB11" s="771">
        <f t="shared" si="4"/>
        <v>1</v>
      </c>
      <c r="AC11" s="771">
        <f t="shared" si="5"/>
        <v>1</v>
      </c>
    </row>
    <row r="12" spans="1:30" s="115" customFormat="1" ht="15">
      <c r="A12" s="429"/>
      <c r="B12" s="2584" t="s">
        <v>2728</v>
      </c>
      <c r="C12" s="3075" t="s">
        <v>4642</v>
      </c>
      <c r="D12" s="431">
        <v>100</v>
      </c>
      <c r="E12" s="3077" t="s">
        <v>4642</v>
      </c>
      <c r="F12" s="134">
        <f>SUMIF(82:82,E12,83:83)-SUMIF(82:82,C12,83:83)+100</f>
        <v>100</v>
      </c>
      <c r="G12" s="3078" t="s">
        <v>4642</v>
      </c>
      <c r="H12" s="134">
        <f>SUMIF(82:82,G12,83:83)-SUMIF(82:82,C12,83:83)+100</f>
        <v>100</v>
      </c>
      <c r="I12" s="3077" t="s">
        <v>4642</v>
      </c>
      <c r="J12" s="134">
        <f>SUMIF(82:82,I12,83:83)-SUMIF(82:82,C12,83:83)+100</f>
        <v>100</v>
      </c>
      <c r="K12" s="670"/>
      <c r="L12" s="1128"/>
      <c r="M12" s="1129"/>
      <c r="N12" s="1129"/>
      <c r="O12" s="1130"/>
      <c r="P12" s="3340"/>
      <c r="Q12" s="1789" t="str">
        <f t="shared" si="6"/>
        <v>配建</v>
      </c>
      <c r="R12" s="768" t="s">
        <v>17</v>
      </c>
      <c r="S12" s="769">
        <f t="shared" si="0"/>
        <v>100</v>
      </c>
      <c r="T12" s="768" t="s">
        <v>17</v>
      </c>
      <c r="U12" s="769">
        <f t="shared" si="1"/>
        <v>100</v>
      </c>
      <c r="V12" s="768" t="s">
        <v>17</v>
      </c>
      <c r="W12" s="769">
        <f t="shared" si="2"/>
        <v>100</v>
      </c>
      <c r="X12" s="770"/>
      <c r="Y12" s="3168"/>
      <c r="Z12" s="55" t="str">
        <f t="shared" si="7"/>
        <v>配建</v>
      </c>
      <c r="AA12" s="771">
        <f>D12/F12</f>
        <v>1</v>
      </c>
      <c r="AB12" s="771">
        <f>D12/H12</f>
        <v>1</v>
      </c>
      <c r="AC12" s="771">
        <f>D12/J12</f>
        <v>1</v>
      </c>
    </row>
    <row r="13" spans="1:30" ht="15.75" thickBot="1">
      <c r="A13" s="426"/>
      <c r="B13" s="3073" t="s">
        <v>4622</v>
      </c>
      <c r="C13" s="3076" t="s">
        <v>4643</v>
      </c>
      <c r="D13" s="433">
        <v>100</v>
      </c>
      <c r="E13" s="3079" t="s">
        <v>4642</v>
      </c>
      <c r="F13" s="134">
        <f>SUMIF(84:84,E13,85:85)-SUMIF(84:84,C13,85:85)+100</f>
        <v>105</v>
      </c>
      <c r="G13" s="3080" t="s">
        <v>4643</v>
      </c>
      <c r="H13" s="433">
        <f>SUMIF(84:84,G13,85:85)-SUMIF(84:84,C13,85:85)+100</f>
        <v>100</v>
      </c>
      <c r="I13" s="3080" t="s">
        <v>4643</v>
      </c>
      <c r="J13" s="433">
        <f>SUMIF(84:84,I13,85:85)-SUMIF(84:84,C13,85:85)+100</f>
        <v>100</v>
      </c>
      <c r="K13" s="670"/>
      <c r="L13" s="1136"/>
      <c r="M13" s="1127"/>
      <c r="N13" s="1127"/>
      <c r="O13" s="1135"/>
      <c r="P13" s="3340"/>
      <c r="Q13" s="1789" t="str">
        <f t="shared" si="6"/>
        <v>自持</v>
      </c>
      <c r="R13" s="768" t="s">
        <v>17</v>
      </c>
      <c r="S13" s="769">
        <f t="shared" si="0"/>
        <v>105</v>
      </c>
      <c r="T13" s="768" t="s">
        <v>17</v>
      </c>
      <c r="U13" s="769">
        <f t="shared" si="1"/>
        <v>100</v>
      </c>
      <c r="V13" s="768" t="s">
        <v>17</v>
      </c>
      <c r="W13" s="769">
        <f t="shared" si="2"/>
        <v>100</v>
      </c>
      <c r="X13" s="770"/>
      <c r="Y13" s="3168"/>
      <c r="Z13" s="55" t="str">
        <f t="shared" si="7"/>
        <v>自持</v>
      </c>
      <c r="AA13" s="771">
        <f>D13/F13</f>
        <v>0.95238095238095233</v>
      </c>
      <c r="AB13" s="771">
        <f>D13/H13</f>
        <v>1</v>
      </c>
      <c r="AC13" s="771">
        <f>D13/J13</f>
        <v>1</v>
      </c>
    </row>
    <row r="14" spans="1:30" ht="15.75" hidden="1" thickBot="1">
      <c r="A14" s="434"/>
      <c r="B14" s="2586">
        <v>111</v>
      </c>
      <c r="C14" s="435"/>
      <c r="D14" s="436">
        <v>100</v>
      </c>
      <c r="E14" s="547"/>
      <c r="F14" s="436">
        <f>SUMIF(86:86,E14,87:87)-SUMIF(86:86,C14,87:87)+100</f>
        <v>100</v>
      </c>
      <c r="G14" s="672"/>
      <c r="H14" s="436">
        <f>SUMIF(86:86,G14,87:87)-SUMIF(86:86,C14,87:87)+100</f>
        <v>100</v>
      </c>
      <c r="I14" s="672"/>
      <c r="J14" s="436">
        <f>SUMIF(86:86,I14,87:87)-SUMIF(86:86,C14,87:87)+100</f>
        <v>100</v>
      </c>
      <c r="K14" s="670"/>
      <c r="L14" s="1136"/>
      <c r="M14" s="1127"/>
      <c r="N14" s="1127"/>
      <c r="O14" s="1135"/>
      <c r="P14" s="3340"/>
      <c r="Q14" s="1789">
        <f t="shared" si="6"/>
        <v>111</v>
      </c>
      <c r="R14" s="768" t="s">
        <v>17</v>
      </c>
      <c r="S14" s="769">
        <f t="shared" si="0"/>
        <v>100</v>
      </c>
      <c r="T14" s="768" t="s">
        <v>17</v>
      </c>
      <c r="U14" s="769">
        <f t="shared" si="1"/>
        <v>100</v>
      </c>
      <c r="V14" s="768" t="s">
        <v>17</v>
      </c>
      <c r="W14" s="769">
        <f t="shared" si="2"/>
        <v>100</v>
      </c>
      <c r="X14" s="770"/>
      <c r="Y14" s="3168"/>
      <c r="Z14" s="55">
        <f t="shared" si="7"/>
        <v>111</v>
      </c>
      <c r="AA14" s="771">
        <f>D14/F14</f>
        <v>1</v>
      </c>
      <c r="AB14" s="771">
        <f>D14/H14</f>
        <v>1</v>
      </c>
      <c r="AC14" s="771">
        <f>D14/J14</f>
        <v>1</v>
      </c>
    </row>
    <row r="15" spans="1:30" ht="15">
      <c r="A15" s="438" t="s">
        <v>2541</v>
      </c>
      <c r="B15" s="68" t="s">
        <v>2077</v>
      </c>
      <c r="C15" s="2587" t="str">
        <f>估价对象房地状况!C15</f>
        <v>一般</v>
      </c>
      <c r="D15" s="439">
        <v>100</v>
      </c>
      <c r="E15" s="440"/>
      <c r="F15" s="439">
        <f>SUMIF(88:88,E16,89:89)-SUMIF(88:88,C16,89:89)+100</f>
        <v>103</v>
      </c>
      <c r="G15" s="440"/>
      <c r="H15" s="439">
        <f>SUMIF(88:88,G16,89:89)-SUMIF(88:88,C16,89:89)+100</f>
        <v>100</v>
      </c>
      <c r="I15" s="442"/>
      <c r="J15" s="439">
        <f>SUMIF(88:88,I16,89:89)-SUMIF(88:88,C16,89:89)+100</f>
        <v>103</v>
      </c>
      <c r="K15" s="671">
        <v>3</v>
      </c>
      <c r="L15" s="1136"/>
      <c r="M15" s="1127"/>
      <c r="N15" s="1127"/>
      <c r="O15" s="1135"/>
      <c r="P15" s="3342" t="s">
        <v>2542</v>
      </c>
      <c r="Q15" s="1804" t="str">
        <f t="shared" si="6"/>
        <v>居住社区成熟度</v>
      </c>
      <c r="R15" s="772" t="s">
        <v>17</v>
      </c>
      <c r="S15" s="773">
        <f t="shared" si="0"/>
        <v>103</v>
      </c>
      <c r="T15" s="772" t="s">
        <v>17</v>
      </c>
      <c r="U15" s="773">
        <f t="shared" si="1"/>
        <v>100</v>
      </c>
      <c r="V15" s="772" t="s">
        <v>17</v>
      </c>
      <c r="W15" s="773">
        <f t="shared" si="2"/>
        <v>103</v>
      </c>
      <c r="X15" s="1807"/>
      <c r="Y15" s="3342" t="s">
        <v>2542</v>
      </c>
      <c r="Z15" s="1808" t="str">
        <f t="shared" si="7"/>
        <v>居住社区成熟度</v>
      </c>
      <c r="AA15" s="1805">
        <f t="shared" si="3"/>
        <v>0.970873786407767</v>
      </c>
      <c r="AB15" s="1805">
        <f t="shared" si="4"/>
        <v>1</v>
      </c>
      <c r="AC15" s="1805">
        <f t="shared" si="5"/>
        <v>0.970873786407767</v>
      </c>
    </row>
    <row r="16" spans="1:30" ht="15">
      <c r="A16" s="426"/>
      <c r="B16" s="444"/>
      <c r="C16" s="445" t="s">
        <v>4649</v>
      </c>
      <c r="D16" s="446"/>
      <c r="E16" s="2589" t="s">
        <v>4646</v>
      </c>
      <c r="F16" s="446"/>
      <c r="G16" s="2589" t="s">
        <v>4649</v>
      </c>
      <c r="H16" s="448"/>
      <c r="I16" s="2589" t="s">
        <v>4646</v>
      </c>
      <c r="J16" s="446"/>
      <c r="K16" s="670"/>
      <c r="L16" s="1136"/>
      <c r="M16" s="1127"/>
      <c r="N16" s="1127"/>
      <c r="O16" s="1135"/>
      <c r="P16" s="3343"/>
      <c r="Q16" s="1804"/>
      <c r="R16" s="772"/>
      <c r="S16" s="773"/>
      <c r="T16" s="772"/>
      <c r="U16" s="773"/>
      <c r="V16" s="772"/>
      <c r="W16" s="773"/>
      <c r="X16" s="1807"/>
      <c r="Y16" s="3343"/>
      <c r="Z16" s="1808"/>
      <c r="AA16" s="1805">
        <v>1</v>
      </c>
      <c r="AB16" s="1805">
        <v>1</v>
      </c>
      <c r="AC16" s="1805">
        <v>1</v>
      </c>
    </row>
    <row r="17" spans="1:29" ht="15">
      <c r="A17" s="426"/>
      <c r="B17" s="449" t="s">
        <v>2635</v>
      </c>
      <c r="C17" s="2648" t="str">
        <f>估价对象房地状况!C16</f>
        <v>较差</v>
      </c>
      <c r="D17" s="448">
        <v>100</v>
      </c>
      <c r="E17" s="450"/>
      <c r="F17" s="448">
        <f>SUMIF(90:90,E18,91:91)-SUMIF(90:90,C18,91:91)+100</f>
        <v>102</v>
      </c>
      <c r="G17" s="450"/>
      <c r="H17" s="453">
        <f>SUMIF(90:90,G18,91:91)-SUMIF(90:90,C18,91:91)+100</f>
        <v>102</v>
      </c>
      <c r="I17" s="452"/>
      <c r="J17" s="453">
        <f>SUMIF(90:90,I18,91:91)-SUMIF(90:90,C18,91:91)+100</f>
        <v>102</v>
      </c>
      <c r="K17" s="671">
        <v>2</v>
      </c>
      <c r="L17" s="1136"/>
      <c r="M17" s="1127"/>
      <c r="N17" s="1127"/>
      <c r="O17" s="1135"/>
      <c r="P17" s="3343"/>
      <c r="Q17" s="1804" t="str">
        <f>B17</f>
        <v>商业繁华度</v>
      </c>
      <c r="R17" s="772" t="s">
        <v>17</v>
      </c>
      <c r="S17" s="773">
        <f>F17</f>
        <v>102</v>
      </c>
      <c r="T17" s="772" t="s">
        <v>17</v>
      </c>
      <c r="U17" s="773">
        <f>H17</f>
        <v>102</v>
      </c>
      <c r="V17" s="772" t="s">
        <v>17</v>
      </c>
      <c r="W17" s="773">
        <f>J17</f>
        <v>102</v>
      </c>
      <c r="X17" s="1807"/>
      <c r="Y17" s="3343"/>
      <c r="Z17" s="1808" t="str">
        <f>Q17</f>
        <v>商业繁华度</v>
      </c>
      <c r="AA17" s="1805">
        <f t="shared" si="3"/>
        <v>0.98039215686274506</v>
      </c>
      <c r="AB17" s="1805">
        <f t="shared" si="4"/>
        <v>0.98039215686274506</v>
      </c>
      <c r="AC17" s="1805">
        <f t="shared" si="5"/>
        <v>0.98039215686274506</v>
      </c>
    </row>
    <row r="18" spans="1:29" ht="15">
      <c r="A18" s="426"/>
      <c r="B18" s="454"/>
      <c r="C18" s="2592" t="s">
        <v>4652</v>
      </c>
      <c r="D18" s="448"/>
      <c r="E18" s="2594" t="s">
        <v>4649</v>
      </c>
      <c r="F18" s="448"/>
      <c r="G18" s="2594" t="s">
        <v>4649</v>
      </c>
      <c r="H18" s="446"/>
      <c r="I18" s="2594" t="s">
        <v>4649</v>
      </c>
      <c r="J18" s="446"/>
      <c r="K18" s="670"/>
      <c r="L18" s="1136"/>
      <c r="M18" s="1127"/>
      <c r="N18" s="1127"/>
      <c r="O18" s="1135"/>
      <c r="P18" s="3343"/>
      <c r="Q18" s="1804"/>
      <c r="R18" s="772"/>
      <c r="S18" s="773"/>
      <c r="T18" s="772"/>
      <c r="U18" s="773"/>
      <c r="V18" s="772"/>
      <c r="W18" s="773"/>
      <c r="X18" s="1807"/>
      <c r="Y18" s="3343"/>
      <c r="Z18" s="1808"/>
      <c r="AA18" s="1805">
        <v>1</v>
      </c>
      <c r="AB18" s="1805">
        <v>1</v>
      </c>
      <c r="AC18" s="1805">
        <v>1</v>
      </c>
    </row>
    <row r="19" spans="1:29" ht="15" hidden="1">
      <c r="A19" s="426"/>
      <c r="B19" s="449" t="s">
        <v>2669</v>
      </c>
      <c r="C19" s="2648">
        <f>估价对象房地状况!C17</f>
        <v>0</v>
      </c>
      <c r="D19" s="453">
        <v>100</v>
      </c>
      <c r="E19" s="455"/>
      <c r="F19" s="453">
        <f>SUMIF(92:92,E20,93:93)-SUMIF(92:92,C20,93:93)+100</f>
        <v>100</v>
      </c>
      <c r="G19" s="455"/>
      <c r="H19" s="448">
        <f>SUMIF(92:92,G20,93:93)-SUMIF(92:92,C20,93:93)+100</f>
        <v>100</v>
      </c>
      <c r="I19" s="457"/>
      <c r="J19" s="448">
        <f>SUMIF(92:92,I20,93:93)-SUMIF(92:92,C20,93:93)+100</f>
        <v>100</v>
      </c>
      <c r="K19" s="671">
        <v>0</v>
      </c>
      <c r="L19" s="1136"/>
      <c r="M19" s="1127"/>
      <c r="N19" s="1127"/>
      <c r="O19" s="1135"/>
      <c r="P19" s="3343"/>
      <c r="Q19" s="1804" t="str">
        <f>B19</f>
        <v>办公集聚程度</v>
      </c>
      <c r="R19" s="772" t="s">
        <v>17</v>
      </c>
      <c r="S19" s="773">
        <f>F19</f>
        <v>100</v>
      </c>
      <c r="T19" s="772" t="s">
        <v>17</v>
      </c>
      <c r="U19" s="773">
        <f>H19</f>
        <v>100</v>
      </c>
      <c r="V19" s="772" t="s">
        <v>17</v>
      </c>
      <c r="W19" s="773">
        <f>J19</f>
        <v>100</v>
      </c>
      <c r="X19" s="1807"/>
      <c r="Y19" s="3343"/>
      <c r="Z19" s="1808" t="str">
        <f>Q19</f>
        <v>办公集聚程度</v>
      </c>
      <c r="AA19" s="1805">
        <f t="shared" si="3"/>
        <v>1</v>
      </c>
      <c r="AB19" s="1805">
        <f t="shared" si="4"/>
        <v>1</v>
      </c>
      <c r="AC19" s="1805">
        <f t="shared" si="5"/>
        <v>1</v>
      </c>
    </row>
    <row r="20" spans="1:29" ht="15" hidden="1">
      <c r="A20" s="426"/>
      <c r="B20" s="454"/>
      <c r="C20" s="445"/>
      <c r="D20" s="446"/>
      <c r="E20" s="2589"/>
      <c r="F20" s="446"/>
      <c r="G20" s="2589"/>
      <c r="H20" s="446"/>
      <c r="I20" s="2588"/>
      <c r="J20" s="446"/>
      <c r="K20" s="670"/>
      <c r="L20" s="1136"/>
      <c r="M20" s="1127"/>
      <c r="N20" s="1127"/>
      <c r="O20" s="1135"/>
      <c r="P20" s="3343"/>
      <c r="Q20" s="1804"/>
      <c r="R20" s="772"/>
      <c r="S20" s="773"/>
      <c r="T20" s="772"/>
      <c r="U20" s="773"/>
      <c r="V20" s="772"/>
      <c r="W20" s="773"/>
      <c r="X20" s="1807"/>
      <c r="Y20" s="3343"/>
      <c r="Z20" s="1808"/>
      <c r="AA20" s="1805">
        <v>1</v>
      </c>
      <c r="AB20" s="1805">
        <v>1</v>
      </c>
      <c r="AC20" s="1805">
        <v>1</v>
      </c>
    </row>
    <row r="21" spans="1:29" ht="15">
      <c r="A21" s="426"/>
      <c r="B21" s="449" t="s">
        <v>2691</v>
      </c>
      <c r="C21" s="2591" t="str">
        <f>估价对象房地状况!C18</f>
        <v>一般</v>
      </c>
      <c r="D21" s="448">
        <v>100</v>
      </c>
      <c r="E21" s="450"/>
      <c r="F21" s="453">
        <f>SUMIF(94:94,E22,95:95)-SUMIF(94:94,C22,95:95)+100</f>
        <v>100</v>
      </c>
      <c r="G21" s="450"/>
      <c r="H21" s="448">
        <f>SUMIF(94:94,G22,95:95)-SUMIF(94:94,C22,95:95)+100</f>
        <v>100</v>
      </c>
      <c r="I21" s="452"/>
      <c r="J21" s="448">
        <f>SUMIF(94:94,I22,95:95)-SUMIF(94:94,C22,95:95)+100</f>
        <v>100</v>
      </c>
      <c r="K21" s="671">
        <v>2</v>
      </c>
      <c r="L21" s="1136"/>
      <c r="M21" s="1127"/>
      <c r="N21" s="1127"/>
      <c r="O21" s="1135"/>
      <c r="P21" s="3343"/>
      <c r="Q21" s="1804" t="str">
        <f>B21</f>
        <v>交通便捷度</v>
      </c>
      <c r="R21" s="772" t="s">
        <v>17</v>
      </c>
      <c r="S21" s="773">
        <f>F21</f>
        <v>100</v>
      </c>
      <c r="T21" s="772" t="s">
        <v>17</v>
      </c>
      <c r="U21" s="773">
        <f>H21</f>
        <v>100</v>
      </c>
      <c r="V21" s="772" t="s">
        <v>17</v>
      </c>
      <c r="W21" s="773">
        <f>J21</f>
        <v>100</v>
      </c>
      <c r="X21" s="1807"/>
      <c r="Y21" s="3343"/>
      <c r="Z21" s="1808" t="str">
        <f>Q21</f>
        <v>交通便捷度</v>
      </c>
      <c r="AA21" s="1805">
        <f t="shared" si="3"/>
        <v>1</v>
      </c>
      <c r="AB21" s="1805">
        <f t="shared" si="4"/>
        <v>1</v>
      </c>
      <c r="AC21" s="1805">
        <f t="shared" si="5"/>
        <v>1</v>
      </c>
    </row>
    <row r="22" spans="1:29" ht="15">
      <c r="A22" s="426"/>
      <c r="B22" s="1380"/>
      <c r="C22" s="445" t="s">
        <v>4649</v>
      </c>
      <c r="D22" s="448"/>
      <c r="E22" s="2589" t="s">
        <v>4649</v>
      </c>
      <c r="F22" s="446"/>
      <c r="G22" s="2589" t="s">
        <v>4649</v>
      </c>
      <c r="H22" s="446"/>
      <c r="I22" s="2589" t="s">
        <v>4649</v>
      </c>
      <c r="J22" s="446"/>
      <c r="K22" s="670"/>
      <c r="L22" s="1136"/>
      <c r="M22" s="1127"/>
      <c r="N22" s="1127"/>
      <c r="O22" s="1135"/>
      <c r="P22" s="3343"/>
      <c r="Q22" s="1804"/>
      <c r="R22" s="772"/>
      <c r="S22" s="773"/>
      <c r="T22" s="772"/>
      <c r="U22" s="773"/>
      <c r="V22" s="772"/>
      <c r="W22" s="773"/>
      <c r="X22" s="1807"/>
      <c r="Y22" s="3343"/>
      <c r="Z22" s="1808"/>
      <c r="AA22" s="1805">
        <v>1</v>
      </c>
      <c r="AB22" s="1805">
        <v>1</v>
      </c>
      <c r="AC22" s="1805">
        <v>1</v>
      </c>
    </row>
    <row r="23" spans="1:29" ht="15">
      <c r="A23" s="402"/>
      <c r="B23" s="449" t="s">
        <v>2729</v>
      </c>
      <c r="C23" s="1385" t="str">
        <f>估价对象房地状况!C19</f>
        <v>较好</v>
      </c>
      <c r="D23" s="453">
        <v>100</v>
      </c>
      <c r="E23" s="450"/>
      <c r="F23" s="453">
        <f>SUMIF(96:96,E24,97:97)-SUMIF(96:96,C24,97:97)+100</f>
        <v>100</v>
      </c>
      <c r="G23" s="452"/>
      <c r="H23" s="453">
        <f>SUMIF(96:96,G24,97:97)-SUMIF(96:96,C24,97:97)+100</f>
        <v>100</v>
      </c>
      <c r="I23" s="452"/>
      <c r="J23" s="453">
        <f>SUMIF(96:96,I24,97:97)-SUMIF(96:96,C24,97:97)+100</f>
        <v>100</v>
      </c>
      <c r="K23" s="671">
        <v>2</v>
      </c>
      <c r="L23" s="1136"/>
      <c r="M23" s="1127"/>
      <c r="N23" s="1127"/>
      <c r="O23" s="1135"/>
      <c r="P23" s="3343"/>
      <c r="Q23" s="1804" t="str">
        <f t="shared" ref="Q23:Q37" si="8">B23</f>
        <v>区域土地利用方向</v>
      </c>
      <c r="R23" s="772" t="s">
        <v>17</v>
      </c>
      <c r="S23" s="773">
        <f>F23</f>
        <v>100</v>
      </c>
      <c r="T23" s="772" t="s">
        <v>17</v>
      </c>
      <c r="U23" s="773">
        <f>H23</f>
        <v>100</v>
      </c>
      <c r="V23" s="772" t="s">
        <v>17</v>
      </c>
      <c r="W23" s="773">
        <f>J23</f>
        <v>100</v>
      </c>
      <c r="X23" s="1807"/>
      <c r="Y23" s="3343"/>
      <c r="Z23" s="1808" t="str">
        <f>Q23</f>
        <v>区域土地利用方向</v>
      </c>
      <c r="AA23" s="1805">
        <f t="shared" si="3"/>
        <v>1</v>
      </c>
      <c r="AB23" s="1805">
        <f t="shared" si="4"/>
        <v>1</v>
      </c>
      <c r="AC23" s="1805">
        <f t="shared" si="5"/>
        <v>1</v>
      </c>
    </row>
    <row r="24" spans="1:29" ht="15">
      <c r="A24" s="402"/>
      <c r="B24" s="454"/>
      <c r="C24" s="614" t="s">
        <v>4646</v>
      </c>
      <c r="D24" s="446"/>
      <c r="E24" s="2589" t="s">
        <v>4646</v>
      </c>
      <c r="F24" s="446"/>
      <c r="G24" s="2589" t="s">
        <v>4646</v>
      </c>
      <c r="H24" s="446"/>
      <c r="I24" s="2589" t="s">
        <v>4646</v>
      </c>
      <c r="J24" s="446"/>
      <c r="K24" s="810"/>
      <c r="L24" s="1136"/>
      <c r="M24" s="1127"/>
      <c r="N24" s="1127"/>
      <c r="O24" s="1135"/>
      <c r="P24" s="3343"/>
      <c r="Q24" s="1804"/>
      <c r="R24" s="772"/>
      <c r="S24" s="773"/>
      <c r="T24" s="772"/>
      <c r="U24" s="773"/>
      <c r="V24" s="772"/>
      <c r="W24" s="773"/>
      <c r="X24" s="1807"/>
      <c r="Y24" s="3343"/>
      <c r="Z24" s="1808"/>
      <c r="AA24" s="1805"/>
      <c r="AB24" s="1805"/>
      <c r="AC24" s="1805"/>
    </row>
    <row r="25" spans="1:29" ht="27">
      <c r="A25" s="402"/>
      <c r="B25" s="1380" t="s">
        <v>2730</v>
      </c>
      <c r="C25" s="2648" t="str">
        <f>估价对象房地状况!C20</f>
        <v>一般</v>
      </c>
      <c r="D25" s="448">
        <v>100</v>
      </c>
      <c r="E25" s="450"/>
      <c r="F25" s="448">
        <f>SUMIF(98:98,E26,99:99)-SUMIF(98:98,C26,99:99)+100</f>
        <v>100</v>
      </c>
      <c r="G25" s="450"/>
      <c r="H25" s="448">
        <f>SUMIF(98:98,G26,99:99)-SUMIF(98:98,C26,99:99)+100</f>
        <v>100</v>
      </c>
      <c r="I25" s="452"/>
      <c r="J25" s="448">
        <f>SUMIF(98:98,I26,99:99)-SUMIF(98:98,C26,99:99)+100</f>
        <v>100</v>
      </c>
      <c r="K25" s="671">
        <v>2</v>
      </c>
      <c r="L25" s="1136"/>
      <c r="M25" s="1127"/>
      <c r="N25" s="1127"/>
      <c r="O25" s="1135"/>
      <c r="P25" s="3343"/>
      <c r="Q25" s="1804" t="str">
        <f t="shared" si="8"/>
        <v>自然及人文环境状况</v>
      </c>
      <c r="R25" s="772" t="s">
        <v>17</v>
      </c>
      <c r="S25" s="773">
        <f>F25</f>
        <v>100</v>
      </c>
      <c r="T25" s="772" t="s">
        <v>17</v>
      </c>
      <c r="U25" s="773">
        <f>H25</f>
        <v>100</v>
      </c>
      <c r="V25" s="772" t="s">
        <v>17</v>
      </c>
      <c r="W25" s="773">
        <f>J25</f>
        <v>100</v>
      </c>
      <c r="X25" s="1807"/>
      <c r="Y25" s="3343"/>
      <c r="Z25" s="1808" t="str">
        <f>Q25</f>
        <v>自然及人文环境状况</v>
      </c>
      <c r="AA25" s="1805">
        <f t="shared" si="3"/>
        <v>1</v>
      </c>
      <c r="AB25" s="1805">
        <f t="shared" si="4"/>
        <v>1</v>
      </c>
      <c r="AC25" s="1805">
        <f t="shared" si="5"/>
        <v>1</v>
      </c>
    </row>
    <row r="26" spans="1:29" ht="15">
      <c r="A26" s="402"/>
      <c r="B26" s="454"/>
      <c r="C26" s="445" t="s">
        <v>4649</v>
      </c>
      <c r="D26" s="446"/>
      <c r="E26" s="2595" t="s">
        <v>4649</v>
      </c>
      <c r="F26" s="446"/>
      <c r="G26" s="2595" t="s">
        <v>4649</v>
      </c>
      <c r="H26" s="446"/>
      <c r="I26" s="2595" t="s">
        <v>4649</v>
      </c>
      <c r="J26" s="446"/>
      <c r="K26" s="670"/>
      <c r="L26" s="1136"/>
      <c r="M26" s="1127"/>
      <c r="N26" s="1127"/>
      <c r="O26" s="1135"/>
      <c r="P26" s="3343"/>
      <c r="Q26" s="1804"/>
      <c r="R26" s="772"/>
      <c r="S26" s="773"/>
      <c r="T26" s="772"/>
      <c r="U26" s="773"/>
      <c r="V26" s="772"/>
      <c r="W26" s="773"/>
      <c r="X26" s="1807"/>
      <c r="Y26" s="3343"/>
      <c r="Z26" s="1808"/>
      <c r="AA26" s="1805">
        <v>1</v>
      </c>
      <c r="AB26" s="1805">
        <v>1</v>
      </c>
      <c r="AC26" s="1805">
        <v>1</v>
      </c>
    </row>
    <row r="27" spans="1:29" s="115" customFormat="1" ht="15">
      <c r="A27" s="647"/>
      <c r="B27" s="1380" t="s">
        <v>2636</v>
      </c>
      <c r="C27" s="2591" t="str">
        <f>估价对象房地状况!C21</f>
        <v>一般</v>
      </c>
      <c r="D27" s="448">
        <v>100</v>
      </c>
      <c r="E27" s="450"/>
      <c r="F27" s="448">
        <f>SUMIF(100:100,E28,101:101)-SUMIF(100:100,C28,101:101)+100</f>
        <v>103</v>
      </c>
      <c r="G27" s="450"/>
      <c r="H27" s="448">
        <f>SUMIF(100:100,G28,101:101)-SUMIF(100:100,C28,101:101)+100</f>
        <v>103</v>
      </c>
      <c r="I27" s="452"/>
      <c r="J27" s="448">
        <f>SUMIF(100:100,I28,101:101)-SUMIF(100:100,C28,101:101)+100</f>
        <v>103</v>
      </c>
      <c r="K27" s="671">
        <v>3</v>
      </c>
      <c r="L27" s="1128"/>
      <c r="M27" s="1129"/>
      <c r="N27" s="1129"/>
      <c r="O27" s="1130"/>
      <c r="P27" s="3343"/>
      <c r="Q27" s="1789" t="str">
        <f t="shared" si="8"/>
        <v>公共配套设施</v>
      </c>
      <c r="R27" s="768" t="s">
        <v>17</v>
      </c>
      <c r="S27" s="769">
        <f>F27</f>
        <v>103</v>
      </c>
      <c r="T27" s="768" t="s">
        <v>17</v>
      </c>
      <c r="U27" s="769">
        <f>H27</f>
        <v>103</v>
      </c>
      <c r="V27" s="768" t="s">
        <v>17</v>
      </c>
      <c r="W27" s="769">
        <f>J27</f>
        <v>103</v>
      </c>
      <c r="X27" s="770"/>
      <c r="Y27" s="3343"/>
      <c r="Z27" s="55" t="str">
        <f>Q27</f>
        <v>公共配套设施</v>
      </c>
      <c r="AA27" s="1805">
        <f>D27/F27</f>
        <v>0.970873786407767</v>
      </c>
      <c r="AB27" s="1805">
        <f>D27/H27</f>
        <v>0.970873786407767</v>
      </c>
      <c r="AC27" s="1805">
        <f>D27/J27</f>
        <v>0.970873786407767</v>
      </c>
    </row>
    <row r="28" spans="1:29" s="115" customFormat="1" ht="15">
      <c r="A28" s="647"/>
      <c r="B28" s="454"/>
      <c r="C28" s="2684" t="s">
        <v>4649</v>
      </c>
      <c r="D28" s="446"/>
      <c r="E28" s="2684" t="s">
        <v>4646</v>
      </c>
      <c r="F28" s="446"/>
      <c r="G28" s="2595" t="s">
        <v>4646</v>
      </c>
      <c r="H28" s="446"/>
      <c r="I28" s="2595" t="s">
        <v>4646</v>
      </c>
      <c r="J28" s="446"/>
      <c r="K28" s="670"/>
      <c r="L28" s="1128"/>
      <c r="M28" s="1129"/>
      <c r="N28" s="1129"/>
      <c r="O28" s="1130"/>
      <c r="P28" s="3343"/>
      <c r="Q28" s="1789"/>
      <c r="R28" s="768"/>
      <c r="S28" s="769"/>
      <c r="T28" s="768"/>
      <c r="U28" s="769"/>
      <c r="V28" s="768"/>
      <c r="W28" s="769"/>
      <c r="X28" s="770"/>
      <c r="Y28" s="3343"/>
      <c r="Z28" s="55"/>
      <c r="AA28" s="1805">
        <v>1</v>
      </c>
      <c r="AB28" s="1805">
        <v>1</v>
      </c>
      <c r="AC28" s="1805">
        <v>1</v>
      </c>
    </row>
    <row r="29" spans="1:29" s="115" customFormat="1" ht="15">
      <c r="A29" s="647"/>
      <c r="B29" s="1380" t="s">
        <v>2637</v>
      </c>
      <c r="C29" s="2591" t="str">
        <f>估价对象房地状况!C22</f>
        <v>七通</v>
      </c>
      <c r="D29" s="448">
        <v>100</v>
      </c>
      <c r="E29" s="450"/>
      <c r="F29" s="448">
        <f>SUMIF(102:102,E30,103:103)-SUMIF(102:102,C30,103:103)+100</f>
        <v>100</v>
      </c>
      <c r="G29" s="450"/>
      <c r="H29" s="448">
        <f>SUMIF(102:102,G30,103:103)-SUMIF(102:102,C30,103:103)+100</f>
        <v>100</v>
      </c>
      <c r="I29" s="452"/>
      <c r="J29" s="448">
        <f>SUMIF(102:102,I30,103:103)-SUMIF(102:102,C30,103:103)+100</f>
        <v>100</v>
      </c>
      <c r="K29" s="671">
        <v>2</v>
      </c>
      <c r="L29" s="1128"/>
      <c r="M29" s="1129"/>
      <c r="N29" s="1129"/>
      <c r="O29" s="1130"/>
      <c r="P29" s="3343"/>
      <c r="Q29" s="1789" t="str">
        <f t="shared" ref="Q29" si="9">B29</f>
        <v>基础设施水平</v>
      </c>
      <c r="R29" s="768" t="s">
        <v>17</v>
      </c>
      <c r="S29" s="769">
        <f>F29</f>
        <v>100</v>
      </c>
      <c r="T29" s="768" t="s">
        <v>17</v>
      </c>
      <c r="U29" s="769">
        <f>H29</f>
        <v>100</v>
      </c>
      <c r="V29" s="768" t="s">
        <v>17</v>
      </c>
      <c r="W29" s="769">
        <f>J29</f>
        <v>100</v>
      </c>
      <c r="X29" s="770"/>
      <c r="Y29" s="3343"/>
      <c r="Z29" s="55" t="str">
        <f>Q29</f>
        <v>基础设施水平</v>
      </c>
      <c r="AA29" s="1805">
        <f>D29/F29</f>
        <v>1</v>
      </c>
      <c r="AB29" s="1805">
        <f>D29/H29</f>
        <v>1</v>
      </c>
      <c r="AC29" s="1805">
        <f>D29/J29</f>
        <v>1</v>
      </c>
    </row>
    <row r="30" spans="1:29" s="115" customFormat="1" ht="15">
      <c r="A30" s="647"/>
      <c r="B30" s="454"/>
      <c r="C30" s="2684" t="s">
        <v>4653</v>
      </c>
      <c r="D30" s="446"/>
      <c r="E30" s="2684" t="s">
        <v>4653</v>
      </c>
      <c r="F30" s="446"/>
      <c r="G30" s="2684" t="s">
        <v>4653</v>
      </c>
      <c r="H30" s="446"/>
      <c r="I30" s="2684" t="s">
        <v>4653</v>
      </c>
      <c r="J30" s="446"/>
      <c r="K30" s="670"/>
      <c r="L30" s="1128"/>
      <c r="M30" s="1129"/>
      <c r="N30" s="1129"/>
      <c r="O30" s="1130"/>
      <c r="P30" s="3343"/>
      <c r="Q30" s="1789"/>
      <c r="R30" s="768"/>
      <c r="S30" s="769"/>
      <c r="T30" s="768"/>
      <c r="U30" s="769"/>
      <c r="V30" s="768"/>
      <c r="W30" s="769"/>
      <c r="X30" s="770"/>
      <c r="Y30" s="3343"/>
      <c r="Z30" s="55"/>
      <c r="AA30" s="1805">
        <v>1</v>
      </c>
      <c r="AB30" s="1805">
        <v>1</v>
      </c>
      <c r="AC30" s="1805">
        <v>1</v>
      </c>
    </row>
    <row r="31" spans="1:29" ht="15.75" thickBot="1">
      <c r="A31" s="426"/>
      <c r="B31" s="454" t="s">
        <v>2638</v>
      </c>
      <c r="C31" s="614" t="s">
        <v>4648</v>
      </c>
      <c r="D31" s="433">
        <v>100</v>
      </c>
      <c r="E31" s="632" t="s">
        <v>4650</v>
      </c>
      <c r="F31" s="433">
        <f>SUMIF(104:104,E31,105:105)-SUMIF(104:104,C31,105:105)+100</f>
        <v>98</v>
      </c>
      <c r="G31" s="632" t="s">
        <v>4650</v>
      </c>
      <c r="H31" s="433">
        <f>SUMIF(104:104,G31,105:105)-SUMIF(104:104,C31,105:105)+100</f>
        <v>98</v>
      </c>
      <c r="I31" s="632" t="s">
        <v>4650</v>
      </c>
      <c r="J31" s="433">
        <f>SUMIF(104:104,I31,105:105)-SUMIF(104:104,C31,105:105)+100</f>
        <v>98</v>
      </c>
      <c r="K31" s="671">
        <v>1</v>
      </c>
      <c r="L31" s="1136"/>
      <c r="M31" s="1127"/>
      <c r="N31" s="1127"/>
      <c r="O31" s="1135"/>
      <c r="P31" s="3343"/>
      <c r="Q31" s="1804" t="str">
        <f t="shared" si="8"/>
        <v>临街状况</v>
      </c>
      <c r="R31" s="772" t="s">
        <v>17</v>
      </c>
      <c r="S31" s="773">
        <f t="shared" ref="S31:S45" si="10">F31</f>
        <v>98</v>
      </c>
      <c r="T31" s="772" t="s">
        <v>17</v>
      </c>
      <c r="U31" s="773">
        <f t="shared" ref="U31:U45" si="11">H31</f>
        <v>98</v>
      </c>
      <c r="V31" s="772" t="s">
        <v>17</v>
      </c>
      <c r="W31" s="773">
        <f t="shared" ref="W31:W45" si="12">J31</f>
        <v>98</v>
      </c>
      <c r="X31" s="1807"/>
      <c r="Y31" s="3343"/>
      <c r="Z31" s="1808" t="str">
        <f t="shared" ref="Z31:Z45" si="13">Q31</f>
        <v>临街状况</v>
      </c>
      <c r="AA31" s="1805">
        <f t="shared" si="3"/>
        <v>1.0204081632653061</v>
      </c>
      <c r="AB31" s="1805">
        <f t="shared" si="4"/>
        <v>1.0204081632653061</v>
      </c>
      <c r="AC31" s="1805">
        <f t="shared" si="5"/>
        <v>1.0204081632653061</v>
      </c>
    </row>
    <row r="32" spans="1:29" ht="27" hidden="1">
      <c r="A32" s="426"/>
      <c r="B32" s="1380" t="s">
        <v>2673</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v>1</v>
      </c>
      <c r="L32" s="1136"/>
      <c r="M32" s="1127"/>
      <c r="N32" s="1127"/>
      <c r="O32" s="1135"/>
      <c r="P32" s="3343"/>
      <c r="Q32" s="1804" t="str">
        <f t="shared" si="8"/>
        <v>毗邻道路的类型与等级</v>
      </c>
      <c r="R32" s="772" t="s">
        <v>17</v>
      </c>
      <c r="S32" s="773">
        <f t="shared" si="10"/>
        <v>100</v>
      </c>
      <c r="T32" s="772" t="s">
        <v>17</v>
      </c>
      <c r="U32" s="773">
        <f t="shared" si="11"/>
        <v>100</v>
      </c>
      <c r="V32" s="772" t="s">
        <v>17</v>
      </c>
      <c r="W32" s="773">
        <f t="shared" si="12"/>
        <v>100</v>
      </c>
      <c r="X32" s="1807"/>
      <c r="Y32" s="3343"/>
      <c r="Z32" s="1808" t="str">
        <f t="shared" si="13"/>
        <v>毗邻道路的类型与等级</v>
      </c>
      <c r="AA32" s="1805">
        <f t="shared" si="3"/>
        <v>1</v>
      </c>
      <c r="AB32" s="1805">
        <f t="shared" si="4"/>
        <v>1</v>
      </c>
      <c r="AC32" s="1805">
        <f t="shared" si="5"/>
        <v>1</v>
      </c>
    </row>
    <row r="33" spans="1:29" ht="15.75" hidden="1" thickBot="1">
      <c r="A33" s="426"/>
      <c r="B33" s="454"/>
      <c r="C33" s="445" t="s">
        <v>4651</v>
      </c>
      <c r="D33" s="446"/>
      <c r="E33" s="2595" t="s">
        <v>4651</v>
      </c>
      <c r="F33" s="446"/>
      <c r="G33" s="2595" t="s">
        <v>4651</v>
      </c>
      <c r="H33" s="446"/>
      <c r="I33" s="445" t="s">
        <v>4651</v>
      </c>
      <c r="J33" s="446"/>
      <c r="K33" s="611"/>
      <c r="L33" s="1136"/>
      <c r="M33" s="1127"/>
      <c r="N33" s="1127"/>
      <c r="O33" s="1135"/>
      <c r="P33" s="3343"/>
      <c r="Q33" s="1804"/>
      <c r="R33" s="772"/>
      <c r="S33" s="773"/>
      <c r="T33" s="772"/>
      <c r="U33" s="773"/>
      <c r="V33" s="772"/>
      <c r="W33" s="773"/>
      <c r="X33" s="1807"/>
      <c r="Y33" s="3343"/>
      <c r="Z33" s="1808"/>
      <c r="AA33" s="1805">
        <v>1</v>
      </c>
      <c r="AB33" s="1805">
        <v>1</v>
      </c>
      <c r="AC33" s="1805">
        <v>1</v>
      </c>
    </row>
    <row r="34" spans="1:29" ht="15" hidden="1">
      <c r="A34" s="426"/>
      <c r="B34" s="420" t="s">
        <v>2731</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6"/>
      <c r="M34" s="1127"/>
      <c r="N34" s="1127"/>
      <c r="O34" s="1135"/>
      <c r="P34" s="3343"/>
      <c r="Q34" s="1804" t="str">
        <f t="shared" si="8"/>
        <v>土地级别</v>
      </c>
      <c r="R34" s="772" t="s">
        <v>17</v>
      </c>
      <c r="S34" s="773">
        <f t="shared" si="10"/>
        <v>100</v>
      </c>
      <c r="T34" s="772" t="s">
        <v>17</v>
      </c>
      <c r="U34" s="773">
        <f t="shared" si="11"/>
        <v>100</v>
      </c>
      <c r="V34" s="772" t="s">
        <v>17</v>
      </c>
      <c r="W34" s="773">
        <f t="shared" si="12"/>
        <v>100</v>
      </c>
      <c r="X34" s="1807"/>
      <c r="Y34" s="3343"/>
      <c r="Z34" s="1808" t="str">
        <f t="shared" si="13"/>
        <v>土地级别</v>
      </c>
      <c r="AA34" s="1805">
        <f t="shared" si="3"/>
        <v>1</v>
      </c>
      <c r="AB34" s="1805">
        <f t="shared" si="4"/>
        <v>1</v>
      </c>
      <c r="AC34" s="1805">
        <f t="shared" si="5"/>
        <v>1</v>
      </c>
    </row>
    <row r="35" spans="1:29" ht="15" hidden="1">
      <c r="A35" s="402"/>
      <c r="B35" s="1382">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6"/>
      <c r="M35" s="1127"/>
      <c r="N35" s="1127"/>
      <c r="O35" s="1135"/>
      <c r="P35" s="3343"/>
      <c r="Q35" s="1804">
        <f t="shared" si="8"/>
        <v>111</v>
      </c>
      <c r="R35" s="772" t="s">
        <v>17</v>
      </c>
      <c r="S35" s="773">
        <f t="shared" si="10"/>
        <v>100</v>
      </c>
      <c r="T35" s="772" t="s">
        <v>17</v>
      </c>
      <c r="U35" s="773">
        <f t="shared" si="11"/>
        <v>100</v>
      </c>
      <c r="V35" s="772" t="s">
        <v>17</v>
      </c>
      <c r="W35" s="773">
        <f t="shared" si="12"/>
        <v>100</v>
      </c>
      <c r="X35" s="1807"/>
      <c r="Y35" s="3343"/>
      <c r="Z35" s="1808">
        <f t="shared" si="13"/>
        <v>111</v>
      </c>
      <c r="AA35" s="1805">
        <f t="shared" si="3"/>
        <v>1</v>
      </c>
      <c r="AB35" s="1805">
        <f t="shared" si="4"/>
        <v>1</v>
      </c>
      <c r="AC35" s="1805">
        <f t="shared" si="5"/>
        <v>1</v>
      </c>
    </row>
    <row r="36" spans="1:29" ht="15" hidden="1">
      <c r="A36" s="673"/>
      <c r="B36" s="1383">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6"/>
      <c r="M36" s="1127"/>
      <c r="N36" s="1127"/>
      <c r="O36" s="1135"/>
      <c r="P36" s="3344" t="s">
        <v>2547</v>
      </c>
      <c r="Q36" s="1804">
        <f t="shared" si="8"/>
        <v>111</v>
      </c>
      <c r="R36" s="772" t="s">
        <v>17</v>
      </c>
      <c r="S36" s="773">
        <f t="shared" si="10"/>
        <v>100</v>
      </c>
      <c r="T36" s="772" t="s">
        <v>17</v>
      </c>
      <c r="U36" s="773">
        <f t="shared" si="11"/>
        <v>100</v>
      </c>
      <c r="V36" s="772" t="s">
        <v>17</v>
      </c>
      <c r="W36" s="773">
        <f t="shared" si="12"/>
        <v>100</v>
      </c>
      <c r="X36" s="1807"/>
      <c r="Y36" s="3345" t="s">
        <v>2547</v>
      </c>
      <c r="Z36" s="1808">
        <f t="shared" si="13"/>
        <v>111</v>
      </c>
      <c r="AA36" s="1805">
        <f t="shared" si="3"/>
        <v>1</v>
      </c>
      <c r="AB36" s="1805">
        <f t="shared" si="4"/>
        <v>1</v>
      </c>
      <c r="AC36" s="1805">
        <f t="shared" si="5"/>
        <v>1</v>
      </c>
    </row>
    <row r="37" spans="1:29" s="469" customFormat="1" ht="15.75" hidden="1" thickBot="1">
      <c r="A37" s="674"/>
      <c r="B37" s="1384">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4"/>
      <c r="M37" s="1137"/>
      <c r="N37" s="1137"/>
      <c r="O37" s="1138"/>
      <c r="P37" s="3345"/>
      <c r="Q37" s="1804">
        <f t="shared" si="8"/>
        <v>111</v>
      </c>
      <c r="R37" s="775" t="s">
        <v>17</v>
      </c>
      <c r="S37" s="776">
        <f t="shared" si="10"/>
        <v>100</v>
      </c>
      <c r="T37" s="775" t="s">
        <v>17</v>
      </c>
      <c r="U37" s="776">
        <f t="shared" si="11"/>
        <v>100</v>
      </c>
      <c r="V37" s="775" t="s">
        <v>17</v>
      </c>
      <c r="W37" s="776">
        <f t="shared" si="12"/>
        <v>100</v>
      </c>
      <c r="X37" s="777"/>
      <c r="Y37" s="3345"/>
      <c r="Z37" s="778">
        <f t="shared" si="13"/>
        <v>111</v>
      </c>
      <c r="AA37" s="1805">
        <f t="shared" si="3"/>
        <v>1</v>
      </c>
      <c r="AB37" s="1805">
        <f t="shared" si="4"/>
        <v>1</v>
      </c>
      <c r="AC37" s="1805">
        <f t="shared" si="5"/>
        <v>1</v>
      </c>
    </row>
    <row r="38" spans="1:29" ht="15">
      <c r="A38" s="470" t="s">
        <v>2545</v>
      </c>
      <c r="B38" s="454" t="s">
        <v>2732</v>
      </c>
      <c r="C38" s="677">
        <f>规证!C121</f>
        <v>91043.21</v>
      </c>
      <c r="D38" s="465">
        <v>100</v>
      </c>
      <c r="E38" s="677">
        <f>土地案例!D11</f>
        <v>36365.370000000003</v>
      </c>
      <c r="F38" s="465">
        <f>LOOKUP(E38,117:117,118:118)-LOOKUP(C38,117:117,118:118)+100</f>
        <v>98</v>
      </c>
      <c r="G38" s="677">
        <f>土地案例!D12</f>
        <v>151738.6</v>
      </c>
      <c r="H38" s="465">
        <f>LOOKUP(G38,117:117,118:118)-LOOKUP(C38,117:117,118:118)+100</f>
        <v>104</v>
      </c>
      <c r="I38" s="528">
        <f>土地案例!D14</f>
        <v>65602.95</v>
      </c>
      <c r="J38" s="465">
        <f>LOOKUP(I38,117:117,118:118)-LOOKUP(C38,117:117,118:118)+100</f>
        <v>100</v>
      </c>
      <c r="K38" s="611"/>
      <c r="L38" s="1136"/>
      <c r="M38" s="1127"/>
      <c r="N38" s="1127"/>
      <c r="O38" s="1135"/>
      <c r="P38" s="3345"/>
      <c r="Q38" s="1804" t="str">
        <f>B38</f>
        <v>宗地面积</v>
      </c>
      <c r="R38" s="772" t="s">
        <v>17</v>
      </c>
      <c r="S38" s="773">
        <f t="shared" si="10"/>
        <v>98</v>
      </c>
      <c r="T38" s="772" t="s">
        <v>17</v>
      </c>
      <c r="U38" s="773">
        <f t="shared" si="11"/>
        <v>104</v>
      </c>
      <c r="V38" s="772" t="s">
        <v>17</v>
      </c>
      <c r="W38" s="773">
        <f t="shared" si="12"/>
        <v>100</v>
      </c>
      <c r="X38" s="1807"/>
      <c r="Y38" s="3345"/>
      <c r="Z38" s="1808" t="str">
        <f t="shared" si="13"/>
        <v>宗地面积</v>
      </c>
      <c r="AA38" s="1805">
        <f t="shared" si="3"/>
        <v>1.0204081632653061</v>
      </c>
      <c r="AB38" s="1805">
        <f t="shared" si="4"/>
        <v>0.96153846153846156</v>
      </c>
      <c r="AC38" s="1805">
        <f t="shared" si="5"/>
        <v>1</v>
      </c>
    </row>
    <row r="39" spans="1:29" ht="15">
      <c r="A39" s="470"/>
      <c r="B39" s="420" t="s">
        <v>2733</v>
      </c>
      <c r="C39" s="2597" t="s">
        <v>4654</v>
      </c>
      <c r="D39" s="433">
        <v>100</v>
      </c>
      <c r="E39" s="2597" t="s">
        <v>4655</v>
      </c>
      <c r="F39" s="433">
        <f>SUMIF(119:119,E39,120:120)-SUMIF(119:119,C39,120:120)+100</f>
        <v>99</v>
      </c>
      <c r="G39" s="2597" t="s">
        <v>4656</v>
      </c>
      <c r="H39" s="433">
        <f>SUMIF(119:119,G39,120:120)-SUMIF(119:119,C39,120:120)+100</f>
        <v>98</v>
      </c>
      <c r="I39" s="2597" t="s">
        <v>4655</v>
      </c>
      <c r="J39" s="433">
        <f>SUMIF(119:119,I39,120:120)-SUMIF(119:119,C39,120:120)+100</f>
        <v>99</v>
      </c>
      <c r="K39" s="610">
        <v>1</v>
      </c>
      <c r="L39" s="1136"/>
      <c r="M39" s="1127"/>
      <c r="N39" s="1127"/>
      <c r="O39" s="1135"/>
      <c r="P39" s="3345"/>
      <c r="Q39" s="1804" t="str">
        <f t="shared" ref="Q39:Q45" si="14">B39</f>
        <v>宗地形状</v>
      </c>
      <c r="R39" s="772" t="s">
        <v>17</v>
      </c>
      <c r="S39" s="773">
        <f t="shared" si="10"/>
        <v>99</v>
      </c>
      <c r="T39" s="772" t="s">
        <v>17</v>
      </c>
      <c r="U39" s="773">
        <f t="shared" si="11"/>
        <v>98</v>
      </c>
      <c r="V39" s="772" t="s">
        <v>17</v>
      </c>
      <c r="W39" s="773">
        <f t="shared" si="12"/>
        <v>99</v>
      </c>
      <c r="X39" s="1807"/>
      <c r="Y39" s="3345"/>
      <c r="Z39" s="1808" t="str">
        <f t="shared" si="13"/>
        <v>宗地形状</v>
      </c>
      <c r="AA39" s="1805">
        <f t="shared" si="3"/>
        <v>1.0101010101010102</v>
      </c>
      <c r="AB39" s="1805">
        <f t="shared" si="4"/>
        <v>1.0204081632653061</v>
      </c>
      <c r="AC39" s="1805">
        <f t="shared" si="5"/>
        <v>1.0101010101010102</v>
      </c>
    </row>
    <row r="40" spans="1:29" ht="15" hidden="1">
      <c r="A40" s="470"/>
      <c r="B40" s="420" t="s">
        <v>2734</v>
      </c>
      <c r="C40" s="2597"/>
      <c r="D40" s="433">
        <v>100</v>
      </c>
      <c r="E40" s="2597"/>
      <c r="F40" s="433">
        <f>SUMIF(121:121,E40,122:122)-SUMIF(121:121,C40,122:122)+100</f>
        <v>100</v>
      </c>
      <c r="G40" s="2597"/>
      <c r="H40" s="433">
        <f>SUMIF(121:121,G40,122:122)-SUMIF(121:121,C40,122:122)+100</f>
        <v>100</v>
      </c>
      <c r="I40" s="2597"/>
      <c r="J40" s="433">
        <f>SUMIF(121:121,I40,122:122)-SUMIF(121:121,C40,122:122)+100</f>
        <v>100</v>
      </c>
      <c r="K40" s="610">
        <v>0</v>
      </c>
      <c r="L40" s="1136"/>
      <c r="M40" s="1127"/>
      <c r="N40" s="1127"/>
      <c r="O40" s="1135"/>
      <c r="P40" s="3345"/>
      <c r="Q40" s="1804" t="str">
        <f t="shared" si="14"/>
        <v>临街宽度及深度</v>
      </c>
      <c r="R40" s="772" t="s">
        <v>17</v>
      </c>
      <c r="S40" s="773">
        <f t="shared" si="10"/>
        <v>100</v>
      </c>
      <c r="T40" s="772" t="s">
        <v>17</v>
      </c>
      <c r="U40" s="773">
        <f t="shared" si="11"/>
        <v>100</v>
      </c>
      <c r="V40" s="772" t="s">
        <v>17</v>
      </c>
      <c r="W40" s="773">
        <f t="shared" si="12"/>
        <v>100</v>
      </c>
      <c r="X40" s="1807"/>
      <c r="Y40" s="3345"/>
      <c r="Z40" s="1808" t="str">
        <f t="shared" si="13"/>
        <v>临街宽度及深度</v>
      </c>
      <c r="AA40" s="1805">
        <f t="shared" si="3"/>
        <v>1</v>
      </c>
      <c r="AB40" s="1805">
        <f t="shared" si="4"/>
        <v>1</v>
      </c>
      <c r="AC40" s="1805">
        <f t="shared" si="5"/>
        <v>1</v>
      </c>
    </row>
    <row r="41" spans="1:29" s="115" customFormat="1" ht="15">
      <c r="A41" s="471"/>
      <c r="B41" s="420" t="s">
        <v>2735</v>
      </c>
      <c r="C41" s="2686" t="s">
        <v>4653</v>
      </c>
      <c r="D41" s="134">
        <v>100</v>
      </c>
      <c r="E41" s="2686" t="s">
        <v>4658</v>
      </c>
      <c r="F41" s="433">
        <f>SUMIF(123:123,E41,124:124)-SUMIF(123:123,C41,124:124)+100</f>
        <v>97.5</v>
      </c>
      <c r="G41" s="2686" t="s">
        <v>4659</v>
      </c>
      <c r="H41" s="433">
        <f>SUMIF(123:123,G41,124:124)-SUMIF(123:123,C41,124:124)+100</f>
        <v>99.5</v>
      </c>
      <c r="I41" s="2686" t="s">
        <v>4658</v>
      </c>
      <c r="J41" s="433">
        <f>SUMIF(123:123,I41,124:124)-SUMIF(123:123,C41,124:124)+100</f>
        <v>97.5</v>
      </c>
      <c r="K41" s="610">
        <v>0.5</v>
      </c>
      <c r="L41" s="1128"/>
      <c r="M41" s="1129"/>
      <c r="N41" s="1129"/>
      <c r="O41" s="1130"/>
      <c r="P41" s="3345"/>
      <c r="Q41" s="1804" t="str">
        <f t="shared" si="14"/>
        <v>宗地开发程度</v>
      </c>
      <c r="R41" s="768" t="s">
        <v>17</v>
      </c>
      <c r="S41" s="769">
        <f t="shared" si="10"/>
        <v>97.5</v>
      </c>
      <c r="T41" s="768" t="s">
        <v>17</v>
      </c>
      <c r="U41" s="769">
        <f t="shared" si="11"/>
        <v>99.5</v>
      </c>
      <c r="V41" s="768" t="s">
        <v>17</v>
      </c>
      <c r="W41" s="769">
        <f t="shared" si="12"/>
        <v>97.5</v>
      </c>
      <c r="X41" s="770"/>
      <c r="Y41" s="3345"/>
      <c r="Z41" s="55" t="str">
        <f t="shared" si="13"/>
        <v>宗地开发程度</v>
      </c>
      <c r="AA41" s="771">
        <f t="shared" si="3"/>
        <v>1.0256410256410255</v>
      </c>
      <c r="AB41" s="771">
        <f t="shared" si="4"/>
        <v>1.0050251256281406</v>
      </c>
      <c r="AC41" s="771">
        <f t="shared" si="5"/>
        <v>1.0256410256410255</v>
      </c>
    </row>
    <row r="42" spans="1:29" ht="15.75" thickBot="1">
      <c r="A42" s="470"/>
      <c r="B42" s="420" t="s">
        <v>2736</v>
      </c>
      <c r="C42" s="2597" t="s">
        <v>4660</v>
      </c>
      <c r="D42" s="433">
        <v>100</v>
      </c>
      <c r="E42" s="2597" t="s">
        <v>4660</v>
      </c>
      <c r="F42" s="433">
        <f>SUMIF(125:125,E42,126:126)-SUMIF(125:125,C42,126:126)+100</f>
        <v>100</v>
      </c>
      <c r="G42" s="2597" t="s">
        <v>4660</v>
      </c>
      <c r="H42" s="433">
        <f>SUMIF(125:125,G42,126:126)-SUMIF(125:125,C42,126:126)+100</f>
        <v>100</v>
      </c>
      <c r="I42" s="2597" t="s">
        <v>4660</v>
      </c>
      <c r="J42" s="433">
        <f>SUMIF(125:125,I42,126:126)-SUMIF(125:125,C42,126:126)+100</f>
        <v>100</v>
      </c>
      <c r="K42" s="610">
        <v>2</v>
      </c>
      <c r="L42" s="1136"/>
      <c r="M42" s="1127"/>
      <c r="N42" s="1127"/>
      <c r="O42" s="1135"/>
      <c r="P42" s="3345" t="s">
        <v>2547</v>
      </c>
      <c r="Q42" s="1804" t="str">
        <f t="shared" si="14"/>
        <v>工程地质条件</v>
      </c>
      <c r="R42" s="772" t="s">
        <v>17</v>
      </c>
      <c r="S42" s="773">
        <f t="shared" si="10"/>
        <v>100</v>
      </c>
      <c r="T42" s="772" t="s">
        <v>17</v>
      </c>
      <c r="U42" s="773">
        <f t="shared" si="11"/>
        <v>100</v>
      </c>
      <c r="V42" s="772" t="s">
        <v>17</v>
      </c>
      <c r="W42" s="773">
        <f t="shared" si="12"/>
        <v>100</v>
      </c>
      <c r="X42" s="1807"/>
      <c r="Y42" s="3345" t="s">
        <v>2547</v>
      </c>
      <c r="Z42" s="1808" t="str">
        <f t="shared" si="13"/>
        <v>工程地质条件</v>
      </c>
      <c r="AA42" s="1805">
        <f t="shared" si="3"/>
        <v>1</v>
      </c>
      <c r="AB42" s="1805">
        <f t="shared" si="4"/>
        <v>1</v>
      </c>
      <c r="AC42" s="1805">
        <f t="shared" si="5"/>
        <v>1</v>
      </c>
    </row>
    <row r="43" spans="1:29" ht="15" hidden="1">
      <c r="A43" s="470"/>
      <c r="B43" s="1383">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6"/>
      <c r="M43" s="1127"/>
      <c r="N43" s="1127"/>
      <c r="O43" s="1135"/>
      <c r="P43" s="3345"/>
      <c r="Q43" s="1804">
        <f t="shared" si="14"/>
        <v>111</v>
      </c>
      <c r="R43" s="772" t="s">
        <v>17</v>
      </c>
      <c r="S43" s="773">
        <f t="shared" si="10"/>
        <v>100</v>
      </c>
      <c r="T43" s="772" t="s">
        <v>17</v>
      </c>
      <c r="U43" s="773">
        <f t="shared" si="11"/>
        <v>100</v>
      </c>
      <c r="V43" s="772" t="s">
        <v>17</v>
      </c>
      <c r="W43" s="773">
        <f t="shared" si="12"/>
        <v>100</v>
      </c>
      <c r="X43" s="1807"/>
      <c r="Y43" s="3345"/>
      <c r="Z43" s="1808">
        <f t="shared" si="13"/>
        <v>111</v>
      </c>
      <c r="AA43" s="1805">
        <f t="shared" si="3"/>
        <v>1</v>
      </c>
      <c r="AB43" s="1805">
        <f t="shared" si="4"/>
        <v>1</v>
      </c>
      <c r="AC43" s="1805">
        <f t="shared" si="5"/>
        <v>1</v>
      </c>
    </row>
    <row r="44" spans="1:29" ht="15" hidden="1">
      <c r="A44" s="470"/>
      <c r="B44" s="1383">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6"/>
      <c r="M44" s="1127"/>
      <c r="N44" s="1127"/>
      <c r="O44" s="1135"/>
      <c r="P44" s="3345"/>
      <c r="Q44" s="1804">
        <f t="shared" si="14"/>
        <v>111</v>
      </c>
      <c r="R44" s="772" t="s">
        <v>17</v>
      </c>
      <c r="S44" s="773">
        <f t="shared" si="10"/>
        <v>100</v>
      </c>
      <c r="T44" s="772" t="s">
        <v>17</v>
      </c>
      <c r="U44" s="773">
        <f t="shared" si="11"/>
        <v>100</v>
      </c>
      <c r="V44" s="772" t="s">
        <v>17</v>
      </c>
      <c r="W44" s="773">
        <f t="shared" si="12"/>
        <v>100</v>
      </c>
      <c r="X44" s="1807"/>
      <c r="Y44" s="3345"/>
      <c r="Z44" s="1808">
        <f t="shared" si="13"/>
        <v>111</v>
      </c>
      <c r="AA44" s="1805">
        <f t="shared" si="3"/>
        <v>1</v>
      </c>
      <c r="AB44" s="1805">
        <f t="shared" si="4"/>
        <v>1</v>
      </c>
      <c r="AC44" s="1805">
        <f t="shared" si="5"/>
        <v>1</v>
      </c>
    </row>
    <row r="45" spans="1:29" s="469" customFormat="1" ht="15.75" hidden="1" thickBot="1">
      <c r="A45" s="466"/>
      <c r="B45" s="1383">
        <v>111</v>
      </c>
      <c r="C45" s="2687"/>
      <c r="D45" s="678">
        <v>100</v>
      </c>
      <c r="E45" s="672"/>
      <c r="F45" s="436">
        <f>SUMIF(131:131,E45,132:132)-SUMIF(131:131,C45,132:132)+100</f>
        <v>100</v>
      </c>
      <c r="G45" s="672"/>
      <c r="H45" s="436">
        <f>SUMIF(131:131,G45,132:132)-SUMIF(131:131,C45,132:132)+100</f>
        <v>100</v>
      </c>
      <c r="I45" s="672"/>
      <c r="J45" s="436">
        <f>SUMIF(131:131,I45,132:132)-SUMIF(131:131,C45,132:132)+100</f>
        <v>100</v>
      </c>
      <c r="K45" s="679"/>
      <c r="L45" s="1134"/>
      <c r="M45" s="1137"/>
      <c r="N45" s="1137"/>
      <c r="O45" s="1138"/>
      <c r="P45" s="3345"/>
      <c r="Q45" s="1804">
        <f t="shared" si="14"/>
        <v>111</v>
      </c>
      <c r="R45" s="775" t="s">
        <v>17</v>
      </c>
      <c r="S45" s="776">
        <f t="shared" si="10"/>
        <v>100</v>
      </c>
      <c r="T45" s="775" t="s">
        <v>17</v>
      </c>
      <c r="U45" s="776">
        <f t="shared" si="11"/>
        <v>100</v>
      </c>
      <c r="V45" s="775" t="s">
        <v>17</v>
      </c>
      <c r="W45" s="776">
        <f t="shared" si="12"/>
        <v>100</v>
      </c>
      <c r="X45" s="777"/>
      <c r="Y45" s="3345"/>
      <c r="Z45" s="778">
        <f t="shared" si="13"/>
        <v>111</v>
      </c>
      <c r="AA45" s="1805">
        <f t="shared" si="3"/>
        <v>1</v>
      </c>
      <c r="AB45" s="1805">
        <f t="shared" si="4"/>
        <v>1</v>
      </c>
      <c r="AC45" s="1805">
        <f t="shared" si="5"/>
        <v>1</v>
      </c>
    </row>
    <row r="46" spans="1:29" ht="15">
      <c r="A46" s="477" t="s">
        <v>2702</v>
      </c>
      <c r="B46" s="2688" t="s">
        <v>2737</v>
      </c>
      <c r="C46" s="680" t="s">
        <v>1</v>
      </c>
      <c r="D46" s="479"/>
      <c r="E46" s="480">
        <f>土地案例!L11</f>
        <v>39720</v>
      </c>
      <c r="F46" s="481"/>
      <c r="G46" s="482">
        <f>土地案例!L12</f>
        <v>44981</v>
      </c>
      <c r="H46" s="483"/>
      <c r="I46" s="480">
        <f>土地案例!L14</f>
        <v>41193</v>
      </c>
      <c r="J46" s="483"/>
      <c r="K46" s="781"/>
      <c r="L46" s="1139"/>
      <c r="M46" s="1140"/>
      <c r="N46" s="1127"/>
      <c r="O46" s="1140"/>
      <c r="P46" s="3340" t="str">
        <f>A46</f>
        <v>成交单价</v>
      </c>
      <c r="Q46" s="3340"/>
      <c r="R46" s="3346">
        <f>E46</f>
        <v>39720</v>
      </c>
      <c r="S46" s="3346"/>
      <c r="T46" s="3346">
        <f>G46</f>
        <v>44981</v>
      </c>
      <c r="U46" s="3346"/>
      <c r="V46" s="3346">
        <f>I46</f>
        <v>41193</v>
      </c>
      <c r="W46" s="3346"/>
      <c r="X46" s="757"/>
      <c r="Y46" s="779"/>
      <c r="Z46" s="757"/>
      <c r="AA46" s="757"/>
      <c r="AB46" s="757"/>
      <c r="AC46" s="757"/>
    </row>
    <row r="47" spans="1:29" ht="15.75" thickBot="1">
      <c r="A47" s="484" t="s">
        <v>2651</v>
      </c>
      <c r="B47" s="681"/>
      <c r="C47" s="488">
        <f>R48</f>
        <v>43123</v>
      </c>
      <c r="D47" s="487"/>
      <c r="E47" s="488">
        <f>R47</f>
        <v>39720</v>
      </c>
      <c r="F47" s="489"/>
      <c r="G47" s="486">
        <f>T47</f>
        <v>45865</v>
      </c>
      <c r="H47" s="487"/>
      <c r="I47" s="488">
        <f>V47</f>
        <v>43784</v>
      </c>
      <c r="J47" s="487"/>
      <c r="K47" s="782"/>
      <c r="L47" s="1139"/>
      <c r="M47" s="1140"/>
      <c r="N47" s="1140"/>
      <c r="O47" s="1140"/>
      <c r="P47" s="3340" t="str">
        <f>A47</f>
        <v>比较价值（元/平方米）</v>
      </c>
      <c r="Q47" s="3340"/>
      <c r="R47" s="3333">
        <f>ROUND(PRODUCT(R46,AA7:AA45),0)</f>
        <v>39720</v>
      </c>
      <c r="S47" s="3333"/>
      <c r="T47" s="3333">
        <f>ROUND(PRODUCT(T46,AB7:AB45),0)</f>
        <v>45865</v>
      </c>
      <c r="U47" s="3333"/>
      <c r="V47" s="3333">
        <f>ROUND(PRODUCT(V46,AC7:AC45),0)</f>
        <v>43784</v>
      </c>
      <c r="W47" s="3333"/>
      <c r="X47" s="757"/>
      <c r="Y47" s="757"/>
      <c r="Z47" s="757"/>
      <c r="AA47" s="757"/>
      <c r="AB47" s="757"/>
      <c r="AC47" s="757"/>
    </row>
    <row r="48" spans="1:29" ht="15.75" thickBot="1">
      <c r="A48" s="490" t="s">
        <v>4657</v>
      </c>
      <c r="B48" s="491"/>
      <c r="C48" s="492">
        <f>R48</f>
        <v>43123</v>
      </c>
      <c r="D48" s="492"/>
      <c r="E48" s="492"/>
      <c r="F48" s="492"/>
      <c r="G48" s="492"/>
      <c r="H48" s="492"/>
      <c r="I48" s="492"/>
      <c r="J48" s="492"/>
      <c r="K48" s="783"/>
      <c r="L48" s="1139"/>
      <c r="M48" s="1140"/>
      <c r="N48" s="1140"/>
      <c r="O48" s="1140"/>
      <c r="P48" s="3334" t="str">
        <f>A48</f>
        <v>估价对象住宅用地比较价值（楼面单价，元/平方米）</v>
      </c>
      <c r="Q48" s="3335"/>
      <c r="R48" s="3336">
        <f>ROUND(AVERAGE(R47:V47),0)</f>
        <v>43123</v>
      </c>
      <c r="S48" s="3336"/>
      <c r="T48" s="3336"/>
      <c r="U48" s="3336"/>
      <c r="V48" s="3336"/>
      <c r="W48" s="3336"/>
      <c r="X48" s="757"/>
      <c r="Y48" s="757"/>
      <c r="Z48" s="757"/>
      <c r="AA48" s="757"/>
      <c r="AB48" s="757"/>
      <c r="AC48" s="757"/>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5" t="s">
        <v>2653</v>
      </c>
      <c r="D51" s="496"/>
      <c r="E51" s="497">
        <f>IF(E46&lt;E47,E47/E46-1,E46/E47-1)</f>
        <v>0</v>
      </c>
      <c r="F51" s="498" t="str">
        <f>IF(OR(E51&gt;=0.3,E51&lt;=-0.3),"超过30%","")</f>
        <v/>
      </c>
      <c r="G51" s="497">
        <f>IF(G46&lt;G47,G47/G46-1,G46/G47-1)</f>
        <v>1.9652742268958079E-2</v>
      </c>
      <c r="H51" s="498" t="str">
        <f>IF(OR(G51&gt;=0.3,G51&lt;=-0.3),"超过30%","")</f>
        <v/>
      </c>
      <c r="I51" s="497">
        <f>IF(I46&lt;I47,I47/I46-1,I46/I47-1)</f>
        <v>6.2899036244022044E-2</v>
      </c>
      <c r="J51" s="498" t="str">
        <f>IF(OR(I51&gt;=0.3,I51&lt;=-0.3),"超过30%","")</f>
        <v/>
      </c>
      <c r="K51" s="1101"/>
      <c r="L51" s="1102"/>
      <c r="M51" s="1140"/>
      <c r="N51" s="1140"/>
      <c r="O51" s="1140"/>
    </row>
    <row r="52" spans="1:15" ht="13.5" customHeight="1">
      <c r="A52" s="1140"/>
      <c r="B52" s="1140"/>
      <c r="C52" s="495" t="s">
        <v>2654</v>
      </c>
      <c r="D52" s="499"/>
      <c r="E52" s="497">
        <f>IF(E47&lt;G47,G47/E47-1,E47/G47-1)</f>
        <v>0.15470795568982876</v>
      </c>
      <c r="F52" s="498" t="str">
        <f>IF(OR(E52&gt;=0.2,E52&lt;=-0.2),"超过20%","")</f>
        <v/>
      </c>
      <c r="G52" s="497">
        <f>IF(G47&lt;I47,I47/G47-1,G47/I47-1)</f>
        <v>4.7528777635666097E-2</v>
      </c>
      <c r="H52" s="498" t="str">
        <f>IF(OR(G52&gt;=0.2,G52&lt;=-0.2),"超过20%","")</f>
        <v/>
      </c>
      <c r="I52" s="497">
        <f>IF(I47&lt;E47,E47/I47-1,I47/E47-1)</f>
        <v>0.10231621349446129</v>
      </c>
      <c r="J52" s="498" t="str">
        <f>IF(OR(I52&gt;=0.2,I52&lt;=-0.2),"超过20%","")</f>
        <v/>
      </c>
      <c r="K52" s="1101"/>
      <c r="L52" s="1102"/>
      <c r="M52" s="1140"/>
      <c r="N52" s="1140"/>
      <c r="O52" s="1140"/>
    </row>
    <row r="53" spans="1:15" s="500" customFormat="1" ht="13.5" customHeight="1">
      <c r="A53" s="1141"/>
      <c r="B53" s="1141"/>
      <c r="C53" s="495" t="s">
        <v>2655</v>
      </c>
      <c r="D53" s="499"/>
      <c r="E53" s="497">
        <f>IF(E46&lt;G46,G46/E46-1,E46/G46-1)</f>
        <v>0.13245216515609259</v>
      </c>
      <c r="F53" s="498" t="str">
        <f>IF(OR(E53&gt;=0.3,E53&lt;=-0.3),"超过30%","")</f>
        <v/>
      </c>
      <c r="G53" s="497">
        <f>IF(G46&lt;I46,I46/G46-1,G46/I46-1)</f>
        <v>9.1957371398053045E-2</v>
      </c>
      <c r="H53" s="498" t="str">
        <f>IF(OR(G53&gt;=0.3,G53&lt;=-0.3),"超过30%","")</f>
        <v/>
      </c>
      <c r="I53" s="497">
        <f>IF(I46&lt;E46,E46/I46-1,I46/E46-1)</f>
        <v>3.7084592145015138E-2</v>
      </c>
      <c r="J53" s="498" t="str">
        <f>IF(OR(I53&gt;=0.3,I53&lt;=-0.3),"超过30%","")</f>
        <v/>
      </c>
      <c r="K53" s="1144"/>
      <c r="L53" s="1145"/>
      <c r="M53" s="1141"/>
      <c r="N53" s="1141"/>
      <c r="O53" s="1141"/>
    </row>
    <row r="54" spans="1:15" s="500" customFormat="1" ht="15" thickBot="1">
      <c r="A54" s="1141"/>
      <c r="B54" s="1142"/>
      <c r="C54" s="760"/>
      <c r="D54" s="758"/>
      <c r="E54" s="758"/>
      <c r="F54" s="758"/>
      <c r="G54" s="758"/>
      <c r="H54" s="758"/>
      <c r="I54" s="758"/>
      <c r="J54" s="758"/>
      <c r="K54" s="1144"/>
      <c r="L54" s="1145"/>
      <c r="M54" s="1141"/>
      <c r="N54" s="1141"/>
      <c r="O54" s="1141"/>
    </row>
    <row r="55" spans="1:15" ht="27" customHeight="1">
      <c r="A55" s="682" t="s">
        <v>2738</v>
      </c>
      <c r="B55" s="683" t="s">
        <v>2739</v>
      </c>
      <c r="C55" s="2689" t="s">
        <v>2740</v>
      </c>
      <c r="D55" s="2690" t="s">
        <v>2741</v>
      </c>
      <c r="E55" s="684" t="s">
        <v>2742</v>
      </c>
      <c r="F55" s="1103" t="s">
        <v>2743</v>
      </c>
      <c r="G55" s="3337" t="s">
        <v>2744</v>
      </c>
      <c r="H55" s="3338"/>
      <c r="I55" s="142" t="s">
        <v>2745</v>
      </c>
      <c r="J55" s="2691">
        <f>项目基本情况!F35</f>
        <v>0</v>
      </c>
      <c r="K55" s="2692" t="s">
        <v>2746</v>
      </c>
      <c r="L55" s="1102"/>
      <c r="M55" s="1140"/>
      <c r="N55" s="1140"/>
      <c r="O55" s="1140"/>
    </row>
    <row r="56" spans="1:15" s="690" customFormat="1">
      <c r="A56" s="686" t="s">
        <v>2747</v>
      </c>
      <c r="B56" s="687">
        <f>C48</f>
        <v>43123</v>
      </c>
      <c r="C56" s="688">
        <v>1</v>
      </c>
      <c r="D56" s="1159">
        <v>1</v>
      </c>
      <c r="E56" s="688">
        <f>'数据-汇总表'!E8+'数据-汇总表'!E9</f>
        <v>73011.360000000001</v>
      </c>
      <c r="F56" s="1099">
        <f t="shared" ref="F56:F65" si="15">ROUND(B56*E56/10000,0)</f>
        <v>314847</v>
      </c>
      <c r="G56" s="3339"/>
      <c r="H56" s="3340"/>
      <c r="I56" s="1104">
        <v>1</v>
      </c>
      <c r="J56" s="1107">
        <v>1</v>
      </c>
      <c r="K56" s="1141"/>
      <c r="L56" s="939"/>
      <c r="M56" s="939"/>
      <c r="N56" s="939"/>
      <c r="O56" s="939"/>
    </row>
    <row r="57" spans="1:15" s="690" customFormat="1">
      <c r="A57" s="691" t="s">
        <v>2748</v>
      </c>
      <c r="B57" s="260">
        <f>ROUND($C$48*C57*D57,0)</f>
        <v>6468</v>
      </c>
      <c r="C57" s="198">
        <f t="shared" ref="C57:C65" si="16">IF($C$55="北京市系数",I57,J57)</f>
        <v>0.6</v>
      </c>
      <c r="D57" s="1160">
        <v>0.25</v>
      </c>
      <c r="E57" s="692">
        <f>'数据-汇总表'!G22</f>
        <v>382.04</v>
      </c>
      <c r="F57" s="1099">
        <f t="shared" si="15"/>
        <v>247</v>
      </c>
      <c r="G57" s="3341" t="s">
        <v>2749</v>
      </c>
      <c r="H57" s="1100" t="str">
        <f>项目基本情况!B37</f>
        <v>八级</v>
      </c>
      <c r="I57" s="1104">
        <f>SUMIF(修正!A45:A56,H57,修正!B45:B56)</f>
        <v>0.6</v>
      </c>
      <c r="J57" s="1108"/>
      <c r="K57" s="1140"/>
      <c r="L57" s="939"/>
      <c r="M57" s="939"/>
      <c r="N57" s="939"/>
      <c r="O57" s="939"/>
    </row>
    <row r="58" spans="1:15" s="690" customFormat="1">
      <c r="A58" s="691" t="s">
        <v>2750</v>
      </c>
      <c r="B58" s="260">
        <f t="shared" ref="B58:B65" si="17">ROUND($C$48*C58*D58,0)</f>
        <v>3234</v>
      </c>
      <c r="C58" s="198">
        <f t="shared" si="16"/>
        <v>0.3</v>
      </c>
      <c r="D58" s="1160">
        <v>0.25</v>
      </c>
      <c r="E58" s="692"/>
      <c r="F58" s="1099">
        <f t="shared" si="15"/>
        <v>0</v>
      </c>
      <c r="G58" s="3341"/>
      <c r="H58" s="1100" t="str">
        <f>项目基本情况!B37</f>
        <v>八级</v>
      </c>
      <c r="I58" s="1104">
        <f>SUMIF(修正!A45:A56,H58,修正!C45:C56)</f>
        <v>0.3</v>
      </c>
      <c r="J58" s="1108"/>
      <c r="K58" s="1141"/>
      <c r="L58" s="939"/>
      <c r="M58" s="939"/>
      <c r="N58" s="939"/>
      <c r="O58" s="939"/>
    </row>
    <row r="59" spans="1:15" s="690" customFormat="1">
      <c r="A59" s="691" t="s">
        <v>2751</v>
      </c>
      <c r="B59" s="260">
        <f t="shared" si="17"/>
        <v>2156</v>
      </c>
      <c r="C59" s="198">
        <f t="shared" si="16"/>
        <v>0.2</v>
      </c>
      <c r="D59" s="1160">
        <v>0.25</v>
      </c>
      <c r="E59" s="692"/>
      <c r="F59" s="1099">
        <f t="shared" si="15"/>
        <v>0</v>
      </c>
      <c r="G59" s="3341"/>
      <c r="H59" s="1100" t="str">
        <f>项目基本情况!B37</f>
        <v>八级</v>
      </c>
      <c r="I59" s="1104">
        <f>SUMIF(修正!A45:A56,H59,修正!D45:D56)</f>
        <v>0.2</v>
      </c>
      <c r="J59" s="1108"/>
      <c r="K59" s="1140"/>
      <c r="L59" s="939"/>
      <c r="M59" s="939"/>
      <c r="N59" s="939"/>
      <c r="O59" s="939"/>
    </row>
    <row r="60" spans="1:15" s="690" customFormat="1">
      <c r="A60" s="691" t="s">
        <v>2752</v>
      </c>
      <c r="B60" s="260">
        <f t="shared" si="17"/>
        <v>2156</v>
      </c>
      <c r="C60" s="198">
        <f t="shared" si="16"/>
        <v>0.2</v>
      </c>
      <c r="D60" s="1160">
        <v>0.25</v>
      </c>
      <c r="E60" s="692"/>
      <c r="F60" s="1099">
        <f t="shared" si="15"/>
        <v>0</v>
      </c>
      <c r="G60" s="3341"/>
      <c r="H60" s="1100" t="str">
        <f>项目基本情况!B37</f>
        <v>八级</v>
      </c>
      <c r="I60" s="1104">
        <f>SUMIF(修正!A45:A56,H60,修正!E45:E56)</f>
        <v>0.2</v>
      </c>
      <c r="J60" s="1108"/>
      <c r="K60" s="1141"/>
      <c r="L60" s="939"/>
      <c r="M60" s="939"/>
      <c r="N60" s="939"/>
      <c r="O60" s="939"/>
    </row>
    <row r="61" spans="1:15" s="690" customFormat="1">
      <c r="A61" s="691" t="s">
        <v>2753</v>
      </c>
      <c r="B61" s="260">
        <f t="shared" si="17"/>
        <v>2156</v>
      </c>
      <c r="C61" s="198">
        <f t="shared" si="16"/>
        <v>0.2</v>
      </c>
      <c r="D61" s="1160">
        <v>0.25</v>
      </c>
      <c r="E61" s="259">
        <f>'数据-汇总表'!E11</f>
        <v>66.7</v>
      </c>
      <c r="F61" s="1099">
        <f t="shared" si="15"/>
        <v>14</v>
      </c>
      <c r="G61" s="2693" t="s">
        <v>2754</v>
      </c>
      <c r="H61" s="1100" t="str">
        <f>项目基本情况!C37</f>
        <v>八级</v>
      </c>
      <c r="I61" s="1104">
        <f>SUMIF(修正!A45:A56,H61,修正!F45:F56)</f>
        <v>0.2</v>
      </c>
      <c r="J61" s="1108"/>
      <c r="K61" s="1140"/>
      <c r="L61" s="939"/>
      <c r="M61" s="939"/>
      <c r="N61" s="939"/>
      <c r="O61" s="939"/>
    </row>
    <row r="62" spans="1:15" s="690" customFormat="1">
      <c r="A62" s="691" t="s">
        <v>2755</v>
      </c>
      <c r="B62" s="260">
        <f t="shared" si="17"/>
        <v>2156</v>
      </c>
      <c r="C62" s="198">
        <f t="shared" si="16"/>
        <v>0.2</v>
      </c>
      <c r="D62" s="1160">
        <v>0.25</v>
      </c>
      <c r="E62" s="259">
        <f>'数据-汇总表'!E12</f>
        <v>49562.87</v>
      </c>
      <c r="F62" s="1099">
        <f t="shared" si="15"/>
        <v>10686</v>
      </c>
      <c r="G62" s="1105" t="s">
        <v>3080</v>
      </c>
      <c r="H62" s="1100" t="str">
        <f>IF(G62="商业",项目基本情况!B37,IF(G62="办公",项目基本情况!C37,IF(G62="住宅",项目基本情况!D37,项目基本情况!E37)))</f>
        <v>八级</v>
      </c>
      <c r="I62" s="1104">
        <f>SUMIF(修正!A45:A56,H62,修正!G45:G56)</f>
        <v>0.2</v>
      </c>
      <c r="J62" s="1108"/>
      <c r="K62" s="1141"/>
      <c r="L62" s="939"/>
      <c r="M62" s="939"/>
      <c r="N62" s="939"/>
      <c r="O62" s="939"/>
    </row>
    <row r="63" spans="1:15" s="690" customFormat="1">
      <c r="A63" s="691" t="s">
        <v>2757</v>
      </c>
      <c r="B63" s="260">
        <f t="shared" si="17"/>
        <v>1617</v>
      </c>
      <c r="C63" s="198">
        <f t="shared" si="16"/>
        <v>0.15</v>
      </c>
      <c r="D63" s="1160">
        <v>0.25</v>
      </c>
      <c r="E63" s="259">
        <f>'数据-汇总表'!E13</f>
        <v>21662.76</v>
      </c>
      <c r="F63" s="1099">
        <f t="shared" si="15"/>
        <v>3503</v>
      </c>
      <c r="G63" s="1105" t="s">
        <v>2758</v>
      </c>
      <c r="H63" s="1100" t="str">
        <f>IF(G63="商业",项目基本情况!B37,IF(G63="办公",项目基本情况!C37,IF(G63="住宅",项目基本情况!D37,项目基本情况!E37)))</f>
        <v>八级</v>
      </c>
      <c r="I63" s="1104">
        <f>SUMIF(修正!A45:A56,H63,修正!H45:H56)</f>
        <v>0.15</v>
      </c>
      <c r="J63" s="1108"/>
      <c r="K63" s="1140"/>
      <c r="L63" s="939"/>
      <c r="M63" s="939"/>
      <c r="N63" s="939"/>
      <c r="O63" s="939"/>
    </row>
    <row r="64" spans="1:15" s="690" customFormat="1">
      <c r="A64" s="691" t="s">
        <v>2759</v>
      </c>
      <c r="B64" s="260">
        <f t="shared" si="17"/>
        <v>1617</v>
      </c>
      <c r="C64" s="198">
        <f t="shared" si="16"/>
        <v>0.15</v>
      </c>
      <c r="D64" s="1160">
        <v>0.25</v>
      </c>
      <c r="E64" s="259">
        <f>'数据-汇总表'!E14</f>
        <v>0</v>
      </c>
      <c r="F64" s="1099">
        <f t="shared" si="15"/>
        <v>0</v>
      </c>
      <c r="G64" s="2693" t="s">
        <v>2749</v>
      </c>
      <c r="H64" s="1100" t="str">
        <f>项目基本情况!B37</f>
        <v>八级</v>
      </c>
      <c r="I64" s="1104">
        <f>SUMIF(修正!A45:A56,H64,修正!H45:H56)</f>
        <v>0.15</v>
      </c>
      <c r="J64" s="1108"/>
      <c r="K64" s="1141"/>
      <c r="L64" s="939"/>
      <c r="M64" s="939"/>
      <c r="N64" s="939"/>
      <c r="O64" s="939"/>
    </row>
    <row r="65" spans="1:17" s="690" customFormat="1" ht="15" thickBot="1">
      <c r="A65" s="691" t="s">
        <v>2760</v>
      </c>
      <c r="B65" s="260">
        <f t="shared" si="17"/>
        <v>1617</v>
      </c>
      <c r="C65" s="198">
        <f t="shared" si="16"/>
        <v>0.15</v>
      </c>
      <c r="D65" s="1160">
        <v>0.25</v>
      </c>
      <c r="E65" s="259">
        <f>'数据-汇总表'!E15</f>
        <v>0</v>
      </c>
      <c r="F65" s="1099">
        <f t="shared" si="15"/>
        <v>0</v>
      </c>
      <c r="G65" s="2694" t="s">
        <v>2754</v>
      </c>
      <c r="H65" s="1110" t="str">
        <f>项目基本情况!C37</f>
        <v>八级</v>
      </c>
      <c r="I65" s="1106">
        <f>SUMIF(修正!A45:A56,H65,修正!H45:H56)</f>
        <v>0.15</v>
      </c>
      <c r="J65" s="1109"/>
      <c r="K65" s="1140"/>
      <c r="L65" s="939"/>
      <c r="M65" s="939"/>
      <c r="N65" s="939"/>
      <c r="O65" s="939"/>
    </row>
    <row r="66" spans="1:17" s="690" customFormat="1" ht="13.5" thickBot="1">
      <c r="A66" s="693" t="s">
        <v>2761</v>
      </c>
      <c r="B66" s="694" t="s">
        <v>28</v>
      </c>
      <c r="C66" s="694" t="s">
        <v>29</v>
      </c>
      <c r="D66" s="694" t="s">
        <v>1025</v>
      </c>
      <c r="E66" s="694">
        <f>IF(B46="楼面地价",SUM(E56:E65),'数据-汇总表'!D3)</f>
        <v>144685.73000000001</v>
      </c>
      <c r="F66" s="695">
        <f>IF(B46="楼面地价",SUM(F56:F65),ROUND(C48*E66/10000,0))</f>
        <v>329297</v>
      </c>
      <c r="G66" s="785"/>
      <c r="H66" s="785"/>
      <c r="I66" s="785"/>
      <c r="J66" s="785"/>
      <c r="K66" s="1154"/>
      <c r="L66" s="939"/>
      <c r="M66" s="939"/>
      <c r="N66" s="939"/>
      <c r="O66" s="939"/>
    </row>
    <row r="67" spans="1:17">
      <c r="A67" s="757"/>
      <c r="B67" s="759"/>
      <c r="C67" s="760"/>
      <c r="D67" s="757"/>
      <c r="E67" s="757"/>
      <c r="F67" s="757"/>
      <c r="G67" s="757"/>
      <c r="H67" s="757"/>
      <c r="I67" s="757"/>
      <c r="J67" s="1140"/>
      <c r="K67" s="1101"/>
      <c r="L67" s="1102"/>
      <c r="M67" s="1140"/>
      <c r="N67" s="1140"/>
      <c r="O67" s="1140"/>
    </row>
    <row r="68" spans="1:17">
      <c r="A68" s="757"/>
      <c r="B68" s="759"/>
      <c r="C68" s="759" t="str">
        <f>YEAR(C7)&amp;"-"&amp;MONTH(C7)&amp;"-1"</f>
        <v>2020-2-1</v>
      </c>
      <c r="D68" s="759">
        <f>EDATE(C68,-3)</f>
        <v>43770</v>
      </c>
      <c r="E68" s="759">
        <f>EDATE(D68,-3)</f>
        <v>43678</v>
      </c>
      <c r="F68" s="759">
        <f t="shared" ref="F68:O68" si="18">EDATE(E68,-3)</f>
        <v>43586</v>
      </c>
      <c r="G68" s="759">
        <f t="shared" si="18"/>
        <v>43497</v>
      </c>
      <c r="H68" s="759">
        <f t="shared" si="18"/>
        <v>43405</v>
      </c>
      <c r="I68" s="759">
        <f t="shared" si="18"/>
        <v>43313</v>
      </c>
      <c r="J68" s="759">
        <f t="shared" si="18"/>
        <v>43221</v>
      </c>
      <c r="K68" s="759">
        <f t="shared" si="18"/>
        <v>43132</v>
      </c>
      <c r="L68" s="759">
        <f t="shared" si="18"/>
        <v>43040</v>
      </c>
      <c r="M68" s="759">
        <f t="shared" si="18"/>
        <v>42948</v>
      </c>
      <c r="N68" s="759">
        <f t="shared" si="18"/>
        <v>42856</v>
      </c>
      <c r="O68" s="759">
        <f t="shared" si="18"/>
        <v>42767</v>
      </c>
    </row>
    <row r="69" spans="1:17" ht="21.75" thickBot="1">
      <c r="A69" s="761" t="s">
        <v>2656</v>
      </c>
      <c r="B69" s="757"/>
      <c r="C69" s="762"/>
      <c r="D69" s="762"/>
      <c r="E69" s="762"/>
      <c r="F69" s="763"/>
      <c r="G69" s="763"/>
      <c r="H69" s="762"/>
      <c r="I69" s="762"/>
      <c r="J69" s="1155"/>
      <c r="K69" s="1156"/>
      <c r="L69" s="1157"/>
      <c r="M69" s="1155"/>
      <c r="N69" s="1155"/>
      <c r="O69" s="1155"/>
      <c r="P69" s="501"/>
      <c r="Q69" s="502"/>
    </row>
    <row r="70" spans="1:17" s="506" customFormat="1" ht="15">
      <c r="A70" s="2695" t="s">
        <v>2762</v>
      </c>
      <c r="B70" s="1355"/>
      <c r="C70" s="1566" t="str">
        <f>YEAR(C68)&amp;"-"&amp;ROUNDUP(MONTH(C68)/3,0)</f>
        <v>2020-1</v>
      </c>
      <c r="D70" s="1566" t="str">
        <f>YEAR(D68)&amp;"-"&amp;ROUNDUP(MONTH(D68)/3,0)</f>
        <v>2019-4</v>
      </c>
      <c r="E70" s="1566" t="str">
        <f t="shared" ref="E70:O70" si="19">YEAR(E68)&amp;"-"&amp;ROUNDUP(MONTH(E68)/3,0)</f>
        <v>2019-3</v>
      </c>
      <c r="F70" s="1566" t="str">
        <f t="shared" si="19"/>
        <v>2019-2</v>
      </c>
      <c r="G70" s="1566" t="str">
        <f t="shared" si="19"/>
        <v>2019-1</v>
      </c>
      <c r="H70" s="1566" t="str">
        <f t="shared" si="19"/>
        <v>2018-4</v>
      </c>
      <c r="I70" s="1566" t="str">
        <f t="shared" si="19"/>
        <v>2018-3</v>
      </c>
      <c r="J70" s="1566" t="str">
        <f t="shared" si="19"/>
        <v>2018-2</v>
      </c>
      <c r="K70" s="1566" t="str">
        <f t="shared" si="19"/>
        <v>2018-1</v>
      </c>
      <c r="L70" s="1566" t="str">
        <f t="shared" si="19"/>
        <v>2017-4</v>
      </c>
      <c r="M70" s="1566" t="str">
        <f t="shared" si="19"/>
        <v>2017-3</v>
      </c>
      <c r="N70" s="1566" t="str">
        <f t="shared" si="19"/>
        <v>2017-2</v>
      </c>
      <c r="O70" s="1566" t="str">
        <f t="shared" si="19"/>
        <v>2017-1</v>
      </c>
      <c r="P70" s="505"/>
    </row>
    <row r="71" spans="1:17" s="115" customFormat="1" ht="30" customHeight="1">
      <c r="A71" s="2696" t="s">
        <v>2763</v>
      </c>
      <c r="B71" s="330" t="str">
        <f>"北京市平均增长率"&amp;TEXT(SUMIF(基准地价修正!N21:N25,A71,基准地价修正!P21:P25),"0.00%")</f>
        <v>北京市平均增长率2.08%</v>
      </c>
      <c r="C71" s="601">
        <v>100</v>
      </c>
      <c r="D71" s="593">
        <f>C71-$C$72</f>
        <v>99</v>
      </c>
      <c r="E71" s="593">
        <f t="shared" ref="E71:O71" si="20">D71-$C$72</f>
        <v>98</v>
      </c>
      <c r="F71" s="593">
        <f t="shared" si="20"/>
        <v>97</v>
      </c>
      <c r="G71" s="593">
        <f t="shared" si="20"/>
        <v>96</v>
      </c>
      <c r="H71" s="593">
        <f t="shared" si="20"/>
        <v>95</v>
      </c>
      <c r="I71" s="593">
        <f t="shared" si="20"/>
        <v>94</v>
      </c>
      <c r="J71" s="593">
        <f t="shared" si="20"/>
        <v>93</v>
      </c>
      <c r="K71" s="593">
        <f t="shared" si="20"/>
        <v>92</v>
      </c>
      <c r="L71" s="593">
        <f t="shared" si="20"/>
        <v>91</v>
      </c>
      <c r="M71" s="593">
        <f t="shared" si="20"/>
        <v>90</v>
      </c>
      <c r="N71" s="593">
        <f t="shared" si="20"/>
        <v>89</v>
      </c>
      <c r="O71" s="593">
        <f t="shared" si="20"/>
        <v>88</v>
      </c>
      <c r="P71" s="502"/>
    </row>
    <row r="72" spans="1:17" s="115" customFormat="1" ht="15.75" thickBot="1">
      <c r="A72" s="513" t="s">
        <v>2567</v>
      </c>
      <c r="B72" s="514"/>
      <c r="C72" s="515">
        <v>1</v>
      </c>
      <c r="D72" s="516"/>
      <c r="E72" s="516"/>
      <c r="F72" s="516"/>
      <c r="G72" s="516"/>
      <c r="H72" s="516"/>
      <c r="I72" s="516"/>
      <c r="J72" s="516"/>
      <c r="K72" s="516"/>
      <c r="L72" s="516"/>
      <c r="M72" s="517"/>
      <c r="N72" s="516"/>
      <c r="O72" s="1158"/>
      <c r="P72" s="502"/>
      <c r="Q72" s="502"/>
    </row>
    <row r="73" spans="1:17" s="115" customFormat="1" ht="15">
      <c r="A73" s="519" t="s">
        <v>2532</v>
      </c>
      <c r="B73" s="508"/>
      <c r="C73" s="520" t="s">
        <v>2634</v>
      </c>
      <c r="D73" s="521"/>
      <c r="E73" s="521"/>
      <c r="F73" s="521"/>
      <c r="G73" s="521"/>
      <c r="H73" s="521"/>
      <c r="I73" s="521"/>
      <c r="J73" s="521"/>
      <c r="K73" s="521"/>
      <c r="L73" s="522"/>
      <c r="M73" s="523"/>
      <c r="N73" s="1147"/>
      <c r="O73" s="1147"/>
      <c r="P73" s="524"/>
      <c r="Q73" s="502"/>
    </row>
    <row r="74" spans="1:17" s="115" customFormat="1" ht="15.75" thickBot="1">
      <c r="A74" s="519"/>
      <c r="B74" s="508"/>
      <c r="C74" s="637">
        <v>100</v>
      </c>
      <c r="D74" s="510"/>
      <c r="E74" s="510"/>
      <c r="F74" s="510"/>
      <c r="G74" s="510"/>
      <c r="H74" s="510"/>
      <c r="I74" s="510"/>
      <c r="J74" s="510"/>
      <c r="K74" s="510"/>
      <c r="L74" s="510"/>
      <c r="M74" s="512"/>
      <c r="N74" s="1147"/>
      <c r="O74" s="1147"/>
      <c r="P74" s="502"/>
      <c r="Q74" s="502"/>
    </row>
    <row r="75" spans="1:17" ht="27">
      <c r="A75" s="525" t="s">
        <v>2570</v>
      </c>
      <c r="B75" s="526" t="s">
        <v>2536</v>
      </c>
      <c r="C75" s="3071" t="s">
        <v>4619</v>
      </c>
      <c r="D75" s="528"/>
      <c r="E75" s="528"/>
      <c r="F75" s="528"/>
      <c r="G75" s="528"/>
      <c r="H75" s="528"/>
      <c r="I75" s="528"/>
      <c r="J75" s="528"/>
      <c r="K75" s="529"/>
      <c r="L75" s="530"/>
      <c r="M75" s="531"/>
      <c r="N75" s="1148"/>
      <c r="O75" s="1148"/>
      <c r="P75" s="45"/>
      <c r="Q75" s="502"/>
    </row>
    <row r="76" spans="1:17" ht="15.75" thickBot="1">
      <c r="A76" s="532"/>
      <c r="B76" s="533"/>
      <c r="C76" s="534">
        <v>100</v>
      </c>
      <c r="D76" s="534"/>
      <c r="E76" s="534"/>
      <c r="F76" s="534"/>
      <c r="G76" s="534"/>
      <c r="H76" s="534"/>
      <c r="I76" s="534"/>
      <c r="J76" s="534"/>
      <c r="K76" s="534"/>
      <c r="L76" s="534"/>
      <c r="M76" s="535"/>
      <c r="N76" s="1149"/>
      <c r="O76" s="1149"/>
      <c r="P76" s="45"/>
      <c r="Q76" s="502"/>
    </row>
    <row r="77" spans="1:17" ht="27.75" thickTop="1">
      <c r="A77" s="532"/>
      <c r="B77" s="536" t="s">
        <v>2539</v>
      </c>
      <c r="C77" s="537"/>
      <c r="D77" s="537"/>
      <c r="E77" s="537"/>
      <c r="F77" s="537"/>
      <c r="G77" s="537"/>
      <c r="H77" s="537"/>
      <c r="I77" s="537"/>
      <c r="J77" s="537"/>
      <c r="K77" s="538"/>
      <c r="L77" s="539"/>
      <c r="M77" s="540"/>
      <c r="N77" s="1148"/>
      <c r="O77" s="1148"/>
      <c r="P77" s="45"/>
      <c r="Q77" s="502"/>
    </row>
    <row r="78" spans="1:17" ht="15.75" thickBot="1">
      <c r="A78" s="532"/>
      <c r="B78" s="541"/>
      <c r="C78" s="542"/>
      <c r="D78" s="542"/>
      <c r="E78" s="542"/>
      <c r="F78" s="542"/>
      <c r="G78" s="542"/>
      <c r="H78" s="542"/>
      <c r="I78" s="542"/>
      <c r="J78" s="542"/>
      <c r="K78" s="542"/>
      <c r="L78" s="542"/>
      <c r="M78" s="543"/>
      <c r="N78" s="1149"/>
      <c r="O78" s="1149"/>
      <c r="P78" s="45"/>
      <c r="Q78" s="502"/>
    </row>
    <row r="79" spans="1:17" ht="15.75" thickTop="1">
      <c r="A79" s="532"/>
      <c r="B79" s="544" t="s">
        <v>2540</v>
      </c>
      <c r="C79" s="545" t="str">
        <f>C80&amp;"（含）"&amp;"-"&amp;D80</f>
        <v>0（含）-1</v>
      </c>
      <c r="D79" s="545" t="str">
        <f t="shared" ref="D79:L79" si="21">D80&amp;"（含）"&amp;"-"&amp;E80</f>
        <v>1（含）-2</v>
      </c>
      <c r="E79" s="545" t="str">
        <f t="shared" si="21"/>
        <v>2（含）-3</v>
      </c>
      <c r="F79" s="545" t="str">
        <f t="shared" si="21"/>
        <v>3（含）-4</v>
      </c>
      <c r="G79" s="545" t="str">
        <f t="shared" si="21"/>
        <v>4（含）-5</v>
      </c>
      <c r="H79" s="545" t="str">
        <f t="shared" si="21"/>
        <v>5（含）-</v>
      </c>
      <c r="I79" s="545" t="str">
        <f t="shared" si="21"/>
        <v>（含）-</v>
      </c>
      <c r="J79" s="545" t="str">
        <f t="shared" si="21"/>
        <v>（含）-</v>
      </c>
      <c r="K79" s="545" t="str">
        <f t="shared" si="21"/>
        <v>（含）-</v>
      </c>
      <c r="L79" s="545" t="str">
        <f t="shared" si="21"/>
        <v>（含）-</v>
      </c>
      <c r="M79" s="446" t="str">
        <f>M80&amp;"（含）"&amp;"-"&amp;P80</f>
        <v>（含）-</v>
      </c>
      <c r="N79" s="1149"/>
      <c r="O79" s="1149"/>
      <c r="P79" s="45"/>
      <c r="Q79" s="502"/>
    </row>
    <row r="80" spans="1:17" ht="15">
      <c r="A80" s="532"/>
      <c r="B80" s="546"/>
      <c r="C80" s="547">
        <v>0</v>
      </c>
      <c r="D80" s="547">
        <v>1</v>
      </c>
      <c r="E80" s="547">
        <v>2</v>
      </c>
      <c r="F80" s="547">
        <v>3</v>
      </c>
      <c r="G80" s="547">
        <v>4</v>
      </c>
      <c r="H80" s="547">
        <v>5</v>
      </c>
      <c r="I80" s="547"/>
      <c r="J80" s="547"/>
      <c r="K80" s="548"/>
      <c r="L80" s="549"/>
      <c r="M80" s="550"/>
      <c r="N80" s="1148"/>
      <c r="O80" s="1148"/>
      <c r="P80" s="45"/>
      <c r="Q80" s="502"/>
    </row>
    <row r="81" spans="1:17" ht="15.75" thickBot="1">
      <c r="A81" s="532"/>
      <c r="B81" s="533"/>
      <c r="C81" s="542">
        <v>100</v>
      </c>
      <c r="D81" s="542">
        <f t="shared" ref="D81:M81" si="22">IF($B$46="单位面积地价",C81+$K11,C81-$K11)</f>
        <v>95</v>
      </c>
      <c r="E81" s="542">
        <f t="shared" si="22"/>
        <v>90</v>
      </c>
      <c r="F81" s="542">
        <f t="shared" si="22"/>
        <v>85</v>
      </c>
      <c r="G81" s="542">
        <f t="shared" si="22"/>
        <v>80</v>
      </c>
      <c r="H81" s="542">
        <f t="shared" si="22"/>
        <v>75</v>
      </c>
      <c r="I81" s="542">
        <f t="shared" si="22"/>
        <v>70</v>
      </c>
      <c r="J81" s="542">
        <f t="shared" si="22"/>
        <v>65</v>
      </c>
      <c r="K81" s="542">
        <f t="shared" si="22"/>
        <v>60</v>
      </c>
      <c r="L81" s="542">
        <f t="shared" si="22"/>
        <v>55</v>
      </c>
      <c r="M81" s="542">
        <f t="shared" si="22"/>
        <v>50</v>
      </c>
      <c r="N81" s="1149"/>
      <c r="O81" s="1149"/>
      <c r="P81" s="45"/>
      <c r="Q81" s="502"/>
    </row>
    <row r="82" spans="1:17" s="469" customFormat="1" ht="15.75" thickTop="1">
      <c r="A82" s="551"/>
      <c r="B82" s="536" t="str">
        <f>B12</f>
        <v>配建</v>
      </c>
      <c r="C82" s="3072" t="s">
        <v>4620</v>
      </c>
      <c r="D82" s="3072" t="s">
        <v>4621</v>
      </c>
      <c r="E82" s="552"/>
      <c r="F82" s="552"/>
      <c r="G82" s="552"/>
      <c r="H82" s="553"/>
      <c r="I82" s="553"/>
      <c r="J82" s="553"/>
      <c r="K82" s="553"/>
      <c r="L82" s="554"/>
      <c r="M82" s="555"/>
      <c r="N82" s="1150"/>
      <c r="O82" s="1150"/>
      <c r="P82" s="556"/>
      <c r="Q82" s="557"/>
    </row>
    <row r="83" spans="1:17" s="469" customFormat="1" ht="15.75" thickBot="1">
      <c r="A83" s="551"/>
      <c r="B83" s="541"/>
      <c r="C83" s="558">
        <v>100</v>
      </c>
      <c r="D83" s="534">
        <v>95</v>
      </c>
      <c r="E83" s="534"/>
      <c r="F83" s="534"/>
      <c r="G83" s="534"/>
      <c r="H83" s="534"/>
      <c r="I83" s="534"/>
      <c r="J83" s="534"/>
      <c r="K83" s="534"/>
      <c r="L83" s="534"/>
      <c r="M83" s="535"/>
      <c r="N83" s="1149"/>
      <c r="O83" s="1149"/>
      <c r="P83" s="556"/>
      <c r="Q83" s="557"/>
    </row>
    <row r="84" spans="1:17" s="469" customFormat="1" ht="15.75" thickTop="1">
      <c r="A84" s="551"/>
      <c r="B84" s="536" t="str">
        <f>B13</f>
        <v>自持</v>
      </c>
      <c r="C84" s="3072" t="s">
        <v>4620</v>
      </c>
      <c r="D84" s="3072" t="s">
        <v>4621</v>
      </c>
      <c r="E84" s="552"/>
      <c r="F84" s="552"/>
      <c r="G84" s="552"/>
      <c r="H84" s="553"/>
      <c r="I84" s="553"/>
      <c r="J84" s="553"/>
      <c r="K84" s="553"/>
      <c r="L84" s="554"/>
      <c r="M84" s="555"/>
      <c r="N84" s="1150"/>
      <c r="O84" s="1150"/>
      <c r="P84" s="468"/>
      <c r="Q84" s="559"/>
    </row>
    <row r="85" spans="1:17" s="469" customFormat="1" ht="15.75" thickBot="1">
      <c r="A85" s="551"/>
      <c r="B85" s="541"/>
      <c r="C85" s="558">
        <v>100</v>
      </c>
      <c r="D85" s="558">
        <v>95</v>
      </c>
      <c r="E85" s="558"/>
      <c r="F85" s="558"/>
      <c r="G85" s="558"/>
      <c r="H85" s="560"/>
      <c r="I85" s="560"/>
      <c r="J85" s="560"/>
      <c r="K85" s="560"/>
      <c r="L85" s="560"/>
      <c r="M85" s="561"/>
      <c r="N85" s="1150"/>
      <c r="O85" s="1150"/>
      <c r="P85" s="556"/>
      <c r="Q85" s="557"/>
    </row>
    <row r="86" spans="1:17" s="469" customFormat="1" ht="15.75" hidden="1" thickTop="1">
      <c r="A86" s="551"/>
      <c r="B86" s="544">
        <f>B14</f>
        <v>111</v>
      </c>
      <c r="C86" s="521"/>
      <c r="D86" s="521"/>
      <c r="E86" s="521"/>
      <c r="F86" s="521"/>
      <c r="G86" s="521"/>
      <c r="H86" s="562"/>
      <c r="I86" s="562"/>
      <c r="J86" s="562"/>
      <c r="K86" s="562"/>
      <c r="L86" s="563"/>
      <c r="M86" s="564"/>
      <c r="N86" s="1150"/>
      <c r="O86" s="1150"/>
      <c r="P86" s="565"/>
      <c r="Q86" s="557"/>
    </row>
    <row r="87" spans="1:17" s="469" customFormat="1" ht="15.75" hidden="1" thickBot="1">
      <c r="A87" s="566"/>
      <c r="B87" s="567"/>
      <c r="C87" s="568"/>
      <c r="D87" s="568"/>
      <c r="E87" s="568"/>
      <c r="F87" s="568"/>
      <c r="G87" s="568"/>
      <c r="H87" s="569"/>
      <c r="I87" s="569"/>
      <c r="J87" s="569"/>
      <c r="K87" s="569"/>
      <c r="L87" s="569"/>
      <c r="M87" s="570"/>
      <c r="N87" s="1150"/>
      <c r="O87" s="1150"/>
      <c r="P87" s="556"/>
      <c r="Q87" s="557"/>
    </row>
    <row r="88" spans="1:17" ht="15" thickTop="1">
      <c r="A88" s="525" t="s">
        <v>2541</v>
      </c>
      <c r="B88" s="526" t="s">
        <v>2578</v>
      </c>
      <c r="C88" s="571" t="s">
        <v>2579</v>
      </c>
      <c r="D88" s="571" t="s">
        <v>2580</v>
      </c>
      <c r="E88" s="571" t="s">
        <v>2581</v>
      </c>
      <c r="F88" s="571" t="s">
        <v>2582</v>
      </c>
      <c r="G88" s="571" t="s">
        <v>2583</v>
      </c>
      <c r="H88" s="527"/>
      <c r="I88" s="527"/>
      <c r="J88" s="527"/>
      <c r="K88" s="572"/>
      <c r="L88" s="573"/>
      <c r="M88" s="574"/>
      <c r="N88" s="1148"/>
      <c r="O88" s="1148"/>
      <c r="P88" s="575"/>
      <c r="Q88" s="502"/>
    </row>
    <row r="89" spans="1:17" ht="15.75" thickBot="1">
      <c r="A89" s="532"/>
      <c r="B89" s="541"/>
      <c r="C89" s="542">
        <v>100</v>
      </c>
      <c r="D89" s="542">
        <f>C89-$K15</f>
        <v>97</v>
      </c>
      <c r="E89" s="542">
        <f>D89-$K15</f>
        <v>94</v>
      </c>
      <c r="F89" s="542">
        <f>E89-$K15</f>
        <v>91</v>
      </c>
      <c r="G89" s="542">
        <f>F89-$K15</f>
        <v>88</v>
      </c>
      <c r="H89" s="542"/>
      <c r="I89" s="542"/>
      <c r="J89" s="542"/>
      <c r="K89" s="542"/>
      <c r="L89" s="542"/>
      <c r="M89" s="543"/>
      <c r="N89" s="1149"/>
      <c r="O89" s="1149"/>
      <c r="P89" s="45"/>
      <c r="Q89" s="502"/>
    </row>
    <row r="90" spans="1:17" ht="15.75" thickTop="1">
      <c r="A90" s="532"/>
      <c r="B90" s="536" t="s">
        <v>2764</v>
      </c>
      <c r="C90" s="576" t="s">
        <v>2579</v>
      </c>
      <c r="D90" s="576" t="s">
        <v>2580</v>
      </c>
      <c r="E90" s="576" t="s">
        <v>2581</v>
      </c>
      <c r="F90" s="576" t="s">
        <v>2582</v>
      </c>
      <c r="G90" s="576" t="s">
        <v>2583</v>
      </c>
      <c r="H90" s="537"/>
      <c r="I90" s="537"/>
      <c r="J90" s="537"/>
      <c r="K90" s="538"/>
      <c r="L90" s="539"/>
      <c r="M90" s="540"/>
      <c r="N90" s="1148"/>
      <c r="O90" s="1148"/>
      <c r="P90" s="45"/>
      <c r="Q90" s="502"/>
    </row>
    <row r="91" spans="1:17" ht="15.75" thickBot="1">
      <c r="A91" s="532"/>
      <c r="B91" s="541"/>
      <c r="C91" s="542">
        <v>100</v>
      </c>
      <c r="D91" s="542">
        <f>C91-$K17</f>
        <v>98</v>
      </c>
      <c r="E91" s="542">
        <f>D91-$K17</f>
        <v>96</v>
      </c>
      <c r="F91" s="542">
        <f>E91-$K17</f>
        <v>94</v>
      </c>
      <c r="G91" s="542">
        <f>F91-$K17</f>
        <v>92</v>
      </c>
      <c r="H91" s="542"/>
      <c r="I91" s="542"/>
      <c r="J91" s="542"/>
      <c r="K91" s="542"/>
      <c r="L91" s="542"/>
      <c r="M91" s="543"/>
      <c r="N91" s="1149"/>
      <c r="O91" s="1149"/>
      <c r="P91" s="45"/>
      <c r="Q91" s="502"/>
    </row>
    <row r="92" spans="1:17" ht="15.75" thickTop="1">
      <c r="A92" s="532"/>
      <c r="B92" s="536" t="s">
        <v>2679</v>
      </c>
      <c r="C92" s="576" t="s">
        <v>2579</v>
      </c>
      <c r="D92" s="576" t="s">
        <v>2580</v>
      </c>
      <c r="E92" s="576" t="s">
        <v>2581</v>
      </c>
      <c r="F92" s="576" t="s">
        <v>2582</v>
      </c>
      <c r="G92" s="576" t="s">
        <v>2583</v>
      </c>
      <c r="H92" s="537"/>
      <c r="I92" s="537"/>
      <c r="J92" s="537"/>
      <c r="K92" s="538"/>
      <c r="L92" s="539"/>
      <c r="M92" s="540"/>
      <c r="N92" s="1148"/>
      <c r="O92" s="1148"/>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49"/>
      <c r="O93" s="1149"/>
      <c r="P93" s="45"/>
      <c r="Q93" s="502"/>
    </row>
    <row r="94" spans="1:17" ht="15.75" thickTop="1">
      <c r="A94" s="532"/>
      <c r="B94" s="536" t="s">
        <v>2584</v>
      </c>
      <c r="C94" s="576" t="s">
        <v>2579</v>
      </c>
      <c r="D94" s="576" t="s">
        <v>2580</v>
      </c>
      <c r="E94" s="576" t="s">
        <v>2581</v>
      </c>
      <c r="F94" s="576" t="s">
        <v>2582</v>
      </c>
      <c r="G94" s="576" t="s">
        <v>2583</v>
      </c>
      <c r="H94" s="537"/>
      <c r="I94" s="537"/>
      <c r="J94" s="537"/>
      <c r="K94" s="538"/>
      <c r="L94" s="539"/>
      <c r="M94" s="540"/>
      <c r="N94" s="1148"/>
      <c r="O94" s="1148"/>
      <c r="P94" s="45"/>
      <c r="Q94" s="502"/>
    </row>
    <row r="95" spans="1:17" ht="15.75" thickBot="1">
      <c r="A95" s="532"/>
      <c r="B95" s="541"/>
      <c r="C95" s="542">
        <v>100</v>
      </c>
      <c r="D95" s="542">
        <f>C95-$K21</f>
        <v>98</v>
      </c>
      <c r="E95" s="542">
        <f>D95-$K21</f>
        <v>96</v>
      </c>
      <c r="F95" s="542">
        <f>E95-$K21</f>
        <v>94</v>
      </c>
      <c r="G95" s="542">
        <f>F95-$K21</f>
        <v>92</v>
      </c>
      <c r="H95" s="542"/>
      <c r="I95" s="542"/>
      <c r="J95" s="542"/>
      <c r="K95" s="542"/>
      <c r="L95" s="542"/>
      <c r="M95" s="543"/>
      <c r="N95" s="1149"/>
      <c r="O95" s="1149"/>
      <c r="P95" s="45"/>
      <c r="Q95" s="502"/>
    </row>
    <row r="96" spans="1:17" s="115" customFormat="1" ht="15.75" thickTop="1">
      <c r="A96" s="577"/>
      <c r="B96" s="536" t="s">
        <v>2765</v>
      </c>
      <c r="C96" s="576" t="s">
        <v>2579</v>
      </c>
      <c r="D96" s="576" t="s">
        <v>2580</v>
      </c>
      <c r="E96" s="576" t="s">
        <v>2581</v>
      </c>
      <c r="F96" s="576" t="s">
        <v>2582</v>
      </c>
      <c r="G96" s="576" t="s">
        <v>2583</v>
      </c>
      <c r="H96" s="576"/>
      <c r="I96" s="576"/>
      <c r="J96" s="576"/>
      <c r="K96" s="576"/>
      <c r="L96" s="696"/>
      <c r="M96" s="620"/>
      <c r="N96" s="1147"/>
      <c r="O96" s="1147"/>
      <c r="P96" s="45"/>
      <c r="Q96" s="502"/>
    </row>
    <row r="97" spans="1:17" s="115" customFormat="1" ht="15.75" thickBot="1">
      <c r="A97" s="577"/>
      <c r="B97" s="541"/>
      <c r="C97" s="580">
        <v>100</v>
      </c>
      <c r="D97" s="542">
        <f>C97-$K23</f>
        <v>98</v>
      </c>
      <c r="E97" s="542">
        <f>D97-$K23</f>
        <v>96</v>
      </c>
      <c r="F97" s="542">
        <f>E97-$K23</f>
        <v>94</v>
      </c>
      <c r="G97" s="542">
        <f>F97-$K23</f>
        <v>92</v>
      </c>
      <c r="H97" s="542"/>
      <c r="I97" s="542"/>
      <c r="J97" s="542"/>
      <c r="K97" s="542"/>
      <c r="L97" s="542"/>
      <c r="M97" s="543"/>
      <c r="N97" s="1149"/>
      <c r="O97" s="1149"/>
      <c r="P97" s="45"/>
      <c r="Q97" s="502"/>
    </row>
    <row r="98" spans="1:17" s="115" customFormat="1" ht="27.75" thickTop="1">
      <c r="A98" s="577"/>
      <c r="B98" s="536" t="s">
        <v>2766</v>
      </c>
      <c r="C98" s="571" t="s">
        <v>2579</v>
      </c>
      <c r="D98" s="571" t="s">
        <v>2580</v>
      </c>
      <c r="E98" s="571" t="s">
        <v>2581</v>
      </c>
      <c r="F98" s="571" t="s">
        <v>2582</v>
      </c>
      <c r="G98" s="571" t="s">
        <v>2583</v>
      </c>
      <c r="H98" s="576"/>
      <c r="I98" s="576"/>
      <c r="J98" s="576"/>
      <c r="K98" s="576"/>
      <c r="L98" s="576"/>
      <c r="M98" s="620"/>
      <c r="N98" s="1147"/>
      <c r="O98" s="1147"/>
      <c r="P98" s="45"/>
      <c r="Q98" s="502"/>
    </row>
    <row r="99" spans="1:17" s="115" customFormat="1" ht="15.75" thickBot="1">
      <c r="A99" s="577"/>
      <c r="B99" s="541"/>
      <c r="C99" s="542">
        <v>100</v>
      </c>
      <c r="D99" s="542">
        <f>C99-$K25</f>
        <v>98</v>
      </c>
      <c r="E99" s="542">
        <f>D99-$K25</f>
        <v>96</v>
      </c>
      <c r="F99" s="542">
        <f>E99-$K25</f>
        <v>94</v>
      </c>
      <c r="G99" s="542">
        <f>F99-$K25</f>
        <v>92</v>
      </c>
      <c r="H99" s="542"/>
      <c r="I99" s="542"/>
      <c r="J99" s="542"/>
      <c r="K99" s="542"/>
      <c r="L99" s="542"/>
      <c r="M99" s="543"/>
      <c r="N99" s="1149"/>
      <c r="O99" s="1149"/>
      <c r="P99" s="45"/>
      <c r="Q99" s="502"/>
    </row>
    <row r="100" spans="1:17" s="469" customFormat="1" ht="15.75" thickTop="1">
      <c r="A100" s="551"/>
      <c r="B100" s="536" t="s">
        <v>2636</v>
      </c>
      <c r="C100" s="571" t="s">
        <v>2579</v>
      </c>
      <c r="D100" s="571" t="s">
        <v>2580</v>
      </c>
      <c r="E100" s="571" t="s">
        <v>2581</v>
      </c>
      <c r="F100" s="571" t="s">
        <v>2582</v>
      </c>
      <c r="G100" s="571" t="s">
        <v>2583</v>
      </c>
      <c r="H100" s="598"/>
      <c r="I100" s="598"/>
      <c r="J100" s="598"/>
      <c r="K100" s="598"/>
      <c r="L100" s="599"/>
      <c r="M100" s="600"/>
      <c r="N100" s="1150"/>
      <c r="O100" s="1150"/>
      <c r="P100" s="556"/>
      <c r="Q100" s="557"/>
    </row>
    <row r="101" spans="1:17" s="469" customFormat="1" ht="15.75" thickBot="1">
      <c r="A101" s="551"/>
      <c r="B101" s="541"/>
      <c r="C101" s="542">
        <v>100</v>
      </c>
      <c r="D101" s="542">
        <f>C101-$K27</f>
        <v>97</v>
      </c>
      <c r="E101" s="542">
        <f>D101-$K27</f>
        <v>94</v>
      </c>
      <c r="F101" s="542">
        <f>E101-$K27</f>
        <v>91</v>
      </c>
      <c r="G101" s="542">
        <f>F101-$K27</f>
        <v>88</v>
      </c>
      <c r="H101" s="605"/>
      <c r="I101" s="605"/>
      <c r="J101" s="605"/>
      <c r="K101" s="605"/>
      <c r="L101" s="605"/>
      <c r="M101" s="606"/>
      <c r="N101" s="1150"/>
      <c r="O101" s="1150"/>
      <c r="P101" s="556"/>
      <c r="Q101" s="557"/>
    </row>
    <row r="102" spans="1:17" s="469" customFormat="1" ht="15.75" thickTop="1">
      <c r="A102" s="551"/>
      <c r="B102" s="544" t="s">
        <v>2637</v>
      </c>
      <c r="C102" s="658" t="s">
        <v>2657</v>
      </c>
      <c r="D102" s="658" t="s">
        <v>2658</v>
      </c>
      <c r="E102" s="658" t="s">
        <v>2659</v>
      </c>
      <c r="F102" s="658" t="s">
        <v>2660</v>
      </c>
      <c r="G102" s="658" t="s">
        <v>2661</v>
      </c>
      <c r="H102" s="598"/>
      <c r="I102" s="598"/>
      <c r="J102" s="598"/>
      <c r="K102" s="598"/>
      <c r="L102" s="598"/>
      <c r="M102" s="1381"/>
      <c r="N102" s="1150"/>
      <c r="O102" s="1150"/>
      <c r="P102" s="556"/>
      <c r="Q102" s="557"/>
    </row>
    <row r="103" spans="1:17" s="469" customFormat="1" ht="15.75" thickBot="1">
      <c r="A103" s="551"/>
      <c r="B103" s="544"/>
      <c r="C103" s="542">
        <v>100</v>
      </c>
      <c r="D103" s="542">
        <f>C103-$K29</f>
        <v>98</v>
      </c>
      <c r="E103" s="542">
        <f>D103-$K29</f>
        <v>96</v>
      </c>
      <c r="F103" s="542">
        <f>E103-$K29</f>
        <v>94</v>
      </c>
      <c r="G103" s="542">
        <f>F103-$K29</f>
        <v>92</v>
      </c>
      <c r="H103" s="546"/>
      <c r="I103" s="546"/>
      <c r="J103" s="546"/>
      <c r="K103" s="546"/>
      <c r="L103" s="546"/>
      <c r="M103" s="1381"/>
      <c r="N103" s="1150"/>
      <c r="O103" s="1150"/>
      <c r="P103" s="556"/>
      <c r="Q103" s="557"/>
    </row>
    <row r="104" spans="1:17" ht="15.75" thickTop="1">
      <c r="A104" s="532"/>
      <c r="B104" s="536" t="str">
        <f>B31</f>
        <v>临街状况</v>
      </c>
      <c r="C104" s="537" t="s">
        <v>2767</v>
      </c>
      <c r="D104" s="537" t="s">
        <v>2768</v>
      </c>
      <c r="E104" s="537" t="s">
        <v>2769</v>
      </c>
      <c r="F104" s="537" t="s">
        <v>2770</v>
      </c>
      <c r="G104" s="537"/>
      <c r="H104" s="537"/>
      <c r="I104" s="537"/>
      <c r="J104" s="537"/>
      <c r="K104" s="538"/>
      <c r="L104" s="539"/>
      <c r="M104" s="540"/>
      <c r="N104" s="1148"/>
      <c r="O104" s="1148"/>
      <c r="P104" s="45"/>
      <c r="Q104" s="502"/>
    </row>
    <row r="105" spans="1:17" ht="15.75" thickBot="1">
      <c r="A105" s="532"/>
      <c r="B105" s="541"/>
      <c r="C105" s="542">
        <v>100</v>
      </c>
      <c r="D105" s="542">
        <f>C105-$K31</f>
        <v>99</v>
      </c>
      <c r="E105" s="542">
        <f t="shared" ref="E105:M105" si="23">D105-$K31</f>
        <v>98</v>
      </c>
      <c r="F105" s="542">
        <f t="shared" si="23"/>
        <v>97</v>
      </c>
      <c r="G105" s="542">
        <f t="shared" si="23"/>
        <v>96</v>
      </c>
      <c r="H105" s="542">
        <f t="shared" si="23"/>
        <v>95</v>
      </c>
      <c r="I105" s="542">
        <f t="shared" si="23"/>
        <v>94</v>
      </c>
      <c r="J105" s="542">
        <f t="shared" si="23"/>
        <v>93</v>
      </c>
      <c r="K105" s="542">
        <f t="shared" si="23"/>
        <v>92</v>
      </c>
      <c r="L105" s="542">
        <f t="shared" si="23"/>
        <v>91</v>
      </c>
      <c r="M105" s="542">
        <f t="shared" si="23"/>
        <v>90</v>
      </c>
      <c r="N105" s="1149"/>
      <c r="O105" s="1149"/>
      <c r="P105" s="45"/>
      <c r="Q105" s="502"/>
    </row>
    <row r="106" spans="1:17" ht="27.75" thickTop="1">
      <c r="A106" s="532"/>
      <c r="B106" s="536" t="s">
        <v>2673</v>
      </c>
      <c r="C106" s="3072" t="s">
        <v>4623</v>
      </c>
      <c r="D106" s="3072" t="s">
        <v>4624</v>
      </c>
      <c r="E106" s="3072" t="s">
        <v>4625</v>
      </c>
      <c r="F106" s="3072" t="s">
        <v>4626</v>
      </c>
      <c r="G106" s="3072" t="s">
        <v>4627</v>
      </c>
      <c r="H106" s="581"/>
      <c r="I106" s="581"/>
      <c r="J106" s="581"/>
      <c r="K106" s="582"/>
      <c r="L106" s="583"/>
      <c r="M106" s="584"/>
      <c r="N106" s="1148"/>
      <c r="O106" s="1148"/>
      <c r="P106" s="45"/>
      <c r="Q106" s="502"/>
    </row>
    <row r="107" spans="1:17" ht="15.75" thickBot="1">
      <c r="A107" s="532"/>
      <c r="B107" s="541"/>
      <c r="C107" s="542">
        <v>100</v>
      </c>
      <c r="D107" s="542">
        <f>C107-$K32</f>
        <v>99</v>
      </c>
      <c r="E107" s="542">
        <f t="shared" ref="E107:M107" si="24">D107-$K32</f>
        <v>98</v>
      </c>
      <c r="F107" s="542">
        <f t="shared" si="24"/>
        <v>97</v>
      </c>
      <c r="G107" s="542">
        <f t="shared" si="24"/>
        <v>96</v>
      </c>
      <c r="H107" s="542">
        <f t="shared" si="24"/>
        <v>95</v>
      </c>
      <c r="I107" s="542">
        <f t="shared" si="24"/>
        <v>94</v>
      </c>
      <c r="J107" s="542">
        <f t="shared" si="24"/>
        <v>93</v>
      </c>
      <c r="K107" s="542">
        <f t="shared" si="24"/>
        <v>92</v>
      </c>
      <c r="L107" s="542">
        <f t="shared" si="24"/>
        <v>91</v>
      </c>
      <c r="M107" s="542">
        <f t="shared" si="24"/>
        <v>90</v>
      </c>
      <c r="N107" s="1149"/>
      <c r="O107" s="1149"/>
      <c r="P107" s="45"/>
      <c r="Q107" s="502"/>
    </row>
    <row r="108" spans="1:17" ht="18.75" hidden="1" customHeight="1" thickTop="1">
      <c r="A108" s="532"/>
      <c r="B108" s="536" t="s">
        <v>2731</v>
      </c>
      <c r="C108" s="581"/>
      <c r="D108" s="581"/>
      <c r="E108" s="581"/>
      <c r="F108" s="581"/>
      <c r="G108" s="581"/>
      <c r="H108" s="581"/>
      <c r="I108" s="581"/>
      <c r="J108" s="581"/>
      <c r="K108" s="582"/>
      <c r="L108" s="583"/>
      <c r="M108" s="584"/>
      <c r="N108" s="1148"/>
      <c r="O108" s="1148"/>
      <c r="P108" s="45"/>
      <c r="Q108" s="502"/>
    </row>
    <row r="109" spans="1:17" ht="15.75" hidden="1" thickBot="1">
      <c r="A109" s="532"/>
      <c r="B109" s="541"/>
      <c r="C109" s="542">
        <v>100</v>
      </c>
      <c r="D109" s="542">
        <f>C109-$K34</f>
        <v>100</v>
      </c>
      <c r="E109" s="542">
        <f t="shared" ref="E109:M109" si="25">D109-$K34</f>
        <v>100</v>
      </c>
      <c r="F109" s="542">
        <f t="shared" si="25"/>
        <v>100</v>
      </c>
      <c r="G109" s="542">
        <f t="shared" si="25"/>
        <v>100</v>
      </c>
      <c r="H109" s="542">
        <f t="shared" si="25"/>
        <v>100</v>
      </c>
      <c r="I109" s="542">
        <f t="shared" si="25"/>
        <v>100</v>
      </c>
      <c r="J109" s="542">
        <f t="shared" si="25"/>
        <v>100</v>
      </c>
      <c r="K109" s="542">
        <f t="shared" si="25"/>
        <v>100</v>
      </c>
      <c r="L109" s="542">
        <f t="shared" si="25"/>
        <v>100</v>
      </c>
      <c r="M109" s="542">
        <f t="shared" si="25"/>
        <v>100</v>
      </c>
      <c r="N109" s="1149"/>
      <c r="O109" s="1149"/>
      <c r="P109" s="45"/>
      <c r="Q109" s="502"/>
    </row>
    <row r="110" spans="1:17" ht="15.75" hidden="1" thickTop="1">
      <c r="A110" s="532"/>
      <c r="B110" s="544">
        <f>B35</f>
        <v>111</v>
      </c>
      <c r="C110" s="552"/>
      <c r="D110" s="552"/>
      <c r="E110" s="552"/>
      <c r="F110" s="552"/>
      <c r="G110" s="585"/>
      <c r="H110" s="585"/>
      <c r="I110" s="585"/>
      <c r="J110" s="585"/>
      <c r="K110" s="586"/>
      <c r="L110" s="587"/>
      <c r="M110" s="588"/>
      <c r="N110" s="1148"/>
      <c r="O110" s="1148"/>
      <c r="P110" s="45"/>
      <c r="Q110" s="502"/>
    </row>
    <row r="111" spans="1:17" ht="15.75" hidden="1" thickBot="1">
      <c r="A111" s="532"/>
      <c r="B111" s="567"/>
      <c r="C111" s="558"/>
      <c r="D111" s="558"/>
      <c r="E111" s="558"/>
      <c r="F111" s="558"/>
      <c r="G111" s="589"/>
      <c r="H111" s="589"/>
      <c r="I111" s="589"/>
      <c r="J111" s="589"/>
      <c r="K111" s="589"/>
      <c r="L111" s="589"/>
      <c r="M111" s="590"/>
      <c r="N111" s="1149"/>
      <c r="O111" s="1149"/>
      <c r="P111" s="45"/>
      <c r="Q111" s="502"/>
    </row>
    <row r="112" spans="1:17" ht="15" hidden="1" thickTop="1">
      <c r="A112" s="673"/>
      <c r="B112" s="536">
        <f>B36</f>
        <v>111</v>
      </c>
      <c r="C112" s="521"/>
      <c r="D112" s="521"/>
      <c r="E112" s="521"/>
      <c r="F112" s="521"/>
      <c r="G112" s="581"/>
      <c r="H112" s="581"/>
      <c r="I112" s="581"/>
      <c r="J112" s="581"/>
      <c r="K112" s="582"/>
      <c r="L112" s="583"/>
      <c r="M112" s="584"/>
      <c r="N112" s="1148"/>
      <c r="O112" s="1148"/>
      <c r="P112" s="45"/>
      <c r="Q112" s="502"/>
    </row>
    <row r="113" spans="1:17" ht="15.75" hidden="1" thickBot="1">
      <c r="A113" s="532"/>
      <c r="B113" s="541"/>
      <c r="C113" s="568"/>
      <c r="D113" s="568"/>
      <c r="E113" s="568"/>
      <c r="F113" s="568"/>
      <c r="G113" s="534"/>
      <c r="H113" s="534"/>
      <c r="I113" s="534"/>
      <c r="J113" s="534"/>
      <c r="K113" s="534"/>
      <c r="L113" s="534"/>
      <c r="M113" s="535"/>
      <c r="N113" s="1149"/>
      <c r="O113" s="1149"/>
      <c r="P113" s="45"/>
      <c r="Q113" s="502"/>
    </row>
    <row r="114" spans="1:17" s="469" customFormat="1" ht="15" hidden="1" thickTop="1">
      <c r="A114" s="591"/>
      <c r="B114" s="592">
        <f>B37</f>
        <v>111</v>
      </c>
      <c r="C114" s="593"/>
      <c r="D114" s="593"/>
      <c r="E114" s="593"/>
      <c r="F114" s="593"/>
      <c r="G114" s="593"/>
      <c r="H114" s="593"/>
      <c r="I114" s="593"/>
      <c r="J114" s="594"/>
      <c r="K114" s="594"/>
      <c r="L114" s="595"/>
      <c r="M114" s="596"/>
      <c r="N114" s="1150"/>
      <c r="O114" s="1150"/>
      <c r="P114" s="556"/>
      <c r="Q114" s="557"/>
    </row>
    <row r="115" spans="1:17" s="469" customFormat="1" ht="15.75" hidden="1" thickBot="1">
      <c r="A115" s="551"/>
      <c r="B115" s="544"/>
      <c r="C115" s="510"/>
      <c r="D115" s="675"/>
      <c r="E115" s="675"/>
      <c r="F115" s="675"/>
      <c r="G115" s="675"/>
      <c r="H115" s="675"/>
      <c r="I115" s="675"/>
      <c r="J115" s="675"/>
      <c r="K115" s="675"/>
      <c r="L115" s="675"/>
      <c r="M115" s="697"/>
      <c r="N115" s="1149"/>
      <c r="O115" s="1149"/>
      <c r="P115" s="556"/>
      <c r="Q115" s="557"/>
    </row>
    <row r="116" spans="1:17" ht="26.25" customHeight="1" thickTop="1">
      <c r="A116" s="525" t="s">
        <v>2545</v>
      </c>
      <c r="B116" s="526" t="s">
        <v>2771</v>
      </c>
      <c r="C116" s="527" t="str">
        <f>C117&amp;"(含)"&amp;"-"&amp;D117</f>
        <v>0(含)-20000</v>
      </c>
      <c r="D116" s="527" t="str">
        <f t="shared" ref="D116:M116" si="26">D117&amp;"(含)"&amp;"-"&amp;E117</f>
        <v>20000(含)-50000</v>
      </c>
      <c r="E116" s="527" t="str">
        <f t="shared" si="26"/>
        <v>50000(含)-100000</v>
      </c>
      <c r="F116" s="527" t="str">
        <f t="shared" si="26"/>
        <v>100000(含)-150000</v>
      </c>
      <c r="G116" s="527" t="str">
        <f t="shared" si="26"/>
        <v>150000(含)-</v>
      </c>
      <c r="H116" s="527" t="str">
        <f t="shared" si="26"/>
        <v>(含)-</v>
      </c>
      <c r="I116" s="527" t="str">
        <f t="shared" si="26"/>
        <v>(含)-</v>
      </c>
      <c r="J116" s="527" t="str">
        <f t="shared" si="26"/>
        <v>(含)-</v>
      </c>
      <c r="K116" s="527" t="str">
        <f t="shared" si="26"/>
        <v>(含)-</v>
      </c>
      <c r="L116" s="527" t="str">
        <f t="shared" si="26"/>
        <v>(含)-</v>
      </c>
      <c r="M116" s="527" t="str">
        <f t="shared" si="26"/>
        <v>(含)-</v>
      </c>
      <c r="N116" s="1148"/>
      <c r="O116" s="1148"/>
      <c r="P116" s="45"/>
      <c r="Q116" s="502"/>
    </row>
    <row r="117" spans="1:17" ht="15">
      <c r="A117" s="532"/>
      <c r="B117" s="544"/>
      <c r="C117" s="593">
        <v>0</v>
      </c>
      <c r="D117" s="593">
        <v>20000</v>
      </c>
      <c r="E117" s="593">
        <v>50000</v>
      </c>
      <c r="F117" s="593">
        <v>100000</v>
      </c>
      <c r="G117" s="593">
        <v>150000</v>
      </c>
      <c r="H117" s="593"/>
      <c r="I117" s="593"/>
      <c r="J117" s="594"/>
      <c r="K117" s="594"/>
      <c r="L117" s="595"/>
      <c r="M117" s="596"/>
      <c r="N117" s="1148"/>
      <c r="O117" s="1148"/>
      <c r="P117" s="45"/>
      <c r="Q117" s="502"/>
    </row>
    <row r="118" spans="1:17" ht="15.75" thickBot="1">
      <c r="A118" s="532"/>
      <c r="B118" s="541"/>
      <c r="C118" s="568">
        <v>100</v>
      </c>
      <c r="D118" s="589">
        <v>102</v>
      </c>
      <c r="E118" s="589">
        <v>104</v>
      </c>
      <c r="F118" s="589">
        <v>106</v>
      </c>
      <c r="G118" s="589">
        <v>108</v>
      </c>
      <c r="H118" s="589"/>
      <c r="I118" s="589"/>
      <c r="J118" s="589"/>
      <c r="K118" s="589"/>
      <c r="L118" s="589"/>
      <c r="M118" s="590"/>
      <c r="N118" s="1149"/>
      <c r="O118" s="1149"/>
      <c r="P118" s="45"/>
      <c r="Q118" s="502"/>
    </row>
    <row r="119" spans="1:17" ht="15" thickTop="1">
      <c r="A119" s="597"/>
      <c r="B119" s="536" t="s">
        <v>2772</v>
      </c>
      <c r="C119" s="3074" t="s">
        <v>4628</v>
      </c>
      <c r="D119" s="3074" t="s">
        <v>4629</v>
      </c>
      <c r="E119" s="3074" t="s">
        <v>4630</v>
      </c>
      <c r="F119" s="3074" t="s">
        <v>4631</v>
      </c>
      <c r="G119" s="581"/>
      <c r="H119" s="581"/>
      <c r="I119" s="581"/>
      <c r="J119" s="581"/>
      <c r="K119" s="582"/>
      <c r="L119" s="583"/>
      <c r="M119" s="584"/>
      <c r="N119" s="1148"/>
      <c r="O119" s="1148"/>
      <c r="P119" s="45"/>
      <c r="Q119" s="502"/>
    </row>
    <row r="120" spans="1:17" ht="15.75" thickBot="1">
      <c r="A120" s="532"/>
      <c r="B120" s="541"/>
      <c r="C120" s="542">
        <v>100</v>
      </c>
      <c r="D120" s="542">
        <f t="shared" ref="D120:M120" si="27">C120-$K39</f>
        <v>99</v>
      </c>
      <c r="E120" s="542">
        <f t="shared" si="27"/>
        <v>98</v>
      </c>
      <c r="F120" s="542">
        <f t="shared" si="27"/>
        <v>97</v>
      </c>
      <c r="G120" s="542">
        <f t="shared" si="27"/>
        <v>96</v>
      </c>
      <c r="H120" s="542">
        <f t="shared" si="27"/>
        <v>95</v>
      </c>
      <c r="I120" s="542">
        <f t="shared" si="27"/>
        <v>94</v>
      </c>
      <c r="J120" s="542">
        <f t="shared" si="27"/>
        <v>93</v>
      </c>
      <c r="K120" s="542">
        <f t="shared" si="27"/>
        <v>92</v>
      </c>
      <c r="L120" s="542">
        <f t="shared" si="27"/>
        <v>91</v>
      </c>
      <c r="M120" s="543">
        <f t="shared" si="27"/>
        <v>90</v>
      </c>
      <c r="N120" s="1149"/>
      <c r="O120" s="1149"/>
      <c r="P120" s="45"/>
      <c r="Q120" s="502"/>
    </row>
    <row r="121" spans="1:17" ht="15" hidden="1" thickTop="1">
      <c r="A121" s="597"/>
      <c r="B121" s="536" t="s">
        <v>2773</v>
      </c>
      <c r="C121" s="552"/>
      <c r="D121" s="552"/>
      <c r="E121" s="552"/>
      <c r="F121" s="581"/>
      <c r="G121" s="581"/>
      <c r="H121" s="581"/>
      <c r="I121" s="581"/>
      <c r="J121" s="581"/>
      <c r="K121" s="582"/>
      <c r="L121" s="583"/>
      <c r="M121" s="584"/>
      <c r="N121" s="1148"/>
      <c r="O121" s="1148"/>
      <c r="P121" s="45"/>
      <c r="Q121" s="502"/>
    </row>
    <row r="122" spans="1:17" ht="15.75" hidden="1" thickBot="1">
      <c r="A122" s="532"/>
      <c r="B122" s="541"/>
      <c r="C122" s="542">
        <v>100</v>
      </c>
      <c r="D122" s="542">
        <f t="shared" ref="D122:M122" si="28">C122-$K40</f>
        <v>100</v>
      </c>
      <c r="E122" s="542">
        <f t="shared" si="28"/>
        <v>100</v>
      </c>
      <c r="F122" s="542">
        <f t="shared" si="28"/>
        <v>100</v>
      </c>
      <c r="G122" s="542">
        <f t="shared" si="28"/>
        <v>100</v>
      </c>
      <c r="H122" s="542">
        <f t="shared" si="28"/>
        <v>100</v>
      </c>
      <c r="I122" s="542">
        <f t="shared" si="28"/>
        <v>100</v>
      </c>
      <c r="J122" s="542">
        <f t="shared" si="28"/>
        <v>100</v>
      </c>
      <c r="K122" s="542">
        <f t="shared" si="28"/>
        <v>100</v>
      </c>
      <c r="L122" s="542">
        <f t="shared" si="28"/>
        <v>100</v>
      </c>
      <c r="M122" s="543">
        <f t="shared" si="28"/>
        <v>100</v>
      </c>
      <c r="N122" s="1149"/>
      <c r="O122" s="1149"/>
      <c r="P122" s="45"/>
      <c r="Q122" s="502"/>
    </row>
    <row r="123" spans="1:17" s="469" customFormat="1" ht="15" thickTop="1">
      <c r="A123" s="591"/>
      <c r="B123" s="536" t="s">
        <v>2774</v>
      </c>
      <c r="C123" s="3072" t="s">
        <v>4632</v>
      </c>
      <c r="D123" s="3072" t="s">
        <v>4633</v>
      </c>
      <c r="E123" s="3072" t="s">
        <v>4634</v>
      </c>
      <c r="F123" s="3072" t="s">
        <v>4635</v>
      </c>
      <c r="G123" s="3072" t="s">
        <v>4636</v>
      </c>
      <c r="H123" s="3074" t="s">
        <v>4637</v>
      </c>
      <c r="I123" s="581"/>
      <c r="J123" s="581"/>
      <c r="K123" s="582"/>
      <c r="L123" s="583"/>
      <c r="M123" s="584"/>
      <c r="N123" s="1150"/>
      <c r="O123" s="1150"/>
      <c r="P123" s="556"/>
      <c r="Q123" s="557"/>
    </row>
    <row r="124" spans="1:17" s="469" customFormat="1" ht="15.75" thickBot="1">
      <c r="A124" s="551"/>
      <c r="B124" s="541"/>
      <c r="C124" s="542">
        <v>100</v>
      </c>
      <c r="D124" s="542">
        <f>C124-$K41</f>
        <v>99.5</v>
      </c>
      <c r="E124" s="542">
        <f t="shared" ref="E124:M124" si="29">D124-$K41</f>
        <v>99</v>
      </c>
      <c r="F124" s="542">
        <f t="shared" si="29"/>
        <v>98.5</v>
      </c>
      <c r="G124" s="542">
        <f t="shared" si="29"/>
        <v>98</v>
      </c>
      <c r="H124" s="542">
        <f t="shared" si="29"/>
        <v>97.5</v>
      </c>
      <c r="I124" s="542">
        <f t="shared" si="29"/>
        <v>97</v>
      </c>
      <c r="J124" s="542">
        <f t="shared" si="29"/>
        <v>96.5</v>
      </c>
      <c r="K124" s="542">
        <f t="shared" si="29"/>
        <v>96</v>
      </c>
      <c r="L124" s="542">
        <f t="shared" si="29"/>
        <v>95.5</v>
      </c>
      <c r="M124" s="543">
        <f t="shared" si="29"/>
        <v>95</v>
      </c>
      <c r="N124" s="1150"/>
      <c r="O124" s="1150"/>
      <c r="P124" s="556"/>
      <c r="Q124" s="557"/>
    </row>
    <row r="125" spans="1:17" ht="15" thickTop="1">
      <c r="A125" s="597"/>
      <c r="B125" s="536" t="s">
        <v>2775</v>
      </c>
      <c r="C125" s="3072" t="s">
        <v>4638</v>
      </c>
      <c r="D125" s="3072" t="s">
        <v>4639</v>
      </c>
      <c r="E125" s="581"/>
      <c r="F125" s="581"/>
      <c r="G125" s="581"/>
      <c r="H125" s="581"/>
      <c r="I125" s="581"/>
      <c r="J125" s="581"/>
      <c r="K125" s="582"/>
      <c r="L125" s="583"/>
      <c r="M125" s="584"/>
      <c r="N125" s="1148"/>
      <c r="O125" s="1148"/>
      <c r="P125" s="45"/>
      <c r="Q125" s="502"/>
    </row>
    <row r="126" spans="1:17" ht="15.75" thickBot="1">
      <c r="A126" s="532"/>
      <c r="B126" s="541"/>
      <c r="C126" s="542">
        <v>100</v>
      </c>
      <c r="D126" s="542">
        <f t="shared" ref="D126:M126" si="30">C126-$K42</f>
        <v>98</v>
      </c>
      <c r="E126" s="542">
        <f t="shared" si="30"/>
        <v>96</v>
      </c>
      <c r="F126" s="542">
        <f t="shared" si="30"/>
        <v>94</v>
      </c>
      <c r="G126" s="542">
        <f t="shared" si="30"/>
        <v>92</v>
      </c>
      <c r="H126" s="542">
        <f t="shared" si="30"/>
        <v>90</v>
      </c>
      <c r="I126" s="542">
        <f t="shared" si="30"/>
        <v>88</v>
      </c>
      <c r="J126" s="542">
        <f t="shared" si="30"/>
        <v>86</v>
      </c>
      <c r="K126" s="542">
        <f t="shared" si="30"/>
        <v>84</v>
      </c>
      <c r="L126" s="542">
        <f t="shared" si="30"/>
        <v>82</v>
      </c>
      <c r="M126" s="543">
        <f t="shared" si="30"/>
        <v>80</v>
      </c>
      <c r="N126" s="1149"/>
      <c r="O126" s="1149"/>
      <c r="P126" s="45"/>
      <c r="Q126" s="502"/>
    </row>
    <row r="127" spans="1:17" ht="15" thickTop="1">
      <c r="A127" s="597"/>
      <c r="B127" s="536">
        <f>B43</f>
        <v>111</v>
      </c>
      <c r="C127" s="552"/>
      <c r="D127" s="552"/>
      <c r="E127" s="552"/>
      <c r="F127" s="552"/>
      <c r="G127" s="552"/>
      <c r="H127" s="581"/>
      <c r="I127" s="581"/>
      <c r="J127" s="581"/>
      <c r="K127" s="582"/>
      <c r="L127" s="583"/>
      <c r="M127" s="584"/>
      <c r="N127" s="1148"/>
      <c r="O127" s="1148"/>
      <c r="P127" s="45"/>
      <c r="Q127" s="502"/>
    </row>
    <row r="128" spans="1:17" ht="15.75" thickBot="1">
      <c r="A128" s="532"/>
      <c r="B128" s="541"/>
      <c r="C128" s="558"/>
      <c r="D128" s="558"/>
      <c r="E128" s="558"/>
      <c r="F128" s="558"/>
      <c r="G128" s="534"/>
      <c r="H128" s="534"/>
      <c r="I128" s="534"/>
      <c r="J128" s="534"/>
      <c r="K128" s="534"/>
      <c r="L128" s="534"/>
      <c r="M128" s="535"/>
      <c r="N128" s="1149"/>
      <c r="O128" s="1149"/>
      <c r="P128" s="45"/>
      <c r="Q128" s="502"/>
    </row>
    <row r="129" spans="1:17" ht="15" thickTop="1">
      <c r="A129" s="597"/>
      <c r="B129" s="536">
        <f>B44</f>
        <v>111</v>
      </c>
      <c r="C129" s="521"/>
      <c r="D129" s="521"/>
      <c r="E129" s="521"/>
      <c r="F129" s="521"/>
      <c r="G129" s="581"/>
      <c r="H129" s="581"/>
      <c r="I129" s="581"/>
      <c r="J129" s="581"/>
      <c r="K129" s="582"/>
      <c r="L129" s="583"/>
      <c r="M129" s="584"/>
      <c r="N129" s="1148"/>
      <c r="O129" s="1148"/>
      <c r="P129" s="45"/>
      <c r="Q129" s="502"/>
    </row>
    <row r="130" spans="1:17" ht="15.75" thickBot="1">
      <c r="A130" s="532"/>
      <c r="B130" s="541"/>
      <c r="C130" s="568"/>
      <c r="D130" s="568"/>
      <c r="E130" s="568"/>
      <c r="F130" s="568"/>
      <c r="G130" s="534"/>
      <c r="H130" s="534"/>
      <c r="I130" s="534"/>
      <c r="J130" s="534"/>
      <c r="K130" s="534"/>
      <c r="L130" s="534"/>
      <c r="M130" s="535"/>
      <c r="N130" s="1149"/>
      <c r="O130" s="1149"/>
      <c r="P130" s="45"/>
      <c r="Q130" s="502"/>
    </row>
    <row r="131" spans="1:17" s="469" customFormat="1" ht="15" thickTop="1">
      <c r="A131" s="591"/>
      <c r="B131" s="536">
        <f>B45</f>
        <v>111</v>
      </c>
      <c r="C131" s="521"/>
      <c r="D131" s="521"/>
      <c r="E131" s="521"/>
      <c r="F131" s="521"/>
      <c r="G131" s="553"/>
      <c r="H131" s="553"/>
      <c r="I131" s="553"/>
      <c r="J131" s="553"/>
      <c r="K131" s="553"/>
      <c r="L131" s="554"/>
      <c r="M131" s="555"/>
      <c r="N131" s="1150"/>
      <c r="O131" s="1150"/>
      <c r="P131" s="556"/>
      <c r="Q131" s="557"/>
    </row>
    <row r="132" spans="1:17" s="469" customFormat="1" ht="15.75" thickBot="1">
      <c r="A132" s="566"/>
      <c r="B132" s="698"/>
      <c r="C132" s="568"/>
      <c r="D132" s="568"/>
      <c r="E132" s="568"/>
      <c r="F132" s="568"/>
      <c r="G132" s="589"/>
      <c r="H132" s="589"/>
      <c r="I132" s="589"/>
      <c r="J132" s="589"/>
      <c r="K132" s="589"/>
      <c r="L132" s="589"/>
      <c r="M132" s="590"/>
      <c r="N132" s="1150"/>
      <c r="O132" s="1150"/>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
  <sheetViews>
    <sheetView topLeftCell="A26" zoomScale="85" zoomScaleNormal="85" workbookViewId="0">
      <selection activeCell="K5" sqref="K5"/>
    </sheetView>
  </sheetViews>
  <sheetFormatPr defaultRowHeight="12"/>
  <cols>
    <col min="1" max="1" width="49.625" style="3070" customWidth="1"/>
    <col min="2" max="2" width="7.125" style="3063" bestFit="1" customWidth="1"/>
    <col min="3" max="5" width="17.375" style="3063" bestFit="1" customWidth="1"/>
    <col min="6" max="6" width="15.875" style="3063" bestFit="1" customWidth="1"/>
    <col min="7" max="7" width="8.125" style="3063" customWidth="1"/>
    <col min="8" max="8" width="9" style="3063" bestFit="1" customWidth="1"/>
    <col min="9" max="9" width="11.625" style="3063" bestFit="1" customWidth="1"/>
    <col min="10" max="11" width="13.125" style="3063" bestFit="1" customWidth="1"/>
    <col min="12" max="12" width="18.5" style="3063" bestFit="1" customWidth="1"/>
    <col min="13" max="13" width="7.125" style="3063" bestFit="1" customWidth="1"/>
    <col min="14" max="14" width="31.125" style="3070" customWidth="1"/>
    <col min="15" max="15" width="7.875" style="3063" customWidth="1"/>
    <col min="16" max="16" width="11.25" style="3063" bestFit="1" customWidth="1"/>
    <col min="17" max="17" width="49.25" style="3063" customWidth="1"/>
    <col min="18" max="257" width="9" style="3063"/>
    <col min="258" max="258" width="81" style="3063" customWidth="1"/>
    <col min="259" max="259" width="6.25" style="3063" customWidth="1"/>
    <col min="260" max="262" width="13.875" style="3063" customWidth="1"/>
    <col min="263" max="263" width="10.125" style="3063" customWidth="1"/>
    <col min="264" max="264" width="7.875" style="3063" customWidth="1"/>
    <col min="265" max="265" width="9" style="3063" customWidth="1"/>
    <col min="266" max="267" width="10.625" style="3063" customWidth="1"/>
    <col min="268" max="268" width="14.375" style="3063" customWidth="1"/>
    <col min="269" max="269" width="6.25" style="3063" customWidth="1"/>
    <col min="270" max="270" width="103.75" style="3063" customWidth="1"/>
    <col min="271" max="271" width="7.875" style="3063" customWidth="1"/>
    <col min="272" max="513" width="9" style="3063"/>
    <col min="514" max="514" width="81" style="3063" customWidth="1"/>
    <col min="515" max="515" width="6.25" style="3063" customWidth="1"/>
    <col min="516" max="518" width="13.875" style="3063" customWidth="1"/>
    <col min="519" max="519" width="10.125" style="3063" customWidth="1"/>
    <col min="520" max="520" width="7.875" style="3063" customWidth="1"/>
    <col min="521" max="521" width="9" style="3063" customWidth="1"/>
    <col min="522" max="523" width="10.625" style="3063" customWidth="1"/>
    <col min="524" max="524" width="14.375" style="3063" customWidth="1"/>
    <col min="525" max="525" width="6.25" style="3063" customWidth="1"/>
    <col min="526" max="526" width="103.75" style="3063" customWidth="1"/>
    <col min="527" max="527" width="7.875" style="3063" customWidth="1"/>
    <col min="528" max="769" width="9" style="3063"/>
    <col min="770" max="770" width="81" style="3063" customWidth="1"/>
    <col min="771" max="771" width="6.25" style="3063" customWidth="1"/>
    <col min="772" max="774" width="13.875" style="3063" customWidth="1"/>
    <col min="775" max="775" width="10.125" style="3063" customWidth="1"/>
    <col min="776" max="776" width="7.875" style="3063" customWidth="1"/>
    <col min="777" max="777" width="9" style="3063" customWidth="1"/>
    <col min="778" max="779" width="10.625" style="3063" customWidth="1"/>
    <col min="780" max="780" width="14.375" style="3063" customWidth="1"/>
    <col min="781" max="781" width="6.25" style="3063" customWidth="1"/>
    <col min="782" max="782" width="103.75" style="3063" customWidth="1"/>
    <col min="783" max="783" width="7.875" style="3063" customWidth="1"/>
    <col min="784" max="1025" width="9" style="3063"/>
    <col min="1026" max="1026" width="81" style="3063" customWidth="1"/>
    <col min="1027" max="1027" width="6.25" style="3063" customWidth="1"/>
    <col min="1028" max="1030" width="13.875" style="3063" customWidth="1"/>
    <col min="1031" max="1031" width="10.125" style="3063" customWidth="1"/>
    <col min="1032" max="1032" width="7.875" style="3063" customWidth="1"/>
    <col min="1033" max="1033" width="9" style="3063" customWidth="1"/>
    <col min="1034" max="1035" width="10.625" style="3063" customWidth="1"/>
    <col min="1036" max="1036" width="14.375" style="3063" customWidth="1"/>
    <col min="1037" max="1037" width="6.25" style="3063" customWidth="1"/>
    <col min="1038" max="1038" width="103.75" style="3063" customWidth="1"/>
    <col min="1039" max="1039" width="7.875" style="3063" customWidth="1"/>
    <col min="1040" max="1281" width="9" style="3063"/>
    <col min="1282" max="1282" width="81" style="3063" customWidth="1"/>
    <col min="1283" max="1283" width="6.25" style="3063" customWidth="1"/>
    <col min="1284" max="1286" width="13.875" style="3063" customWidth="1"/>
    <col min="1287" max="1287" width="10.125" style="3063" customWidth="1"/>
    <col min="1288" max="1288" width="7.875" style="3063" customWidth="1"/>
    <col min="1289" max="1289" width="9" style="3063" customWidth="1"/>
    <col min="1290" max="1291" width="10.625" style="3063" customWidth="1"/>
    <col min="1292" max="1292" width="14.375" style="3063" customWidth="1"/>
    <col min="1293" max="1293" width="6.25" style="3063" customWidth="1"/>
    <col min="1294" max="1294" width="103.75" style="3063" customWidth="1"/>
    <col min="1295" max="1295" width="7.875" style="3063" customWidth="1"/>
    <col min="1296" max="1537" width="9" style="3063"/>
    <col min="1538" max="1538" width="81" style="3063" customWidth="1"/>
    <col min="1539" max="1539" width="6.25" style="3063" customWidth="1"/>
    <col min="1540" max="1542" width="13.875" style="3063" customWidth="1"/>
    <col min="1543" max="1543" width="10.125" style="3063" customWidth="1"/>
    <col min="1544" max="1544" width="7.875" style="3063" customWidth="1"/>
    <col min="1545" max="1545" width="9" style="3063" customWidth="1"/>
    <col min="1546" max="1547" width="10.625" style="3063" customWidth="1"/>
    <col min="1548" max="1548" width="14.375" style="3063" customWidth="1"/>
    <col min="1549" max="1549" width="6.25" style="3063" customWidth="1"/>
    <col min="1550" max="1550" width="103.75" style="3063" customWidth="1"/>
    <col min="1551" max="1551" width="7.875" style="3063" customWidth="1"/>
    <col min="1552" max="1793" width="9" style="3063"/>
    <col min="1794" max="1794" width="81" style="3063" customWidth="1"/>
    <col min="1795" max="1795" width="6.25" style="3063" customWidth="1"/>
    <col min="1796" max="1798" width="13.875" style="3063" customWidth="1"/>
    <col min="1799" max="1799" width="10.125" style="3063" customWidth="1"/>
    <col min="1800" max="1800" width="7.875" style="3063" customWidth="1"/>
    <col min="1801" max="1801" width="9" style="3063" customWidth="1"/>
    <col min="1802" max="1803" width="10.625" style="3063" customWidth="1"/>
    <col min="1804" max="1804" width="14.375" style="3063" customWidth="1"/>
    <col min="1805" max="1805" width="6.25" style="3063" customWidth="1"/>
    <col min="1806" max="1806" width="103.75" style="3063" customWidth="1"/>
    <col min="1807" max="1807" width="7.875" style="3063" customWidth="1"/>
    <col min="1808" max="2049" width="9" style="3063"/>
    <col min="2050" max="2050" width="81" style="3063" customWidth="1"/>
    <col min="2051" max="2051" width="6.25" style="3063" customWidth="1"/>
    <col min="2052" max="2054" width="13.875" style="3063" customWidth="1"/>
    <col min="2055" max="2055" width="10.125" style="3063" customWidth="1"/>
    <col min="2056" max="2056" width="7.875" style="3063" customWidth="1"/>
    <col min="2057" max="2057" width="9" style="3063" customWidth="1"/>
    <col min="2058" max="2059" width="10.625" style="3063" customWidth="1"/>
    <col min="2060" max="2060" width="14.375" style="3063" customWidth="1"/>
    <col min="2061" max="2061" width="6.25" style="3063" customWidth="1"/>
    <col min="2062" max="2062" width="103.75" style="3063" customWidth="1"/>
    <col min="2063" max="2063" width="7.875" style="3063" customWidth="1"/>
    <col min="2064" max="2305" width="9" style="3063"/>
    <col min="2306" max="2306" width="81" style="3063" customWidth="1"/>
    <col min="2307" max="2307" width="6.25" style="3063" customWidth="1"/>
    <col min="2308" max="2310" width="13.875" style="3063" customWidth="1"/>
    <col min="2311" max="2311" width="10.125" style="3063" customWidth="1"/>
    <col min="2312" max="2312" width="7.875" style="3063" customWidth="1"/>
    <col min="2313" max="2313" width="9" style="3063" customWidth="1"/>
    <col min="2314" max="2315" width="10.625" style="3063" customWidth="1"/>
    <col min="2316" max="2316" width="14.375" style="3063" customWidth="1"/>
    <col min="2317" max="2317" width="6.25" style="3063" customWidth="1"/>
    <col min="2318" max="2318" width="103.75" style="3063" customWidth="1"/>
    <col min="2319" max="2319" width="7.875" style="3063" customWidth="1"/>
    <col min="2320" max="2561" width="9" style="3063"/>
    <col min="2562" max="2562" width="81" style="3063" customWidth="1"/>
    <col min="2563" max="2563" width="6.25" style="3063" customWidth="1"/>
    <col min="2564" max="2566" width="13.875" style="3063" customWidth="1"/>
    <col min="2567" max="2567" width="10.125" style="3063" customWidth="1"/>
    <col min="2568" max="2568" width="7.875" style="3063" customWidth="1"/>
    <col min="2569" max="2569" width="9" style="3063" customWidth="1"/>
    <col min="2570" max="2571" width="10.625" style="3063" customWidth="1"/>
    <col min="2572" max="2572" width="14.375" style="3063" customWidth="1"/>
    <col min="2573" max="2573" width="6.25" style="3063" customWidth="1"/>
    <col min="2574" max="2574" width="103.75" style="3063" customWidth="1"/>
    <col min="2575" max="2575" width="7.875" style="3063" customWidth="1"/>
    <col min="2576" max="2817" width="9" style="3063"/>
    <col min="2818" max="2818" width="81" style="3063" customWidth="1"/>
    <col min="2819" max="2819" width="6.25" style="3063" customWidth="1"/>
    <col min="2820" max="2822" width="13.875" style="3063" customWidth="1"/>
    <col min="2823" max="2823" width="10.125" style="3063" customWidth="1"/>
    <col min="2824" max="2824" width="7.875" style="3063" customWidth="1"/>
    <col min="2825" max="2825" width="9" style="3063" customWidth="1"/>
    <col min="2826" max="2827" width="10.625" style="3063" customWidth="1"/>
    <col min="2828" max="2828" width="14.375" style="3063" customWidth="1"/>
    <col min="2829" max="2829" width="6.25" style="3063" customWidth="1"/>
    <col min="2830" max="2830" width="103.75" style="3063" customWidth="1"/>
    <col min="2831" max="2831" width="7.875" style="3063" customWidth="1"/>
    <col min="2832" max="3073" width="9" style="3063"/>
    <col min="3074" max="3074" width="81" style="3063" customWidth="1"/>
    <col min="3075" max="3075" width="6.25" style="3063" customWidth="1"/>
    <col min="3076" max="3078" width="13.875" style="3063" customWidth="1"/>
    <col min="3079" max="3079" width="10.125" style="3063" customWidth="1"/>
    <col min="3080" max="3080" width="7.875" style="3063" customWidth="1"/>
    <col min="3081" max="3081" width="9" style="3063" customWidth="1"/>
    <col min="3082" max="3083" width="10.625" style="3063" customWidth="1"/>
    <col min="3084" max="3084" width="14.375" style="3063" customWidth="1"/>
    <col min="3085" max="3085" width="6.25" style="3063" customWidth="1"/>
    <col min="3086" max="3086" width="103.75" style="3063" customWidth="1"/>
    <col min="3087" max="3087" width="7.875" style="3063" customWidth="1"/>
    <col min="3088" max="3329" width="9" style="3063"/>
    <col min="3330" max="3330" width="81" style="3063" customWidth="1"/>
    <col min="3331" max="3331" width="6.25" style="3063" customWidth="1"/>
    <col min="3332" max="3334" width="13.875" style="3063" customWidth="1"/>
    <col min="3335" max="3335" width="10.125" style="3063" customWidth="1"/>
    <col min="3336" max="3336" width="7.875" style="3063" customWidth="1"/>
    <col min="3337" max="3337" width="9" style="3063" customWidth="1"/>
    <col min="3338" max="3339" width="10.625" style="3063" customWidth="1"/>
    <col min="3340" max="3340" width="14.375" style="3063" customWidth="1"/>
    <col min="3341" max="3341" width="6.25" style="3063" customWidth="1"/>
    <col min="3342" max="3342" width="103.75" style="3063" customWidth="1"/>
    <col min="3343" max="3343" width="7.875" style="3063" customWidth="1"/>
    <col min="3344" max="3585" width="9" style="3063"/>
    <col min="3586" max="3586" width="81" style="3063" customWidth="1"/>
    <col min="3587" max="3587" width="6.25" style="3063" customWidth="1"/>
    <col min="3588" max="3590" width="13.875" style="3063" customWidth="1"/>
    <col min="3591" max="3591" width="10.125" style="3063" customWidth="1"/>
    <col min="3592" max="3592" width="7.875" style="3063" customWidth="1"/>
    <col min="3593" max="3593" width="9" style="3063" customWidth="1"/>
    <col min="3594" max="3595" width="10.625" style="3063" customWidth="1"/>
    <col min="3596" max="3596" width="14.375" style="3063" customWidth="1"/>
    <col min="3597" max="3597" width="6.25" style="3063" customWidth="1"/>
    <col min="3598" max="3598" width="103.75" style="3063" customWidth="1"/>
    <col min="3599" max="3599" width="7.875" style="3063" customWidth="1"/>
    <col min="3600" max="3841" width="9" style="3063"/>
    <col min="3842" max="3842" width="81" style="3063" customWidth="1"/>
    <col min="3843" max="3843" width="6.25" style="3063" customWidth="1"/>
    <col min="3844" max="3846" width="13.875" style="3063" customWidth="1"/>
    <col min="3847" max="3847" width="10.125" style="3063" customWidth="1"/>
    <col min="3848" max="3848" width="7.875" style="3063" customWidth="1"/>
    <col min="3849" max="3849" width="9" style="3063" customWidth="1"/>
    <col min="3850" max="3851" width="10.625" style="3063" customWidth="1"/>
    <col min="3852" max="3852" width="14.375" style="3063" customWidth="1"/>
    <col min="3853" max="3853" width="6.25" style="3063" customWidth="1"/>
    <col min="3854" max="3854" width="103.75" style="3063" customWidth="1"/>
    <col min="3855" max="3855" width="7.875" style="3063" customWidth="1"/>
    <col min="3856" max="4097" width="9" style="3063"/>
    <col min="4098" max="4098" width="81" style="3063" customWidth="1"/>
    <col min="4099" max="4099" width="6.25" style="3063" customWidth="1"/>
    <col min="4100" max="4102" width="13.875" style="3063" customWidth="1"/>
    <col min="4103" max="4103" width="10.125" style="3063" customWidth="1"/>
    <col min="4104" max="4104" width="7.875" style="3063" customWidth="1"/>
    <col min="4105" max="4105" width="9" style="3063" customWidth="1"/>
    <col min="4106" max="4107" width="10.625" style="3063" customWidth="1"/>
    <col min="4108" max="4108" width="14.375" style="3063" customWidth="1"/>
    <col min="4109" max="4109" width="6.25" style="3063" customWidth="1"/>
    <col min="4110" max="4110" width="103.75" style="3063" customWidth="1"/>
    <col min="4111" max="4111" width="7.875" style="3063" customWidth="1"/>
    <col min="4112" max="4353" width="9" style="3063"/>
    <col min="4354" max="4354" width="81" style="3063" customWidth="1"/>
    <col min="4355" max="4355" width="6.25" style="3063" customWidth="1"/>
    <col min="4356" max="4358" width="13.875" style="3063" customWidth="1"/>
    <col min="4359" max="4359" width="10.125" style="3063" customWidth="1"/>
    <col min="4360" max="4360" width="7.875" style="3063" customWidth="1"/>
    <col min="4361" max="4361" width="9" style="3063" customWidth="1"/>
    <col min="4362" max="4363" width="10.625" style="3063" customWidth="1"/>
    <col min="4364" max="4364" width="14.375" style="3063" customWidth="1"/>
    <col min="4365" max="4365" width="6.25" style="3063" customWidth="1"/>
    <col min="4366" max="4366" width="103.75" style="3063" customWidth="1"/>
    <col min="4367" max="4367" width="7.875" style="3063" customWidth="1"/>
    <col min="4368" max="4609" width="9" style="3063"/>
    <col min="4610" max="4610" width="81" style="3063" customWidth="1"/>
    <col min="4611" max="4611" width="6.25" style="3063" customWidth="1"/>
    <col min="4612" max="4614" width="13.875" style="3063" customWidth="1"/>
    <col min="4615" max="4615" width="10.125" style="3063" customWidth="1"/>
    <col min="4616" max="4616" width="7.875" style="3063" customWidth="1"/>
    <col min="4617" max="4617" width="9" style="3063" customWidth="1"/>
    <col min="4618" max="4619" width="10.625" style="3063" customWidth="1"/>
    <col min="4620" max="4620" width="14.375" style="3063" customWidth="1"/>
    <col min="4621" max="4621" width="6.25" style="3063" customWidth="1"/>
    <col min="4622" max="4622" width="103.75" style="3063" customWidth="1"/>
    <col min="4623" max="4623" width="7.875" style="3063" customWidth="1"/>
    <col min="4624" max="4865" width="9" style="3063"/>
    <col min="4866" max="4866" width="81" style="3063" customWidth="1"/>
    <col min="4867" max="4867" width="6.25" style="3063" customWidth="1"/>
    <col min="4868" max="4870" width="13.875" style="3063" customWidth="1"/>
    <col min="4871" max="4871" width="10.125" style="3063" customWidth="1"/>
    <col min="4872" max="4872" width="7.875" style="3063" customWidth="1"/>
    <col min="4873" max="4873" width="9" style="3063" customWidth="1"/>
    <col min="4874" max="4875" width="10.625" style="3063" customWidth="1"/>
    <col min="4876" max="4876" width="14.375" style="3063" customWidth="1"/>
    <col min="4877" max="4877" width="6.25" style="3063" customWidth="1"/>
    <col min="4878" max="4878" width="103.75" style="3063" customWidth="1"/>
    <col min="4879" max="4879" width="7.875" style="3063" customWidth="1"/>
    <col min="4880" max="5121" width="9" style="3063"/>
    <col min="5122" max="5122" width="81" style="3063" customWidth="1"/>
    <col min="5123" max="5123" width="6.25" style="3063" customWidth="1"/>
    <col min="5124" max="5126" width="13.875" style="3063" customWidth="1"/>
    <col min="5127" max="5127" width="10.125" style="3063" customWidth="1"/>
    <col min="5128" max="5128" width="7.875" style="3063" customWidth="1"/>
    <col min="5129" max="5129" width="9" style="3063" customWidth="1"/>
    <col min="5130" max="5131" width="10.625" style="3063" customWidth="1"/>
    <col min="5132" max="5132" width="14.375" style="3063" customWidth="1"/>
    <col min="5133" max="5133" width="6.25" style="3063" customWidth="1"/>
    <col min="5134" max="5134" width="103.75" style="3063" customWidth="1"/>
    <col min="5135" max="5135" width="7.875" style="3063" customWidth="1"/>
    <col min="5136" max="5377" width="9" style="3063"/>
    <col min="5378" max="5378" width="81" style="3063" customWidth="1"/>
    <col min="5379" max="5379" width="6.25" style="3063" customWidth="1"/>
    <col min="5380" max="5382" width="13.875" style="3063" customWidth="1"/>
    <col min="5383" max="5383" width="10.125" style="3063" customWidth="1"/>
    <col min="5384" max="5384" width="7.875" style="3063" customWidth="1"/>
    <col min="5385" max="5385" width="9" style="3063" customWidth="1"/>
    <col min="5386" max="5387" width="10.625" style="3063" customWidth="1"/>
    <col min="5388" max="5388" width="14.375" style="3063" customWidth="1"/>
    <col min="5389" max="5389" width="6.25" style="3063" customWidth="1"/>
    <col min="5390" max="5390" width="103.75" style="3063" customWidth="1"/>
    <col min="5391" max="5391" width="7.875" style="3063" customWidth="1"/>
    <col min="5392" max="5633" width="9" style="3063"/>
    <col min="5634" max="5634" width="81" style="3063" customWidth="1"/>
    <col min="5635" max="5635" width="6.25" style="3063" customWidth="1"/>
    <col min="5636" max="5638" width="13.875" style="3063" customWidth="1"/>
    <col min="5639" max="5639" width="10.125" style="3063" customWidth="1"/>
    <col min="5640" max="5640" width="7.875" style="3063" customWidth="1"/>
    <col min="5641" max="5641" width="9" style="3063" customWidth="1"/>
    <col min="5642" max="5643" width="10.625" style="3063" customWidth="1"/>
    <col min="5644" max="5644" width="14.375" style="3063" customWidth="1"/>
    <col min="5645" max="5645" width="6.25" style="3063" customWidth="1"/>
    <col min="5646" max="5646" width="103.75" style="3063" customWidth="1"/>
    <col min="5647" max="5647" width="7.875" style="3063" customWidth="1"/>
    <col min="5648" max="5889" width="9" style="3063"/>
    <col min="5890" max="5890" width="81" style="3063" customWidth="1"/>
    <col min="5891" max="5891" width="6.25" style="3063" customWidth="1"/>
    <col min="5892" max="5894" width="13.875" style="3063" customWidth="1"/>
    <col min="5895" max="5895" width="10.125" style="3063" customWidth="1"/>
    <col min="5896" max="5896" width="7.875" style="3063" customWidth="1"/>
    <col min="5897" max="5897" width="9" style="3063" customWidth="1"/>
    <col min="5898" max="5899" width="10.625" style="3063" customWidth="1"/>
    <col min="5900" max="5900" width="14.375" style="3063" customWidth="1"/>
    <col min="5901" max="5901" width="6.25" style="3063" customWidth="1"/>
    <col min="5902" max="5902" width="103.75" style="3063" customWidth="1"/>
    <col min="5903" max="5903" width="7.875" style="3063" customWidth="1"/>
    <col min="5904" max="6145" width="9" style="3063"/>
    <col min="6146" max="6146" width="81" style="3063" customWidth="1"/>
    <col min="6147" max="6147" width="6.25" style="3063" customWidth="1"/>
    <col min="6148" max="6150" width="13.875" style="3063" customWidth="1"/>
    <col min="6151" max="6151" width="10.125" style="3063" customWidth="1"/>
    <col min="6152" max="6152" width="7.875" style="3063" customWidth="1"/>
    <col min="6153" max="6153" width="9" style="3063" customWidth="1"/>
    <col min="6154" max="6155" width="10.625" style="3063" customWidth="1"/>
    <col min="6156" max="6156" width="14.375" style="3063" customWidth="1"/>
    <col min="6157" max="6157" width="6.25" style="3063" customWidth="1"/>
    <col min="6158" max="6158" width="103.75" style="3063" customWidth="1"/>
    <col min="6159" max="6159" width="7.875" style="3063" customWidth="1"/>
    <col min="6160" max="6401" width="9" style="3063"/>
    <col min="6402" max="6402" width="81" style="3063" customWidth="1"/>
    <col min="6403" max="6403" width="6.25" style="3063" customWidth="1"/>
    <col min="6404" max="6406" width="13.875" style="3063" customWidth="1"/>
    <col min="6407" max="6407" width="10.125" style="3063" customWidth="1"/>
    <col min="6408" max="6408" width="7.875" style="3063" customWidth="1"/>
    <col min="6409" max="6409" width="9" style="3063" customWidth="1"/>
    <col min="6410" max="6411" width="10.625" style="3063" customWidth="1"/>
    <col min="6412" max="6412" width="14.375" style="3063" customWidth="1"/>
    <col min="6413" max="6413" width="6.25" style="3063" customWidth="1"/>
    <col min="6414" max="6414" width="103.75" style="3063" customWidth="1"/>
    <col min="6415" max="6415" width="7.875" style="3063" customWidth="1"/>
    <col min="6416" max="6657" width="9" style="3063"/>
    <col min="6658" max="6658" width="81" style="3063" customWidth="1"/>
    <col min="6659" max="6659" width="6.25" style="3063" customWidth="1"/>
    <col min="6660" max="6662" width="13.875" style="3063" customWidth="1"/>
    <col min="6663" max="6663" width="10.125" style="3063" customWidth="1"/>
    <col min="6664" max="6664" width="7.875" style="3063" customWidth="1"/>
    <col min="6665" max="6665" width="9" style="3063" customWidth="1"/>
    <col min="6666" max="6667" width="10.625" style="3063" customWidth="1"/>
    <col min="6668" max="6668" width="14.375" style="3063" customWidth="1"/>
    <col min="6669" max="6669" width="6.25" style="3063" customWidth="1"/>
    <col min="6670" max="6670" width="103.75" style="3063" customWidth="1"/>
    <col min="6671" max="6671" width="7.875" style="3063" customWidth="1"/>
    <col min="6672" max="6913" width="9" style="3063"/>
    <col min="6914" max="6914" width="81" style="3063" customWidth="1"/>
    <col min="6915" max="6915" width="6.25" style="3063" customWidth="1"/>
    <col min="6916" max="6918" width="13.875" style="3063" customWidth="1"/>
    <col min="6919" max="6919" width="10.125" style="3063" customWidth="1"/>
    <col min="6920" max="6920" width="7.875" style="3063" customWidth="1"/>
    <col min="6921" max="6921" width="9" style="3063" customWidth="1"/>
    <col min="6922" max="6923" width="10.625" style="3063" customWidth="1"/>
    <col min="6924" max="6924" width="14.375" style="3063" customWidth="1"/>
    <col min="6925" max="6925" width="6.25" style="3063" customWidth="1"/>
    <col min="6926" max="6926" width="103.75" style="3063" customWidth="1"/>
    <col min="6927" max="6927" width="7.875" style="3063" customWidth="1"/>
    <col min="6928" max="7169" width="9" style="3063"/>
    <col min="7170" max="7170" width="81" style="3063" customWidth="1"/>
    <col min="7171" max="7171" width="6.25" style="3063" customWidth="1"/>
    <col min="7172" max="7174" width="13.875" style="3063" customWidth="1"/>
    <col min="7175" max="7175" width="10.125" style="3063" customWidth="1"/>
    <col min="7176" max="7176" width="7.875" style="3063" customWidth="1"/>
    <col min="7177" max="7177" width="9" style="3063" customWidth="1"/>
    <col min="7178" max="7179" width="10.625" style="3063" customWidth="1"/>
    <col min="7180" max="7180" width="14.375" style="3063" customWidth="1"/>
    <col min="7181" max="7181" width="6.25" style="3063" customWidth="1"/>
    <col min="7182" max="7182" width="103.75" style="3063" customWidth="1"/>
    <col min="7183" max="7183" width="7.875" style="3063" customWidth="1"/>
    <col min="7184" max="7425" width="9" style="3063"/>
    <col min="7426" max="7426" width="81" style="3063" customWidth="1"/>
    <col min="7427" max="7427" width="6.25" style="3063" customWidth="1"/>
    <col min="7428" max="7430" width="13.875" style="3063" customWidth="1"/>
    <col min="7431" max="7431" width="10.125" style="3063" customWidth="1"/>
    <col min="7432" max="7432" width="7.875" style="3063" customWidth="1"/>
    <col min="7433" max="7433" width="9" style="3063" customWidth="1"/>
    <col min="7434" max="7435" width="10.625" style="3063" customWidth="1"/>
    <col min="7436" max="7436" width="14.375" style="3063" customWidth="1"/>
    <col min="7437" max="7437" width="6.25" style="3063" customWidth="1"/>
    <col min="7438" max="7438" width="103.75" style="3063" customWidth="1"/>
    <col min="7439" max="7439" width="7.875" style="3063" customWidth="1"/>
    <col min="7440" max="7681" width="9" style="3063"/>
    <col min="7682" max="7682" width="81" style="3063" customWidth="1"/>
    <col min="7683" max="7683" width="6.25" style="3063" customWidth="1"/>
    <col min="7684" max="7686" width="13.875" style="3063" customWidth="1"/>
    <col min="7687" max="7687" width="10.125" style="3063" customWidth="1"/>
    <col min="7688" max="7688" width="7.875" style="3063" customWidth="1"/>
    <col min="7689" max="7689" width="9" style="3063" customWidth="1"/>
    <col min="7690" max="7691" width="10.625" style="3063" customWidth="1"/>
    <col min="7692" max="7692" width="14.375" style="3063" customWidth="1"/>
    <col min="7693" max="7693" width="6.25" style="3063" customWidth="1"/>
    <col min="7694" max="7694" width="103.75" style="3063" customWidth="1"/>
    <col min="7695" max="7695" width="7.875" style="3063" customWidth="1"/>
    <col min="7696" max="7937" width="9" style="3063"/>
    <col min="7938" max="7938" width="81" style="3063" customWidth="1"/>
    <col min="7939" max="7939" width="6.25" style="3063" customWidth="1"/>
    <col min="7940" max="7942" width="13.875" style="3063" customWidth="1"/>
    <col min="7943" max="7943" width="10.125" style="3063" customWidth="1"/>
    <col min="7944" max="7944" width="7.875" style="3063" customWidth="1"/>
    <col min="7945" max="7945" width="9" style="3063" customWidth="1"/>
    <col min="7946" max="7947" width="10.625" style="3063" customWidth="1"/>
    <col min="7948" max="7948" width="14.375" style="3063" customWidth="1"/>
    <col min="7949" max="7949" width="6.25" style="3063" customWidth="1"/>
    <col min="7950" max="7950" width="103.75" style="3063" customWidth="1"/>
    <col min="7951" max="7951" width="7.875" style="3063" customWidth="1"/>
    <col min="7952" max="8193" width="9" style="3063"/>
    <col min="8194" max="8194" width="81" style="3063" customWidth="1"/>
    <col min="8195" max="8195" width="6.25" style="3063" customWidth="1"/>
    <col min="8196" max="8198" width="13.875" style="3063" customWidth="1"/>
    <col min="8199" max="8199" width="10.125" style="3063" customWidth="1"/>
    <col min="8200" max="8200" width="7.875" style="3063" customWidth="1"/>
    <col min="8201" max="8201" width="9" style="3063" customWidth="1"/>
    <col min="8202" max="8203" width="10.625" style="3063" customWidth="1"/>
    <col min="8204" max="8204" width="14.375" style="3063" customWidth="1"/>
    <col min="8205" max="8205" width="6.25" style="3063" customWidth="1"/>
    <col min="8206" max="8206" width="103.75" style="3063" customWidth="1"/>
    <col min="8207" max="8207" width="7.875" style="3063" customWidth="1"/>
    <col min="8208" max="8449" width="9" style="3063"/>
    <col min="8450" max="8450" width="81" style="3063" customWidth="1"/>
    <col min="8451" max="8451" width="6.25" style="3063" customWidth="1"/>
    <col min="8452" max="8454" width="13.875" style="3063" customWidth="1"/>
    <col min="8455" max="8455" width="10.125" style="3063" customWidth="1"/>
    <col min="8456" max="8456" width="7.875" style="3063" customWidth="1"/>
    <col min="8457" max="8457" width="9" style="3063" customWidth="1"/>
    <col min="8458" max="8459" width="10.625" style="3063" customWidth="1"/>
    <col min="8460" max="8460" width="14.375" style="3063" customWidth="1"/>
    <col min="8461" max="8461" width="6.25" style="3063" customWidth="1"/>
    <col min="8462" max="8462" width="103.75" style="3063" customWidth="1"/>
    <col min="8463" max="8463" width="7.875" style="3063" customWidth="1"/>
    <col min="8464" max="8705" width="9" style="3063"/>
    <col min="8706" max="8706" width="81" style="3063" customWidth="1"/>
    <col min="8707" max="8707" width="6.25" style="3063" customWidth="1"/>
    <col min="8708" max="8710" width="13.875" style="3063" customWidth="1"/>
    <col min="8711" max="8711" width="10.125" style="3063" customWidth="1"/>
    <col min="8712" max="8712" width="7.875" style="3063" customWidth="1"/>
    <col min="8713" max="8713" width="9" style="3063" customWidth="1"/>
    <col min="8714" max="8715" width="10.625" style="3063" customWidth="1"/>
    <col min="8716" max="8716" width="14.375" style="3063" customWidth="1"/>
    <col min="8717" max="8717" width="6.25" style="3063" customWidth="1"/>
    <col min="8718" max="8718" width="103.75" style="3063" customWidth="1"/>
    <col min="8719" max="8719" width="7.875" style="3063" customWidth="1"/>
    <col min="8720" max="8961" width="9" style="3063"/>
    <col min="8962" max="8962" width="81" style="3063" customWidth="1"/>
    <col min="8963" max="8963" width="6.25" style="3063" customWidth="1"/>
    <col min="8964" max="8966" width="13.875" style="3063" customWidth="1"/>
    <col min="8967" max="8967" width="10.125" style="3063" customWidth="1"/>
    <col min="8968" max="8968" width="7.875" style="3063" customWidth="1"/>
    <col min="8969" max="8969" width="9" style="3063" customWidth="1"/>
    <col min="8970" max="8971" width="10.625" style="3063" customWidth="1"/>
    <col min="8972" max="8972" width="14.375" style="3063" customWidth="1"/>
    <col min="8973" max="8973" width="6.25" style="3063" customWidth="1"/>
    <col min="8974" max="8974" width="103.75" style="3063" customWidth="1"/>
    <col min="8975" max="8975" width="7.875" style="3063" customWidth="1"/>
    <col min="8976" max="9217" width="9" style="3063"/>
    <col min="9218" max="9218" width="81" style="3063" customWidth="1"/>
    <col min="9219" max="9219" width="6.25" style="3063" customWidth="1"/>
    <col min="9220" max="9222" width="13.875" style="3063" customWidth="1"/>
    <col min="9223" max="9223" width="10.125" style="3063" customWidth="1"/>
    <col min="9224" max="9224" width="7.875" style="3063" customWidth="1"/>
    <col min="9225" max="9225" width="9" style="3063" customWidth="1"/>
    <col min="9226" max="9227" width="10.625" style="3063" customWidth="1"/>
    <col min="9228" max="9228" width="14.375" style="3063" customWidth="1"/>
    <col min="9229" max="9229" width="6.25" style="3063" customWidth="1"/>
    <col min="9230" max="9230" width="103.75" style="3063" customWidth="1"/>
    <col min="9231" max="9231" width="7.875" style="3063" customWidth="1"/>
    <col min="9232" max="9473" width="9" style="3063"/>
    <col min="9474" max="9474" width="81" style="3063" customWidth="1"/>
    <col min="9475" max="9475" width="6.25" style="3063" customWidth="1"/>
    <col min="9476" max="9478" width="13.875" style="3063" customWidth="1"/>
    <col min="9479" max="9479" width="10.125" style="3063" customWidth="1"/>
    <col min="9480" max="9480" width="7.875" style="3063" customWidth="1"/>
    <col min="9481" max="9481" width="9" style="3063" customWidth="1"/>
    <col min="9482" max="9483" width="10.625" style="3063" customWidth="1"/>
    <col min="9484" max="9484" width="14.375" style="3063" customWidth="1"/>
    <col min="9485" max="9485" width="6.25" style="3063" customWidth="1"/>
    <col min="9486" max="9486" width="103.75" style="3063" customWidth="1"/>
    <col min="9487" max="9487" width="7.875" style="3063" customWidth="1"/>
    <col min="9488" max="9729" width="9" style="3063"/>
    <col min="9730" max="9730" width="81" style="3063" customWidth="1"/>
    <col min="9731" max="9731" width="6.25" style="3063" customWidth="1"/>
    <col min="9732" max="9734" width="13.875" style="3063" customWidth="1"/>
    <col min="9735" max="9735" width="10.125" style="3063" customWidth="1"/>
    <col min="9736" max="9736" width="7.875" style="3063" customWidth="1"/>
    <col min="9737" max="9737" width="9" style="3063" customWidth="1"/>
    <col min="9738" max="9739" width="10.625" style="3063" customWidth="1"/>
    <col min="9740" max="9740" width="14.375" style="3063" customWidth="1"/>
    <col min="9741" max="9741" width="6.25" style="3063" customWidth="1"/>
    <col min="9742" max="9742" width="103.75" style="3063" customWidth="1"/>
    <col min="9743" max="9743" width="7.875" style="3063" customWidth="1"/>
    <col min="9744" max="9985" width="9" style="3063"/>
    <col min="9986" max="9986" width="81" style="3063" customWidth="1"/>
    <col min="9987" max="9987" width="6.25" style="3063" customWidth="1"/>
    <col min="9988" max="9990" width="13.875" style="3063" customWidth="1"/>
    <col min="9991" max="9991" width="10.125" style="3063" customWidth="1"/>
    <col min="9992" max="9992" width="7.875" style="3063" customWidth="1"/>
    <col min="9993" max="9993" width="9" style="3063" customWidth="1"/>
    <col min="9994" max="9995" width="10.625" style="3063" customWidth="1"/>
    <col min="9996" max="9996" width="14.375" style="3063" customWidth="1"/>
    <col min="9997" max="9997" width="6.25" style="3063" customWidth="1"/>
    <col min="9998" max="9998" width="103.75" style="3063" customWidth="1"/>
    <col min="9999" max="9999" width="7.875" style="3063" customWidth="1"/>
    <col min="10000" max="10241" width="9" style="3063"/>
    <col min="10242" max="10242" width="81" style="3063" customWidth="1"/>
    <col min="10243" max="10243" width="6.25" style="3063" customWidth="1"/>
    <col min="10244" max="10246" width="13.875" style="3063" customWidth="1"/>
    <col min="10247" max="10247" width="10.125" style="3063" customWidth="1"/>
    <col min="10248" max="10248" width="7.875" style="3063" customWidth="1"/>
    <col min="10249" max="10249" width="9" style="3063" customWidth="1"/>
    <col min="10250" max="10251" width="10.625" style="3063" customWidth="1"/>
    <col min="10252" max="10252" width="14.375" style="3063" customWidth="1"/>
    <col min="10253" max="10253" width="6.25" style="3063" customWidth="1"/>
    <col min="10254" max="10254" width="103.75" style="3063" customWidth="1"/>
    <col min="10255" max="10255" width="7.875" style="3063" customWidth="1"/>
    <col min="10256" max="10497" width="9" style="3063"/>
    <col min="10498" max="10498" width="81" style="3063" customWidth="1"/>
    <col min="10499" max="10499" width="6.25" style="3063" customWidth="1"/>
    <col min="10500" max="10502" width="13.875" style="3063" customWidth="1"/>
    <col min="10503" max="10503" width="10.125" style="3063" customWidth="1"/>
    <col min="10504" max="10504" width="7.875" style="3063" customWidth="1"/>
    <col min="10505" max="10505" width="9" style="3063" customWidth="1"/>
    <col min="10506" max="10507" width="10.625" style="3063" customWidth="1"/>
    <col min="10508" max="10508" width="14.375" style="3063" customWidth="1"/>
    <col min="10509" max="10509" width="6.25" style="3063" customWidth="1"/>
    <col min="10510" max="10510" width="103.75" style="3063" customWidth="1"/>
    <col min="10511" max="10511" width="7.875" style="3063" customWidth="1"/>
    <col min="10512" max="10753" width="9" style="3063"/>
    <col min="10754" max="10754" width="81" style="3063" customWidth="1"/>
    <col min="10755" max="10755" width="6.25" style="3063" customWidth="1"/>
    <col min="10756" max="10758" width="13.875" style="3063" customWidth="1"/>
    <col min="10759" max="10759" width="10.125" style="3063" customWidth="1"/>
    <col min="10760" max="10760" width="7.875" style="3063" customWidth="1"/>
    <col min="10761" max="10761" width="9" style="3063" customWidth="1"/>
    <col min="10762" max="10763" width="10.625" style="3063" customWidth="1"/>
    <col min="10764" max="10764" width="14.375" style="3063" customWidth="1"/>
    <col min="10765" max="10765" width="6.25" style="3063" customWidth="1"/>
    <col min="10766" max="10766" width="103.75" style="3063" customWidth="1"/>
    <col min="10767" max="10767" width="7.875" style="3063" customWidth="1"/>
    <col min="10768" max="11009" width="9" style="3063"/>
    <col min="11010" max="11010" width="81" style="3063" customWidth="1"/>
    <col min="11011" max="11011" width="6.25" style="3063" customWidth="1"/>
    <col min="11012" max="11014" width="13.875" style="3063" customWidth="1"/>
    <col min="11015" max="11015" width="10.125" style="3063" customWidth="1"/>
    <col min="11016" max="11016" width="7.875" style="3063" customWidth="1"/>
    <col min="11017" max="11017" width="9" style="3063" customWidth="1"/>
    <col min="11018" max="11019" width="10.625" style="3063" customWidth="1"/>
    <col min="11020" max="11020" width="14.375" style="3063" customWidth="1"/>
    <col min="11021" max="11021" width="6.25" style="3063" customWidth="1"/>
    <col min="11022" max="11022" width="103.75" style="3063" customWidth="1"/>
    <col min="11023" max="11023" width="7.875" style="3063" customWidth="1"/>
    <col min="11024" max="11265" width="9" style="3063"/>
    <col min="11266" max="11266" width="81" style="3063" customWidth="1"/>
    <col min="11267" max="11267" width="6.25" style="3063" customWidth="1"/>
    <col min="11268" max="11270" width="13.875" style="3063" customWidth="1"/>
    <col min="11271" max="11271" width="10.125" style="3063" customWidth="1"/>
    <col min="11272" max="11272" width="7.875" style="3063" customWidth="1"/>
    <col min="11273" max="11273" width="9" style="3063" customWidth="1"/>
    <col min="11274" max="11275" width="10.625" style="3063" customWidth="1"/>
    <col min="11276" max="11276" width="14.375" style="3063" customWidth="1"/>
    <col min="11277" max="11277" width="6.25" style="3063" customWidth="1"/>
    <col min="11278" max="11278" width="103.75" style="3063" customWidth="1"/>
    <col min="11279" max="11279" width="7.875" style="3063" customWidth="1"/>
    <col min="11280" max="11521" width="9" style="3063"/>
    <col min="11522" max="11522" width="81" style="3063" customWidth="1"/>
    <col min="11523" max="11523" width="6.25" style="3063" customWidth="1"/>
    <col min="11524" max="11526" width="13.875" style="3063" customWidth="1"/>
    <col min="11527" max="11527" width="10.125" style="3063" customWidth="1"/>
    <col min="11528" max="11528" width="7.875" style="3063" customWidth="1"/>
    <col min="11529" max="11529" width="9" style="3063" customWidth="1"/>
    <col min="11530" max="11531" width="10.625" style="3063" customWidth="1"/>
    <col min="11532" max="11532" width="14.375" style="3063" customWidth="1"/>
    <col min="11533" max="11533" width="6.25" style="3063" customWidth="1"/>
    <col min="11534" max="11534" width="103.75" style="3063" customWidth="1"/>
    <col min="11535" max="11535" width="7.875" style="3063" customWidth="1"/>
    <col min="11536" max="11777" width="9" style="3063"/>
    <col min="11778" max="11778" width="81" style="3063" customWidth="1"/>
    <col min="11779" max="11779" width="6.25" style="3063" customWidth="1"/>
    <col min="11780" max="11782" width="13.875" style="3063" customWidth="1"/>
    <col min="11783" max="11783" width="10.125" style="3063" customWidth="1"/>
    <col min="11784" max="11784" width="7.875" style="3063" customWidth="1"/>
    <col min="11785" max="11785" width="9" style="3063" customWidth="1"/>
    <col min="11786" max="11787" width="10.625" style="3063" customWidth="1"/>
    <col min="11788" max="11788" width="14.375" style="3063" customWidth="1"/>
    <col min="11789" max="11789" width="6.25" style="3063" customWidth="1"/>
    <col min="11790" max="11790" width="103.75" style="3063" customWidth="1"/>
    <col min="11791" max="11791" width="7.875" style="3063" customWidth="1"/>
    <col min="11792" max="12033" width="9" style="3063"/>
    <col min="12034" max="12034" width="81" style="3063" customWidth="1"/>
    <col min="12035" max="12035" width="6.25" style="3063" customWidth="1"/>
    <col min="12036" max="12038" width="13.875" style="3063" customWidth="1"/>
    <col min="12039" max="12039" width="10.125" style="3063" customWidth="1"/>
    <col min="12040" max="12040" width="7.875" style="3063" customWidth="1"/>
    <col min="12041" max="12041" width="9" style="3063" customWidth="1"/>
    <col min="12042" max="12043" width="10.625" style="3063" customWidth="1"/>
    <col min="12044" max="12044" width="14.375" style="3063" customWidth="1"/>
    <col min="12045" max="12045" width="6.25" style="3063" customWidth="1"/>
    <col min="12046" max="12046" width="103.75" style="3063" customWidth="1"/>
    <col min="12047" max="12047" width="7.875" style="3063" customWidth="1"/>
    <col min="12048" max="12289" width="9" style="3063"/>
    <col min="12290" max="12290" width="81" style="3063" customWidth="1"/>
    <col min="12291" max="12291" width="6.25" style="3063" customWidth="1"/>
    <col min="12292" max="12294" width="13.875" style="3063" customWidth="1"/>
    <col min="12295" max="12295" width="10.125" style="3063" customWidth="1"/>
    <col min="12296" max="12296" width="7.875" style="3063" customWidth="1"/>
    <col min="12297" max="12297" width="9" style="3063" customWidth="1"/>
    <col min="12298" max="12299" width="10.625" style="3063" customWidth="1"/>
    <col min="12300" max="12300" width="14.375" style="3063" customWidth="1"/>
    <col min="12301" max="12301" width="6.25" style="3063" customWidth="1"/>
    <col min="12302" max="12302" width="103.75" style="3063" customWidth="1"/>
    <col min="12303" max="12303" width="7.875" style="3063" customWidth="1"/>
    <col min="12304" max="12545" width="9" style="3063"/>
    <col min="12546" max="12546" width="81" style="3063" customWidth="1"/>
    <col min="12547" max="12547" width="6.25" style="3063" customWidth="1"/>
    <col min="12548" max="12550" width="13.875" style="3063" customWidth="1"/>
    <col min="12551" max="12551" width="10.125" style="3063" customWidth="1"/>
    <col min="12552" max="12552" width="7.875" style="3063" customWidth="1"/>
    <col min="12553" max="12553" width="9" style="3063" customWidth="1"/>
    <col min="12554" max="12555" width="10.625" style="3063" customWidth="1"/>
    <col min="12556" max="12556" width="14.375" style="3063" customWidth="1"/>
    <col min="12557" max="12557" width="6.25" style="3063" customWidth="1"/>
    <col min="12558" max="12558" width="103.75" style="3063" customWidth="1"/>
    <col min="12559" max="12559" width="7.875" style="3063" customWidth="1"/>
    <col min="12560" max="12801" width="9" style="3063"/>
    <col min="12802" max="12802" width="81" style="3063" customWidth="1"/>
    <col min="12803" max="12803" width="6.25" style="3063" customWidth="1"/>
    <col min="12804" max="12806" width="13.875" style="3063" customWidth="1"/>
    <col min="12807" max="12807" width="10.125" style="3063" customWidth="1"/>
    <col min="12808" max="12808" width="7.875" style="3063" customWidth="1"/>
    <col min="12809" max="12809" width="9" style="3063" customWidth="1"/>
    <col min="12810" max="12811" width="10.625" style="3063" customWidth="1"/>
    <col min="12812" max="12812" width="14.375" style="3063" customWidth="1"/>
    <col min="12813" max="12813" width="6.25" style="3063" customWidth="1"/>
    <col min="12814" max="12814" width="103.75" style="3063" customWidth="1"/>
    <col min="12815" max="12815" width="7.875" style="3063" customWidth="1"/>
    <col min="12816" max="13057" width="9" style="3063"/>
    <col min="13058" max="13058" width="81" style="3063" customWidth="1"/>
    <col min="13059" max="13059" width="6.25" style="3063" customWidth="1"/>
    <col min="13060" max="13062" width="13.875" style="3063" customWidth="1"/>
    <col min="13063" max="13063" width="10.125" style="3063" customWidth="1"/>
    <col min="13064" max="13064" width="7.875" style="3063" customWidth="1"/>
    <col min="13065" max="13065" width="9" style="3063" customWidth="1"/>
    <col min="13066" max="13067" width="10.625" style="3063" customWidth="1"/>
    <col min="13068" max="13068" width="14.375" style="3063" customWidth="1"/>
    <col min="13069" max="13069" width="6.25" style="3063" customWidth="1"/>
    <col min="13070" max="13070" width="103.75" style="3063" customWidth="1"/>
    <col min="13071" max="13071" width="7.875" style="3063" customWidth="1"/>
    <col min="13072" max="13313" width="9" style="3063"/>
    <col min="13314" max="13314" width="81" style="3063" customWidth="1"/>
    <col min="13315" max="13315" width="6.25" style="3063" customWidth="1"/>
    <col min="13316" max="13318" width="13.875" style="3063" customWidth="1"/>
    <col min="13319" max="13319" width="10.125" style="3063" customWidth="1"/>
    <col min="13320" max="13320" width="7.875" style="3063" customWidth="1"/>
    <col min="13321" max="13321" width="9" style="3063" customWidth="1"/>
    <col min="13322" max="13323" width="10.625" style="3063" customWidth="1"/>
    <col min="13324" max="13324" width="14.375" style="3063" customWidth="1"/>
    <col min="13325" max="13325" width="6.25" style="3063" customWidth="1"/>
    <col min="13326" max="13326" width="103.75" style="3063" customWidth="1"/>
    <col min="13327" max="13327" width="7.875" style="3063" customWidth="1"/>
    <col min="13328" max="13569" width="9" style="3063"/>
    <col min="13570" max="13570" width="81" style="3063" customWidth="1"/>
    <col min="13571" max="13571" width="6.25" style="3063" customWidth="1"/>
    <col min="13572" max="13574" width="13.875" style="3063" customWidth="1"/>
    <col min="13575" max="13575" width="10.125" style="3063" customWidth="1"/>
    <col min="13576" max="13576" width="7.875" style="3063" customWidth="1"/>
    <col min="13577" max="13577" width="9" style="3063" customWidth="1"/>
    <col min="13578" max="13579" width="10.625" style="3063" customWidth="1"/>
    <col min="13580" max="13580" width="14.375" style="3063" customWidth="1"/>
    <col min="13581" max="13581" width="6.25" style="3063" customWidth="1"/>
    <col min="13582" max="13582" width="103.75" style="3063" customWidth="1"/>
    <col min="13583" max="13583" width="7.875" style="3063" customWidth="1"/>
    <col min="13584" max="13825" width="9" style="3063"/>
    <col min="13826" max="13826" width="81" style="3063" customWidth="1"/>
    <col min="13827" max="13827" width="6.25" style="3063" customWidth="1"/>
    <col min="13828" max="13830" width="13.875" style="3063" customWidth="1"/>
    <col min="13831" max="13831" width="10.125" style="3063" customWidth="1"/>
    <col min="13832" max="13832" width="7.875" style="3063" customWidth="1"/>
    <col min="13833" max="13833" width="9" style="3063" customWidth="1"/>
    <col min="13834" max="13835" width="10.625" style="3063" customWidth="1"/>
    <col min="13836" max="13836" width="14.375" style="3063" customWidth="1"/>
    <col min="13837" max="13837" width="6.25" style="3063" customWidth="1"/>
    <col min="13838" max="13838" width="103.75" style="3063" customWidth="1"/>
    <col min="13839" max="13839" width="7.875" style="3063" customWidth="1"/>
    <col min="13840" max="14081" width="9" style="3063"/>
    <col min="14082" max="14082" width="81" style="3063" customWidth="1"/>
    <col min="14083" max="14083" width="6.25" style="3063" customWidth="1"/>
    <col min="14084" max="14086" width="13.875" style="3063" customWidth="1"/>
    <col min="14087" max="14087" width="10.125" style="3063" customWidth="1"/>
    <col min="14088" max="14088" width="7.875" style="3063" customWidth="1"/>
    <col min="14089" max="14089" width="9" style="3063" customWidth="1"/>
    <col min="14090" max="14091" width="10.625" style="3063" customWidth="1"/>
    <col min="14092" max="14092" width="14.375" style="3063" customWidth="1"/>
    <col min="14093" max="14093" width="6.25" style="3063" customWidth="1"/>
    <col min="14094" max="14094" width="103.75" style="3063" customWidth="1"/>
    <col min="14095" max="14095" width="7.875" style="3063" customWidth="1"/>
    <col min="14096" max="14337" width="9" style="3063"/>
    <col min="14338" max="14338" width="81" style="3063" customWidth="1"/>
    <col min="14339" max="14339" width="6.25" style="3063" customWidth="1"/>
    <col min="14340" max="14342" width="13.875" style="3063" customWidth="1"/>
    <col min="14343" max="14343" width="10.125" style="3063" customWidth="1"/>
    <col min="14344" max="14344" width="7.875" style="3063" customWidth="1"/>
    <col min="14345" max="14345" width="9" style="3063" customWidth="1"/>
    <col min="14346" max="14347" width="10.625" style="3063" customWidth="1"/>
    <col min="14348" max="14348" width="14.375" style="3063" customWidth="1"/>
    <col min="14349" max="14349" width="6.25" style="3063" customWidth="1"/>
    <col min="14350" max="14350" width="103.75" style="3063" customWidth="1"/>
    <col min="14351" max="14351" width="7.875" style="3063" customWidth="1"/>
    <col min="14352" max="14593" width="9" style="3063"/>
    <col min="14594" max="14594" width="81" style="3063" customWidth="1"/>
    <col min="14595" max="14595" width="6.25" style="3063" customWidth="1"/>
    <col min="14596" max="14598" width="13.875" style="3063" customWidth="1"/>
    <col min="14599" max="14599" width="10.125" style="3063" customWidth="1"/>
    <col min="14600" max="14600" width="7.875" style="3063" customWidth="1"/>
    <col min="14601" max="14601" width="9" style="3063" customWidth="1"/>
    <col min="14602" max="14603" width="10.625" style="3063" customWidth="1"/>
    <col min="14604" max="14604" width="14.375" style="3063" customWidth="1"/>
    <col min="14605" max="14605" width="6.25" style="3063" customWidth="1"/>
    <col min="14606" max="14606" width="103.75" style="3063" customWidth="1"/>
    <col min="14607" max="14607" width="7.875" style="3063" customWidth="1"/>
    <col min="14608" max="14849" width="9" style="3063"/>
    <col min="14850" max="14850" width="81" style="3063" customWidth="1"/>
    <col min="14851" max="14851" width="6.25" style="3063" customWidth="1"/>
    <col min="14852" max="14854" width="13.875" style="3063" customWidth="1"/>
    <col min="14855" max="14855" width="10.125" style="3063" customWidth="1"/>
    <col min="14856" max="14856" width="7.875" style="3063" customWidth="1"/>
    <col min="14857" max="14857" width="9" style="3063" customWidth="1"/>
    <col min="14858" max="14859" width="10.625" style="3063" customWidth="1"/>
    <col min="14860" max="14860" width="14.375" style="3063" customWidth="1"/>
    <col min="14861" max="14861" width="6.25" style="3063" customWidth="1"/>
    <col min="14862" max="14862" width="103.75" style="3063" customWidth="1"/>
    <col min="14863" max="14863" width="7.875" style="3063" customWidth="1"/>
    <col min="14864" max="15105" width="9" style="3063"/>
    <col min="15106" max="15106" width="81" style="3063" customWidth="1"/>
    <col min="15107" max="15107" width="6.25" style="3063" customWidth="1"/>
    <col min="15108" max="15110" width="13.875" style="3063" customWidth="1"/>
    <col min="15111" max="15111" width="10.125" style="3063" customWidth="1"/>
    <col min="15112" max="15112" width="7.875" style="3063" customWidth="1"/>
    <col min="15113" max="15113" width="9" style="3063" customWidth="1"/>
    <col min="15114" max="15115" width="10.625" style="3063" customWidth="1"/>
    <col min="15116" max="15116" width="14.375" style="3063" customWidth="1"/>
    <col min="15117" max="15117" width="6.25" style="3063" customWidth="1"/>
    <col min="15118" max="15118" width="103.75" style="3063" customWidth="1"/>
    <col min="15119" max="15119" width="7.875" style="3063" customWidth="1"/>
    <col min="15120" max="15361" width="9" style="3063"/>
    <col min="15362" max="15362" width="81" style="3063" customWidth="1"/>
    <col min="15363" max="15363" width="6.25" style="3063" customWidth="1"/>
    <col min="15364" max="15366" width="13.875" style="3063" customWidth="1"/>
    <col min="15367" max="15367" width="10.125" style="3063" customWidth="1"/>
    <col min="15368" max="15368" width="7.875" style="3063" customWidth="1"/>
    <col min="15369" max="15369" width="9" style="3063" customWidth="1"/>
    <col min="15370" max="15371" width="10.625" style="3063" customWidth="1"/>
    <col min="15372" max="15372" width="14.375" style="3063" customWidth="1"/>
    <col min="15373" max="15373" width="6.25" style="3063" customWidth="1"/>
    <col min="15374" max="15374" width="103.75" style="3063" customWidth="1"/>
    <col min="15375" max="15375" width="7.875" style="3063" customWidth="1"/>
    <col min="15376" max="15617" width="9" style="3063"/>
    <col min="15618" max="15618" width="81" style="3063" customWidth="1"/>
    <col min="15619" max="15619" width="6.25" style="3063" customWidth="1"/>
    <col min="15620" max="15622" width="13.875" style="3063" customWidth="1"/>
    <col min="15623" max="15623" width="10.125" style="3063" customWidth="1"/>
    <col min="15624" max="15624" width="7.875" style="3063" customWidth="1"/>
    <col min="15625" max="15625" width="9" style="3063" customWidth="1"/>
    <col min="15626" max="15627" width="10.625" style="3063" customWidth="1"/>
    <col min="15628" max="15628" width="14.375" style="3063" customWidth="1"/>
    <col min="15629" max="15629" width="6.25" style="3063" customWidth="1"/>
    <col min="15630" max="15630" width="103.75" style="3063" customWidth="1"/>
    <col min="15631" max="15631" width="7.875" style="3063" customWidth="1"/>
    <col min="15632" max="15873" width="9" style="3063"/>
    <col min="15874" max="15874" width="81" style="3063" customWidth="1"/>
    <col min="15875" max="15875" width="6.25" style="3063" customWidth="1"/>
    <col min="15876" max="15878" width="13.875" style="3063" customWidth="1"/>
    <col min="15879" max="15879" width="10.125" style="3063" customWidth="1"/>
    <col min="15880" max="15880" width="7.875" style="3063" customWidth="1"/>
    <col min="15881" max="15881" width="9" style="3063" customWidth="1"/>
    <col min="15882" max="15883" width="10.625" style="3063" customWidth="1"/>
    <col min="15884" max="15884" width="14.375" style="3063" customWidth="1"/>
    <col min="15885" max="15885" width="6.25" style="3063" customWidth="1"/>
    <col min="15886" max="15886" width="103.75" style="3063" customWidth="1"/>
    <col min="15887" max="15887" width="7.875" style="3063" customWidth="1"/>
    <col min="15888" max="16129" width="9" style="3063"/>
    <col min="16130" max="16130" width="81" style="3063" customWidth="1"/>
    <col min="16131" max="16131" width="6.25" style="3063" customWidth="1"/>
    <col min="16132" max="16134" width="13.875" style="3063" customWidth="1"/>
    <col min="16135" max="16135" width="10.125" style="3063" customWidth="1"/>
    <col min="16136" max="16136" width="7.875" style="3063" customWidth="1"/>
    <col min="16137" max="16137" width="9" style="3063" customWidth="1"/>
    <col min="16138" max="16139" width="10.625" style="3063" customWidth="1"/>
    <col min="16140" max="16140" width="14.375" style="3063" customWidth="1"/>
    <col min="16141" max="16141" width="6.25" style="3063" customWidth="1"/>
    <col min="16142" max="16142" width="103.75" style="3063" customWidth="1"/>
    <col min="16143" max="16143" width="7.875" style="3063" customWidth="1"/>
    <col min="16144" max="16384" width="9" style="3063"/>
  </cols>
  <sheetData>
    <row r="1" spans="1:18" s="3060" customFormat="1" ht="24">
      <c r="A1" s="3059" t="s">
        <v>4546</v>
      </c>
      <c r="B1" s="3059" t="s">
        <v>4547</v>
      </c>
      <c r="C1" s="3059" t="s">
        <v>4548</v>
      </c>
      <c r="D1" s="3059" t="s">
        <v>4549</v>
      </c>
      <c r="E1" s="3059" t="s">
        <v>4550</v>
      </c>
      <c r="F1" s="3059" t="s">
        <v>4551</v>
      </c>
      <c r="G1" s="3059" t="s">
        <v>4612</v>
      </c>
      <c r="H1" s="3059" t="s">
        <v>4552</v>
      </c>
      <c r="I1" s="3059" t="s">
        <v>4553</v>
      </c>
      <c r="J1" s="3059" t="s">
        <v>4554</v>
      </c>
      <c r="K1" s="3059" t="s">
        <v>4555</v>
      </c>
      <c r="L1" s="3059" t="s">
        <v>4556</v>
      </c>
      <c r="M1" s="3059" t="s">
        <v>4557</v>
      </c>
      <c r="N1" s="3059" t="s">
        <v>4558</v>
      </c>
      <c r="O1" s="3059" t="s">
        <v>4559</v>
      </c>
    </row>
    <row r="2" spans="1:18" ht="24">
      <c r="A2" s="3061" t="s">
        <v>4560</v>
      </c>
      <c r="B2" s="3062" t="s">
        <v>4442</v>
      </c>
      <c r="C2" s="3062" t="s">
        <v>4561</v>
      </c>
      <c r="D2" s="3062">
        <v>146640.21</v>
      </c>
      <c r="E2" s="3062">
        <v>288410</v>
      </c>
      <c r="F2" s="3062" t="s">
        <v>4562</v>
      </c>
      <c r="G2" s="3062">
        <f>ROUND(E2/D2,2)</f>
        <v>1.97</v>
      </c>
      <c r="H2" s="3062" t="s">
        <v>4563</v>
      </c>
      <c r="I2" s="3062" t="s">
        <v>4564</v>
      </c>
      <c r="J2" s="3062">
        <v>430000</v>
      </c>
      <c r="K2" s="3062">
        <v>430000</v>
      </c>
      <c r="L2" s="3062">
        <v>14909.32</v>
      </c>
      <c r="M2" s="3062">
        <v>0</v>
      </c>
      <c r="N2" s="3061" t="s">
        <v>4565</v>
      </c>
      <c r="O2" s="3062" t="s">
        <v>4566</v>
      </c>
    </row>
    <row r="3" spans="1:18" ht="24">
      <c r="A3" s="3061" t="s">
        <v>4567</v>
      </c>
      <c r="B3" s="3062" t="s">
        <v>4442</v>
      </c>
      <c r="C3" s="3062" t="s">
        <v>4568</v>
      </c>
      <c r="D3" s="3062">
        <v>96884.68</v>
      </c>
      <c r="E3" s="3062">
        <v>145327</v>
      </c>
      <c r="F3" s="3062" t="s">
        <v>4569</v>
      </c>
      <c r="G3" s="3062">
        <f t="shared" ref="G3:G18" si="0">ROUND(E3/D3,2)</f>
        <v>1.5</v>
      </c>
      <c r="H3" s="3062" t="s">
        <v>4563</v>
      </c>
      <c r="I3" s="3062" t="s">
        <v>4570</v>
      </c>
      <c r="J3" s="3062">
        <v>340000</v>
      </c>
      <c r="K3" s="3062">
        <v>410000</v>
      </c>
      <c r="L3" s="3062">
        <v>28212.240000000002</v>
      </c>
      <c r="M3" s="3062">
        <v>20.59</v>
      </c>
      <c r="N3" s="3061" t="s">
        <v>4571</v>
      </c>
      <c r="O3" s="3062" t="s">
        <v>4566</v>
      </c>
    </row>
    <row r="4" spans="1:18" ht="24">
      <c r="A4" s="3061" t="s">
        <v>4572</v>
      </c>
      <c r="B4" s="3062" t="s">
        <v>4442</v>
      </c>
      <c r="C4" s="3062" t="s">
        <v>4568</v>
      </c>
      <c r="D4" s="3062">
        <v>21403.13</v>
      </c>
      <c r="E4" s="3062">
        <v>38526</v>
      </c>
      <c r="F4" s="3062">
        <v>1.8</v>
      </c>
      <c r="G4" s="3062">
        <f t="shared" si="0"/>
        <v>1.8</v>
      </c>
      <c r="H4" s="3062" t="s">
        <v>4563</v>
      </c>
      <c r="I4" s="3062" t="s">
        <v>4573</v>
      </c>
      <c r="J4" s="3062">
        <v>71000</v>
      </c>
      <c r="K4" s="3062">
        <v>92000</v>
      </c>
      <c r="L4" s="3062">
        <v>23879.97</v>
      </c>
      <c r="M4" s="3062">
        <v>29.58</v>
      </c>
      <c r="N4" s="3061" t="s">
        <v>4574</v>
      </c>
      <c r="O4" s="3062" t="s">
        <v>4575</v>
      </c>
    </row>
    <row r="5" spans="1:18" s="3066" customFormat="1" ht="35.25" customHeight="1">
      <c r="A5" s="3064" t="s">
        <v>4738</v>
      </c>
      <c r="B5" s="3065" t="s">
        <v>4442</v>
      </c>
      <c r="C5" s="3065" t="s">
        <v>4568</v>
      </c>
      <c r="D5" s="3065">
        <v>43325.9</v>
      </c>
      <c r="E5" s="3065">
        <v>64988</v>
      </c>
      <c r="F5" s="3065">
        <v>1.5</v>
      </c>
      <c r="G5" s="3065">
        <f t="shared" si="0"/>
        <v>1.5</v>
      </c>
      <c r="H5" s="3065" t="s">
        <v>4563</v>
      </c>
      <c r="I5" s="3065" t="s">
        <v>4573</v>
      </c>
      <c r="J5" s="3065">
        <v>190000</v>
      </c>
      <c r="K5" s="3065">
        <v>204000</v>
      </c>
      <c r="L5" s="3065">
        <v>31390.400000000001</v>
      </c>
      <c r="M5" s="3065">
        <v>7.37</v>
      </c>
      <c r="N5" s="3064" t="s">
        <v>4576</v>
      </c>
      <c r="O5" s="3065" t="s">
        <v>4575</v>
      </c>
      <c r="R5" s="3065" t="s">
        <v>4614</v>
      </c>
    </row>
    <row r="6" spans="1:18" ht="24">
      <c r="A6" s="3061" t="s">
        <v>4577</v>
      </c>
      <c r="B6" s="3062" t="s">
        <v>4442</v>
      </c>
      <c r="C6" s="3062" t="s">
        <v>4561</v>
      </c>
      <c r="D6" s="3062">
        <v>28367.279999999999</v>
      </c>
      <c r="E6" s="3062">
        <v>42028</v>
      </c>
      <c r="F6" s="3062">
        <v>1.48</v>
      </c>
      <c r="G6" s="3062">
        <f t="shared" si="0"/>
        <v>1.48</v>
      </c>
      <c r="H6" s="3062" t="s">
        <v>4563</v>
      </c>
      <c r="I6" s="3062" t="s">
        <v>4578</v>
      </c>
      <c r="J6" s="3062">
        <v>76000</v>
      </c>
      <c r="K6" s="3062">
        <v>88500</v>
      </c>
      <c r="L6" s="3062">
        <v>21057.38</v>
      </c>
      <c r="M6" s="3062">
        <v>16.45</v>
      </c>
      <c r="N6" s="3061" t="s">
        <v>4579</v>
      </c>
      <c r="O6" s="3062" t="s">
        <v>4575</v>
      </c>
    </row>
    <row r="7" spans="1:18" ht="24">
      <c r="A7" s="3061" t="s">
        <v>4580</v>
      </c>
      <c r="B7" s="3062" t="s">
        <v>4442</v>
      </c>
      <c r="C7" s="3062" t="s">
        <v>4561</v>
      </c>
      <c r="D7" s="3062">
        <v>69856.02</v>
      </c>
      <c r="E7" s="3062">
        <v>104180</v>
      </c>
      <c r="F7" s="3062">
        <v>1.49</v>
      </c>
      <c r="G7" s="3062">
        <f t="shared" si="0"/>
        <v>1.49</v>
      </c>
      <c r="H7" s="3062" t="s">
        <v>4563</v>
      </c>
      <c r="I7" s="3062" t="s">
        <v>4578</v>
      </c>
      <c r="J7" s="3062">
        <v>190000</v>
      </c>
      <c r="K7" s="3062">
        <v>233000</v>
      </c>
      <c r="L7" s="3062">
        <v>22365.13</v>
      </c>
      <c r="M7" s="3062">
        <v>22.63</v>
      </c>
      <c r="N7" s="3061" t="s">
        <v>4581</v>
      </c>
      <c r="O7" s="3062" t="s">
        <v>4582</v>
      </c>
    </row>
    <row r="8" spans="1:18" ht="24">
      <c r="A8" s="3061" t="s">
        <v>4583</v>
      </c>
      <c r="B8" s="3062" t="s">
        <v>4442</v>
      </c>
      <c r="C8" s="3062" t="s">
        <v>4568</v>
      </c>
      <c r="D8" s="3062">
        <v>41663.440000000002</v>
      </c>
      <c r="E8" s="3062">
        <v>70828</v>
      </c>
      <c r="F8" s="3062">
        <v>1.7</v>
      </c>
      <c r="G8" s="3062">
        <f t="shared" si="0"/>
        <v>1.7</v>
      </c>
      <c r="H8" s="3062" t="s">
        <v>4563</v>
      </c>
      <c r="I8" s="3062" t="s">
        <v>4584</v>
      </c>
      <c r="J8" s="3062">
        <v>76700</v>
      </c>
      <c r="K8" s="3062">
        <v>77900</v>
      </c>
      <c r="L8" s="3062">
        <v>10998.47</v>
      </c>
      <c r="M8" s="3062">
        <v>1.56</v>
      </c>
      <c r="N8" s="3061" t="s">
        <v>4585</v>
      </c>
      <c r="O8" s="3062" t="s">
        <v>4575</v>
      </c>
    </row>
    <row r="9" spans="1:18" ht="24">
      <c r="A9" s="3061" t="s">
        <v>4737</v>
      </c>
      <c r="B9" s="3062" t="s">
        <v>4442</v>
      </c>
      <c r="C9" s="3062" t="s">
        <v>4568</v>
      </c>
      <c r="D9" s="3062">
        <v>66475.23</v>
      </c>
      <c r="E9" s="3062">
        <v>132950</v>
      </c>
      <c r="F9" s="3062">
        <v>2</v>
      </c>
      <c r="G9" s="3062">
        <f t="shared" si="0"/>
        <v>2</v>
      </c>
      <c r="H9" s="3062" t="s">
        <v>4563</v>
      </c>
      <c r="I9" s="3062" t="s">
        <v>4584</v>
      </c>
      <c r="J9" s="3062">
        <v>380000</v>
      </c>
      <c r="K9" s="3062">
        <v>450000</v>
      </c>
      <c r="L9" s="3062">
        <v>33847.300000000003</v>
      </c>
      <c r="M9" s="3062">
        <v>18.420000000000002</v>
      </c>
      <c r="N9" s="3061" t="s">
        <v>4586</v>
      </c>
      <c r="O9" s="3062" t="s">
        <v>4582</v>
      </c>
      <c r="R9" s="3063" t="s">
        <v>4614</v>
      </c>
    </row>
    <row r="10" spans="1:18" ht="24">
      <c r="A10" s="3061" t="s">
        <v>4587</v>
      </c>
      <c r="B10" s="3062" t="s">
        <v>4442</v>
      </c>
      <c r="C10" s="3062" t="s">
        <v>4561</v>
      </c>
      <c r="D10" s="3062">
        <v>76571.12</v>
      </c>
      <c r="E10" s="3062">
        <v>132728</v>
      </c>
      <c r="F10" s="3062">
        <v>1.73</v>
      </c>
      <c r="G10" s="3062">
        <f t="shared" si="0"/>
        <v>1.73</v>
      </c>
      <c r="H10" s="3062" t="s">
        <v>4563</v>
      </c>
      <c r="I10" s="3062" t="s">
        <v>4584</v>
      </c>
      <c r="J10" s="3062">
        <v>165000</v>
      </c>
      <c r="K10" s="3062">
        <v>194500</v>
      </c>
      <c r="L10" s="3062">
        <v>14654.03</v>
      </c>
      <c r="M10" s="3062">
        <v>17.88</v>
      </c>
      <c r="N10" s="3061" t="s">
        <v>4588</v>
      </c>
      <c r="O10" s="3062" t="s">
        <v>4589</v>
      </c>
    </row>
    <row r="11" spans="1:18" s="3069" customFormat="1" ht="24">
      <c r="A11" s="3067" t="s">
        <v>4644</v>
      </c>
      <c r="B11" s="3068" t="s">
        <v>4442</v>
      </c>
      <c r="C11" s="3068" t="s">
        <v>4568</v>
      </c>
      <c r="D11" s="3068">
        <v>36365.370000000003</v>
      </c>
      <c r="E11" s="3068">
        <v>65458</v>
      </c>
      <c r="F11" s="3068">
        <v>1.8</v>
      </c>
      <c r="G11" s="3068">
        <f t="shared" si="0"/>
        <v>1.8</v>
      </c>
      <c r="H11" s="3068" t="s">
        <v>4563</v>
      </c>
      <c r="I11" s="3068" t="s">
        <v>4590</v>
      </c>
      <c r="J11" s="3068">
        <v>180000</v>
      </c>
      <c r="K11" s="3068">
        <v>260000</v>
      </c>
      <c r="L11" s="3068">
        <v>39720</v>
      </c>
      <c r="M11" s="3068">
        <v>44.44</v>
      </c>
      <c r="N11" s="3067" t="s">
        <v>4591</v>
      </c>
      <c r="O11" s="3068" t="s">
        <v>4582</v>
      </c>
      <c r="P11" s="3056">
        <v>0</v>
      </c>
      <c r="R11" s="3069" t="s">
        <v>4615</v>
      </c>
    </row>
    <row r="12" spans="1:18" s="3069" customFormat="1" ht="24">
      <c r="A12" s="3067" t="s">
        <v>4592</v>
      </c>
      <c r="B12" s="3068" t="s">
        <v>4442</v>
      </c>
      <c r="C12" s="3068" t="s">
        <v>4561</v>
      </c>
      <c r="D12" s="3068">
        <v>151738.6</v>
      </c>
      <c r="E12" s="3068">
        <v>152374</v>
      </c>
      <c r="F12" s="3068">
        <v>1.004</v>
      </c>
      <c r="G12" s="3068">
        <f t="shared" si="0"/>
        <v>1</v>
      </c>
      <c r="H12" s="3068" t="s">
        <v>4563</v>
      </c>
      <c r="I12" s="3068" t="s">
        <v>4593</v>
      </c>
      <c r="J12" s="3068">
        <v>460000</v>
      </c>
      <c r="K12" s="3068">
        <v>685400</v>
      </c>
      <c r="L12" s="3068">
        <v>44981</v>
      </c>
      <c r="M12" s="3068">
        <v>49</v>
      </c>
      <c r="N12" s="3067" t="s">
        <v>4594</v>
      </c>
      <c r="O12" s="3068" t="s">
        <v>4582</v>
      </c>
      <c r="P12" s="3056">
        <v>0.16</v>
      </c>
      <c r="R12" s="3069" t="s">
        <v>4677</v>
      </c>
    </row>
    <row r="13" spans="1:18" ht="24">
      <c r="A13" s="3061" t="s">
        <v>4595</v>
      </c>
      <c r="B13" s="3062" t="s">
        <v>4442</v>
      </c>
      <c r="C13" s="3062" t="s">
        <v>4561</v>
      </c>
      <c r="D13" s="3062">
        <v>132352.79999999999</v>
      </c>
      <c r="E13" s="3062">
        <v>201775</v>
      </c>
      <c r="F13" s="3062">
        <v>1.52</v>
      </c>
      <c r="G13" s="3062">
        <f t="shared" si="0"/>
        <v>1.52</v>
      </c>
      <c r="H13" s="3062" t="s">
        <v>4563</v>
      </c>
      <c r="I13" s="3062" t="s">
        <v>4596</v>
      </c>
      <c r="J13" s="3062">
        <v>365000</v>
      </c>
      <c r="K13" s="3062">
        <v>380000</v>
      </c>
      <c r="L13" s="3062">
        <v>18832.86</v>
      </c>
      <c r="M13" s="3062">
        <v>4.1100000000000003</v>
      </c>
      <c r="N13" s="3061" t="s">
        <v>4597</v>
      </c>
      <c r="O13" s="3062" t="s">
        <v>4575</v>
      </c>
      <c r="P13" s="3057"/>
    </row>
    <row r="14" spans="1:18" s="3069" customFormat="1" ht="36">
      <c r="A14" s="3067" t="s">
        <v>4598</v>
      </c>
      <c r="B14" s="3068" t="s">
        <v>4442</v>
      </c>
      <c r="C14" s="3068" t="s">
        <v>4561</v>
      </c>
      <c r="D14" s="3068">
        <v>65602.95</v>
      </c>
      <c r="E14" s="3068">
        <v>120165</v>
      </c>
      <c r="F14" s="3068">
        <v>1.83</v>
      </c>
      <c r="G14" s="3068">
        <f t="shared" si="0"/>
        <v>1.83</v>
      </c>
      <c r="H14" s="3068" t="s">
        <v>4563</v>
      </c>
      <c r="I14" s="3068" t="s">
        <v>4599</v>
      </c>
      <c r="J14" s="3068">
        <v>330000</v>
      </c>
      <c r="K14" s="3068">
        <v>495000</v>
      </c>
      <c r="L14" s="3068">
        <v>41193</v>
      </c>
      <c r="M14" s="3068">
        <v>50</v>
      </c>
      <c r="N14" s="3067" t="s">
        <v>4600</v>
      </c>
      <c r="O14" s="3068" t="s">
        <v>4589</v>
      </c>
      <c r="P14" s="3056">
        <v>0.12</v>
      </c>
      <c r="R14" s="3069" t="s">
        <v>4680</v>
      </c>
    </row>
    <row r="15" spans="1:18" ht="24">
      <c r="A15" s="3061" t="s">
        <v>4601</v>
      </c>
      <c r="B15" s="3062" t="s">
        <v>4442</v>
      </c>
      <c r="C15" s="3062" t="s">
        <v>4561</v>
      </c>
      <c r="D15" s="3062">
        <v>151051.70000000001</v>
      </c>
      <c r="E15" s="3062">
        <v>274253</v>
      </c>
      <c r="F15" s="3062" t="s">
        <v>4602</v>
      </c>
      <c r="G15" s="3062">
        <f t="shared" si="0"/>
        <v>1.82</v>
      </c>
      <c r="H15" s="3062" t="s">
        <v>4563</v>
      </c>
      <c r="I15" s="3062" t="s">
        <v>4603</v>
      </c>
      <c r="J15" s="3062">
        <v>385000</v>
      </c>
      <c r="K15" s="3062">
        <v>502000</v>
      </c>
      <c r="L15" s="3062">
        <v>18304.27</v>
      </c>
      <c r="M15" s="3062">
        <v>30.39</v>
      </c>
      <c r="N15" s="3061" t="s">
        <v>4594</v>
      </c>
      <c r="O15" s="3062" t="s">
        <v>4589</v>
      </c>
      <c r="P15" s="3057"/>
    </row>
    <row r="16" spans="1:18" s="3066" customFormat="1" ht="48">
      <c r="A16" s="3064" t="s">
        <v>4604</v>
      </c>
      <c r="B16" s="3065" t="s">
        <v>4442</v>
      </c>
      <c r="C16" s="3065" t="s">
        <v>4568</v>
      </c>
      <c r="D16" s="3065">
        <v>155132.79999999999</v>
      </c>
      <c r="E16" s="3065">
        <v>156684</v>
      </c>
      <c r="F16" s="3065">
        <v>1.009999305</v>
      </c>
      <c r="G16" s="3065">
        <f t="shared" si="0"/>
        <v>1.01</v>
      </c>
      <c r="H16" s="3065" t="s">
        <v>4563</v>
      </c>
      <c r="I16" s="3065" t="s">
        <v>4605</v>
      </c>
      <c r="J16" s="3065">
        <v>470000</v>
      </c>
      <c r="K16" s="3065">
        <v>705000</v>
      </c>
      <c r="L16" s="3065">
        <v>44995.01</v>
      </c>
      <c r="M16" s="3065">
        <v>50</v>
      </c>
      <c r="N16" s="3064" t="s">
        <v>4606</v>
      </c>
      <c r="O16" s="3065" t="s">
        <v>4566</v>
      </c>
      <c r="P16" s="3058">
        <v>0.36</v>
      </c>
      <c r="Q16" s="3064" t="s">
        <v>4613</v>
      </c>
      <c r="R16" s="3066" t="s">
        <v>4617</v>
      </c>
    </row>
    <row r="17" spans="1:15">
      <c r="A17" s="3061" t="s">
        <v>4607</v>
      </c>
      <c r="B17" s="3062" t="s">
        <v>4442</v>
      </c>
      <c r="C17" s="3062" t="s">
        <v>4568</v>
      </c>
      <c r="D17" s="3062">
        <v>41170.230000000003</v>
      </c>
      <c r="E17" s="3062">
        <v>60109</v>
      </c>
      <c r="F17" s="3062">
        <v>1.46</v>
      </c>
      <c r="G17" s="3062">
        <f t="shared" si="0"/>
        <v>1.46</v>
      </c>
      <c r="H17" s="3062" t="s">
        <v>4563</v>
      </c>
      <c r="I17" s="3062" t="s">
        <v>4608</v>
      </c>
      <c r="J17" s="3062">
        <v>88000</v>
      </c>
      <c r="K17" s="3062">
        <v>121000</v>
      </c>
      <c r="L17" s="3062">
        <v>20130.09</v>
      </c>
      <c r="M17" s="3062">
        <v>37.5</v>
      </c>
      <c r="N17" s="3061" t="s">
        <v>4609</v>
      </c>
      <c r="O17" s="3062" t="s">
        <v>4582</v>
      </c>
    </row>
    <row r="18" spans="1:15" ht="24">
      <c r="A18" s="3061" t="s">
        <v>4610</v>
      </c>
      <c r="B18" s="3062" t="s">
        <v>4442</v>
      </c>
      <c r="C18" s="3062" t="s">
        <v>4568</v>
      </c>
      <c r="D18" s="3062">
        <v>45104.74</v>
      </c>
      <c r="E18" s="3062">
        <v>112093</v>
      </c>
      <c r="F18" s="3062">
        <v>2.5</v>
      </c>
      <c r="G18" s="3062">
        <f t="shared" si="0"/>
        <v>2.4900000000000002</v>
      </c>
      <c r="H18" s="3062" t="s">
        <v>4563</v>
      </c>
      <c r="I18" s="3062" t="s">
        <v>4608</v>
      </c>
      <c r="J18" s="3062">
        <v>130000</v>
      </c>
      <c r="K18" s="3062">
        <v>193000</v>
      </c>
      <c r="L18" s="3062">
        <v>17217.84</v>
      </c>
      <c r="M18" s="3062">
        <v>48.46</v>
      </c>
      <c r="N18" s="3061" t="s">
        <v>4611</v>
      </c>
      <c r="O18" s="3062" t="s">
        <v>4582</v>
      </c>
    </row>
  </sheetData>
  <phoneticPr fontId="143"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16" workbookViewId="0">
      <selection activeCell="C32" sqref="C32"/>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8" t="s">
        <v>2444</v>
      </c>
      <c r="B1" s="1575"/>
      <c r="C1" s="1576"/>
      <c r="D1" s="1574"/>
      <c r="E1" s="318"/>
      <c r="F1" s="318"/>
      <c r="G1" s="1575"/>
      <c r="H1" s="318"/>
      <c r="I1" s="318"/>
      <c r="J1" s="318"/>
      <c r="K1" s="318" t="e">
        <f>MATCH(C1,'数据-取费表'!A6:A16,0)+5</f>
        <v>#N/A</v>
      </c>
    </row>
    <row r="2" spans="1:33" ht="18" customHeight="1">
      <c r="A2" s="243" t="s">
        <v>2312</v>
      </c>
      <c r="B2" s="246">
        <f ca="1">C32</f>
        <v>333220</v>
      </c>
      <c r="C2" s="318" t="s">
        <v>2445</v>
      </c>
      <c r="D2" s="318"/>
      <c r="E2" s="318"/>
      <c r="F2" s="318"/>
      <c r="G2" s="318"/>
      <c r="H2" s="318"/>
      <c r="I2" s="318"/>
      <c r="J2" s="318"/>
      <c r="K2" s="318"/>
    </row>
    <row r="3" spans="1:33" ht="18" customHeight="1" thickBot="1">
      <c r="A3" s="245" t="s">
        <v>2314</v>
      </c>
      <c r="B3" s="246">
        <f ca="1">ROUND(B2*10000/IF(C1="",'数据-汇总表'!E3,INDIRECT("'数据-取费表'!K"&amp;$K$1)),0)</f>
        <v>22327</v>
      </c>
      <c r="C3" s="318" t="s">
        <v>2446</v>
      </c>
      <c r="D3" s="318"/>
      <c r="E3" s="318"/>
      <c r="F3" s="318"/>
      <c r="G3" s="318"/>
      <c r="H3" s="318"/>
      <c r="I3" s="318"/>
      <c r="J3" s="318"/>
      <c r="K3" s="318"/>
    </row>
    <row r="4" spans="1:33" s="954" customFormat="1" ht="16.5" customHeight="1">
      <c r="A4" s="951" t="s">
        <v>2447</v>
      </c>
      <c r="B4" s="952"/>
      <c r="C4" s="994">
        <f ca="1">SUM(C8:K8)</f>
        <v>429622</v>
      </c>
      <c r="D4" s="952"/>
      <c r="E4" s="952"/>
      <c r="F4" s="952"/>
      <c r="G4" s="952"/>
      <c r="H4" s="952"/>
      <c r="I4" s="952"/>
      <c r="J4" s="952"/>
      <c r="K4" s="953"/>
    </row>
    <row r="5" spans="1:33" s="958" customFormat="1" ht="25.5">
      <c r="A5" s="955" t="s">
        <v>2448</v>
      </c>
      <c r="B5" s="956" t="s">
        <v>2449</v>
      </c>
      <c r="C5" s="2538" t="s">
        <v>4472</v>
      </c>
      <c r="D5" s="2538" t="s">
        <v>4713</v>
      </c>
      <c r="E5" s="2538" t="s">
        <v>3211</v>
      </c>
      <c r="F5" s="2538" t="s">
        <v>1372</v>
      </c>
      <c r="G5" s="2538" t="s">
        <v>48</v>
      </c>
      <c r="H5" s="2538" t="s">
        <v>4715</v>
      </c>
      <c r="I5" s="2538" t="s">
        <v>4525</v>
      </c>
      <c r="J5" s="2538" t="s">
        <v>4717</v>
      </c>
      <c r="K5" s="2538"/>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8" t="s">
        <v>2450</v>
      </c>
      <c r="C6" s="960">
        <f>合院清单!H1201</f>
        <v>60125</v>
      </c>
      <c r="D6" s="960">
        <f>洋房清单!P66</f>
        <v>46629</v>
      </c>
      <c r="E6" s="960">
        <f ca="1">'收益法（自持住宅）'!B3</f>
        <v>14143</v>
      </c>
      <c r="F6" s="960">
        <f ca="1">'收益法（商业）'!B3</f>
        <v>22215</v>
      </c>
      <c r="G6" s="960">
        <f>'比较法-车位'!B3</f>
        <v>8083</v>
      </c>
      <c r="H6" s="960">
        <f ca="1">'收益法（仓储）'!B3</f>
        <v>6276</v>
      </c>
      <c r="I6" s="960">
        <f>合院清单!H1202</f>
        <v>30000</v>
      </c>
      <c r="J6" s="960">
        <f>洋房清单!P67</f>
        <v>19305</v>
      </c>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2451</v>
      </c>
      <c r="B7" s="138" t="s">
        <v>2452</v>
      </c>
      <c r="C7" s="319">
        <f>SUMIF('数据-汇总表'!$C19:$C33,假设开发法!C5,'数据-汇总表'!$E19:$E33)</f>
        <v>32718.36</v>
      </c>
      <c r="D7" s="319">
        <f>SUMIF('数据-汇总表'!$C19:$C33,假设开发法!D5,'数据-汇总表'!$E19:$E33)</f>
        <v>7640.3099999999995</v>
      </c>
      <c r="E7" s="319">
        <f>SUMIF('数据-汇总表'!$C19:$C33,假设开发法!E5,'数据-汇总表'!$E19:$E33)</f>
        <v>32388.770000000004</v>
      </c>
      <c r="F7" s="319">
        <f>SUMIF('数据-汇总表'!$C19:$C33,假设开发法!F5,'数据-汇总表'!$E19:$E33)</f>
        <v>645.96</v>
      </c>
      <c r="G7" s="319">
        <f>SUMIF('数据-汇总表'!$C19:$C33,假设开发法!G5,'数据-汇总表'!$E19:$E33)</f>
        <v>21662.76</v>
      </c>
      <c r="H7" s="319">
        <f>SUMIF('数据-汇总表'!$C19:$C33,假设开发法!H5,'数据-汇总表'!$E19:$E33)</f>
        <v>5827.19</v>
      </c>
      <c r="I7" s="319">
        <f>SUMIF('数据-汇总表'!$C19:$C33,假设开发法!I5,'数据-汇总表'!$E19:$E33)</f>
        <v>41549.64</v>
      </c>
      <c r="J7" s="319">
        <f>SUMIF('数据-汇总表'!$C19:$C33,假设开发法!J5,'数据-汇总表'!$E19:$E33)</f>
        <v>2186.04</v>
      </c>
      <c r="K7" s="320">
        <f>SUMIF('数据-汇总表'!$C19:$C33,假设开发法!K5,'数据-汇总表'!$E19:$E33)</f>
        <v>0</v>
      </c>
      <c r="L7" s="962">
        <f>196719+124649+35626+4220+45806+1435+17510+3657</f>
        <v>429622</v>
      </c>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39" t="s">
        <v>2453</v>
      </c>
      <c r="B8" s="175" t="s">
        <v>2454</v>
      </c>
      <c r="C8" s="995">
        <f>ROUND(C6*C7/10000,0)</f>
        <v>196719</v>
      </c>
      <c r="D8" s="995">
        <f>ROUND(D6*D7/10000,0)</f>
        <v>35626</v>
      </c>
      <c r="E8" s="3122">
        <f ca="1">'收益法（自持住宅）'!B2</f>
        <v>45806</v>
      </c>
      <c r="F8" s="3122">
        <f ca="1">'收益法（商业）'!B2</f>
        <v>1435</v>
      </c>
      <c r="G8" s="995">
        <f>'比较法-车位'!B2</f>
        <v>17510</v>
      </c>
      <c r="H8" s="3122">
        <f ca="1">'收益法（仓储）'!B2</f>
        <v>3657</v>
      </c>
      <c r="I8" s="995">
        <f>ROUND(I6*I7/10000,0)</f>
        <v>124649</v>
      </c>
      <c r="J8" s="995">
        <f>ROUND(J6*J7/10000,0)</f>
        <v>4220</v>
      </c>
      <c r="K8" s="996"/>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2455</v>
      </c>
      <c r="B9" s="952"/>
      <c r="C9" s="952"/>
      <c r="D9" s="952"/>
      <c r="E9" s="952"/>
      <c r="F9" s="952"/>
      <c r="G9" s="952"/>
      <c r="H9" s="952"/>
      <c r="I9" s="952"/>
      <c r="J9" s="952"/>
      <c r="K9" s="953"/>
    </row>
    <row r="10" spans="1:33" s="968" customFormat="1" ht="13.5" customHeight="1">
      <c r="A10" s="955" t="s">
        <v>2456</v>
      </c>
      <c r="B10" s="8" t="s">
        <v>2457</v>
      </c>
      <c r="C10" s="964" t="s">
        <v>2458</v>
      </c>
      <c r="D10" s="965" t="s">
        <v>2459</v>
      </c>
      <c r="E10" s="965" t="s">
        <v>2460</v>
      </c>
      <c r="F10" s="965" t="s">
        <v>2461</v>
      </c>
      <c r="G10" s="8"/>
      <c r="H10" s="966"/>
      <c r="I10" s="966"/>
      <c r="J10" s="966"/>
      <c r="K10" s="967"/>
    </row>
    <row r="11" spans="1:33" s="973" customFormat="1" ht="13.5" customHeight="1">
      <c r="A11" s="969" t="s">
        <v>1329</v>
      </c>
      <c r="B11" s="970" t="s">
        <v>2462</v>
      </c>
      <c r="C11" s="321">
        <f ca="1">IF(C1="",'数据-取费表'!P16,INDIRECT("'数据-取费表'!p"&amp;$K$1)+INDIRECT("'数据-取费表'!ar"&amp;$K$1))</f>
        <v>21504</v>
      </c>
      <c r="D11" s="971"/>
      <c r="E11" s="373"/>
      <c r="F11" s="972">
        <f ca="1">1-IF('数据-取费表'!B24=0,1,IF(C1="",'数据-取费表'!N16,INDIRECT("'数据-取费表'!n"&amp;$K$1)))</f>
        <v>0.44999999999999996</v>
      </c>
      <c r="G11" s="8"/>
      <c r="H11" s="966"/>
      <c r="I11" s="966"/>
      <c r="J11" s="966"/>
      <c r="K11" s="967"/>
    </row>
    <row r="12" spans="1:33" s="973" customFormat="1" ht="13.5" customHeight="1">
      <c r="A12" s="969" t="s">
        <v>1330</v>
      </c>
      <c r="B12" s="970" t="s">
        <v>2463</v>
      </c>
      <c r="C12" s="24">
        <f ca="1">ROUND(C11*F12,0)</f>
        <v>645</v>
      </c>
      <c r="D12" s="971"/>
      <c r="E12" s="373"/>
      <c r="F12" s="974">
        <f>'数据-取费表'!B33</f>
        <v>0.03</v>
      </c>
      <c r="G12" s="8" t="s">
        <v>2464</v>
      </c>
      <c r="H12" s="966"/>
      <c r="I12" s="966"/>
      <c r="J12" s="966"/>
      <c r="K12" s="967"/>
    </row>
    <row r="13" spans="1:33" s="973" customFormat="1" ht="13.5" customHeight="1">
      <c r="A13" s="969" t="s">
        <v>1331</v>
      </c>
      <c r="B13" s="970" t="s">
        <v>2465</v>
      </c>
      <c r="C13" s="24">
        <f ca="1">ROUND(IF(C1="",SUMIF('数据-取费表'!C:C,"住宅",'数据-取费表'!P:P)*F13,IF(INDIRECT("'数据-取费表'!c"&amp;$K$1)="住宅",INDIRECT("'数据-取费表'!P"&amp;$K$1)*F13,0)),0)</f>
        <v>655</v>
      </c>
      <c r="D13" s="1030"/>
      <c r="E13" s="373"/>
      <c r="F13" s="974">
        <f>'数据-取费表'!B34</f>
        <v>0.05</v>
      </c>
      <c r="G13" s="8" t="s">
        <v>2466</v>
      </c>
      <c r="H13" s="966"/>
      <c r="I13" s="966"/>
      <c r="J13" s="966"/>
      <c r="K13" s="967"/>
      <c r="L13" s="973">
        <f>(5889+1375+5830)*5%</f>
        <v>654.70000000000005</v>
      </c>
    </row>
    <row r="14" spans="1:33" s="975" customFormat="1" ht="13.5" customHeight="1">
      <c r="A14" s="969" t="s">
        <v>1332</v>
      </c>
      <c r="B14" s="970" t="s">
        <v>2467</v>
      </c>
      <c r="C14" s="24">
        <f ca="1">ROUND(D14*E14*F11/10000,0)</f>
        <v>1343</v>
      </c>
      <c r="D14" s="1030">
        <f ca="1">IF(C1="",'数据-汇总表'!E3,INDIRECT("'数据-取费表'!K"&amp;$K$1)+INDIRECT("'数据-取费表'!S"&amp;$K$1))</f>
        <v>149246.95000000001</v>
      </c>
      <c r="E14" s="24">
        <f>'数据-取费表'!B35</f>
        <v>200</v>
      </c>
      <c r="F14" s="974"/>
      <c r="G14" s="8" t="s">
        <v>2468</v>
      </c>
      <c r="H14" s="966"/>
      <c r="I14" s="966"/>
      <c r="J14" s="966"/>
      <c r="K14" s="967"/>
      <c r="L14" s="973">
        <f>149246.95*200*45%/10000</f>
        <v>1343.2225500000002</v>
      </c>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1333</v>
      </c>
      <c r="B15" s="970" t="s">
        <v>2469</v>
      </c>
      <c r="C15" s="981">
        <f ca="1">ROUND(C11*F15,0)</f>
        <v>323</v>
      </c>
      <c r="D15" s="976"/>
      <c r="E15" s="981"/>
      <c r="F15" s="982">
        <f>'数据-取费表'!B36</f>
        <v>1.4999999999999999E-2</v>
      </c>
      <c r="G15" s="138" t="s">
        <v>2470</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2471</v>
      </c>
      <c r="C16" s="981">
        <f ca="1">SUM(C11:C15)</f>
        <v>24470</v>
      </c>
      <c r="D16" s="976"/>
      <c r="E16" s="981"/>
      <c r="F16" s="982"/>
      <c r="G16" s="138"/>
      <c r="H16" s="1572"/>
      <c r="I16" s="977"/>
      <c r="J16" s="977"/>
      <c r="K16" s="978"/>
      <c r="L16" s="973">
        <f>21504+645+655+1343+323</f>
        <v>24470</v>
      </c>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2472</v>
      </c>
      <c r="C17" s="24">
        <f ca="1">ROUND(D17*E17/10000,0)</f>
        <v>0</v>
      </c>
      <c r="D17" s="1030">
        <f ca="1">D14</f>
        <v>149246.95000000001</v>
      </c>
      <c r="E17" s="24">
        <f>'数据-取费表'!B32</f>
        <v>0</v>
      </c>
      <c r="F17" s="976"/>
      <c r="G17" s="138" t="s">
        <v>2473</v>
      </c>
      <c r="H17" s="1572"/>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1334</v>
      </c>
      <c r="B18" s="970" t="s">
        <v>2474</v>
      </c>
      <c r="C18" s="24">
        <f ca="1">C19+C20-IF(C1="",'数据-取费表'!B29,IF(G18="已全部缴纳",C19+C20,H18))</f>
        <v>0</v>
      </c>
      <c r="D18" s="1030"/>
      <c r="E18" s="24"/>
      <c r="F18" s="974"/>
      <c r="G18" s="2540"/>
      <c r="H18" s="1571"/>
      <c r="I18" s="2541" t="s">
        <v>2475</v>
      </c>
      <c r="J18" s="977"/>
      <c r="K18" s="978"/>
    </row>
    <row r="19" spans="1:33" s="973" customFormat="1" ht="13.5" customHeight="1">
      <c r="A19" s="969" t="s">
        <v>805</v>
      </c>
      <c r="B19" s="970" t="s">
        <v>2476</v>
      </c>
      <c r="C19" s="24">
        <f ca="1">ROUND(D19*E19/10000,0)</f>
        <v>0</v>
      </c>
      <c r="D19" s="1030">
        <f ca="1">IF(C1="",'数据-汇总表'!E5,IF(INDIRECT("'数据-取费表'!c"&amp;$K$1)="住宅",INDIRECT("'数据-取费表'!k"&amp;$K$1),0))</f>
        <v>72747.44</v>
      </c>
      <c r="E19" s="24">
        <f>'数据-取费表'!B27</f>
        <v>0</v>
      </c>
      <c r="F19" s="974"/>
      <c r="G19" s="15"/>
      <c r="H19" s="1573"/>
      <c r="I19" s="979"/>
      <c r="J19" s="979"/>
      <c r="K19" s="980"/>
    </row>
    <row r="20" spans="1:33" s="973" customFormat="1" ht="13.5" customHeight="1">
      <c r="A20" s="969" t="s">
        <v>806</v>
      </c>
      <c r="B20" s="970" t="s">
        <v>2477</v>
      </c>
      <c r="C20" s="24">
        <f ca="1">ROUND(D20*E20/10000,0)</f>
        <v>0</v>
      </c>
      <c r="D20" s="1030">
        <f ca="1">IF(C1="",'数据-汇总表'!E6,IF(INDIRECT("'数据-取费表'!c"&amp;$K$1)="住宅",INDIRECT("'数据-取费表'!s"&amp;$K$1),INDIRECT("'数据-取费表'!k"&amp;$K$1)+INDIRECT("'数据-取费表'!s"&amp;$K$1)))</f>
        <v>76499.510000000009</v>
      </c>
      <c r="E20" s="24">
        <f>'数据-取费表'!B28</f>
        <v>0</v>
      </c>
      <c r="F20" s="974"/>
      <c r="G20" s="15"/>
      <c r="H20" s="979"/>
      <c r="I20" s="979"/>
      <c r="J20" s="979"/>
      <c r="K20" s="980"/>
    </row>
    <row r="21" spans="1:33" s="973" customFormat="1" ht="13.5" customHeight="1">
      <c r="A21" s="959" t="s">
        <v>802</v>
      </c>
      <c r="B21" s="983" t="s">
        <v>2478</v>
      </c>
      <c r="C21" s="984">
        <f ca="1">C16+C17+C18</f>
        <v>24470</v>
      </c>
      <c r="D21" s="985"/>
      <c r="E21" s="323"/>
      <c r="F21" s="323"/>
      <c r="G21" s="138" t="s">
        <v>2479</v>
      </c>
      <c r="H21" s="977"/>
      <c r="I21" s="977"/>
      <c r="J21" s="977"/>
      <c r="K21" s="978"/>
    </row>
    <row r="22" spans="1:33" s="973" customFormat="1" ht="13.5" customHeight="1">
      <c r="A22" s="959" t="s">
        <v>2451</v>
      </c>
      <c r="B22" s="983" t="s">
        <v>2480</v>
      </c>
      <c r="C22" s="984">
        <f ca="1">ROUND(C21*F22,0)</f>
        <v>734</v>
      </c>
      <c r="D22" s="323"/>
      <c r="E22" s="323"/>
      <c r="F22" s="986">
        <f>'数据-取费表'!B37</f>
        <v>0.03</v>
      </c>
      <c r="G22" s="8" t="s">
        <v>2481</v>
      </c>
      <c r="H22" s="966"/>
      <c r="I22" s="966"/>
      <c r="J22" s="966"/>
      <c r="K22" s="967"/>
    </row>
    <row r="23" spans="1:33" s="973" customFormat="1" ht="13.5" customHeight="1">
      <c r="A23" s="959" t="s">
        <v>2453</v>
      </c>
      <c r="B23" s="983" t="s">
        <v>2482</v>
      </c>
      <c r="C23" s="984">
        <f ca="1">ROUND(C4*F23*F11,0)</f>
        <v>5800</v>
      </c>
      <c r="D23" s="323"/>
      <c r="E23" s="323"/>
      <c r="F23" s="986">
        <f>'数据-取费表'!B38</f>
        <v>0.03</v>
      </c>
      <c r="G23" s="8" t="s">
        <v>2483</v>
      </c>
      <c r="H23" s="966"/>
      <c r="I23" s="966"/>
      <c r="J23" s="966"/>
      <c r="K23" s="967"/>
      <c r="L23" s="973">
        <f>429622*45%*3%</f>
        <v>5799.8969999999999</v>
      </c>
    </row>
    <row r="24" spans="1:33" s="973" customFormat="1" ht="13.5" customHeight="1">
      <c r="A24" s="959" t="s">
        <v>2484</v>
      </c>
      <c r="B24" s="983" t="s">
        <v>2485</v>
      </c>
      <c r="C24" s="322">
        <f>ROUND(F24/(1+'数据-取费表'!C42),4)</f>
        <v>2.9000000000000001E-2</v>
      </c>
      <c r="D24" s="323" t="s">
        <v>15</v>
      </c>
      <c r="E24" s="323"/>
      <c r="F24" s="986">
        <f>IF(项目基本情况!B8="出让",0,'数据-取费表'!B48+'数据-取费表'!B49)</f>
        <v>3.0499999999999999E-2</v>
      </c>
      <c r="G24" s="8" t="s">
        <v>2486</v>
      </c>
      <c r="H24" s="988"/>
      <c r="I24" s="988"/>
      <c r="J24" s="988"/>
      <c r="K24" s="989"/>
    </row>
    <row r="25" spans="1:33" s="973" customFormat="1" ht="13.5" customHeight="1">
      <c r="A25" s="959" t="s">
        <v>2487</v>
      </c>
      <c r="B25" s="985" t="s">
        <v>2488</v>
      </c>
      <c r="C25" s="1352">
        <f ca="1">C27</f>
        <v>728</v>
      </c>
      <c r="D25" s="322">
        <f ca="1">C26</f>
        <v>4.8899999999999999E-2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2489</v>
      </c>
      <c r="C26" s="1353">
        <f ca="1">ROUND(IF('数据-取费表'!B22&lt;=1,(1+C24)*F25*'数据-取费表'!B24,(1+C24)*(POWER((1+F25),'数据-取费表'!B24)-1)),4)</f>
        <v>4.8899999999999999E-2</v>
      </c>
      <c r="D26" s="326"/>
      <c r="E26" s="327"/>
      <c r="F26" s="328"/>
      <c r="G26" s="2542" t="str">
        <f>IF('数据-取费表'!B22&lt;=1,"（(1)+取得税费率/(1+5%)）×年利率×建设期","（(1)+取得税费率）/(1+5%)×((1+年利率)^建设期-1)")</f>
        <v>（(1)+取得税费率）/(1+5%)×((1+年利率)^建设期-1)</v>
      </c>
      <c r="H26" s="977"/>
      <c r="I26" s="977"/>
      <c r="J26" s="977"/>
      <c r="K26" s="978"/>
      <c r="L26" s="991">
        <f>1.029*8%*0.5</f>
        <v>4.1159999999999995E-2</v>
      </c>
    </row>
    <row r="27" spans="1:33" s="991" customFormat="1" ht="13.5" customHeight="1">
      <c r="A27" s="969" t="s">
        <v>804</v>
      </c>
      <c r="B27" s="990" t="s">
        <v>2490</v>
      </c>
      <c r="C27" s="1354">
        <f ca="1">ROUND(IF('数据-取费表'!B22&lt;=1,(C21+C22+C23)*F25*'数据-取费表'!B24/2,(C21+C22+C23)*(POWER((1+F25),'数据-取费表'!B24/2)-1)),0)</f>
        <v>728</v>
      </c>
      <c r="D27" s="326"/>
      <c r="E27" s="327"/>
      <c r="F27" s="328"/>
      <c r="G27" s="2542" t="str">
        <f>IF('数据-取费表'!B22&lt;=1,"（1）-（3）项×年利率×建设期÷2","（1）-（3）项×((1+年利率)^(建设期÷2)-1)")</f>
        <v>（1）-（3）项×((1+年利率)^(建设期÷2)-1)</v>
      </c>
      <c r="H27" s="977"/>
      <c r="I27" s="977"/>
      <c r="J27" s="977"/>
      <c r="K27" s="978"/>
    </row>
    <row r="28" spans="1:33" s="331" customFormat="1" ht="13.5" customHeight="1">
      <c r="A28" s="959" t="s">
        <v>2491</v>
      </c>
      <c r="B28" s="2543" t="s">
        <v>2492</v>
      </c>
      <c r="C28" s="329">
        <f ca="1">C30</f>
        <v>2480</v>
      </c>
      <c r="D28" s="322">
        <f ca="1">C29</f>
        <v>4.1200000000000001E-2</v>
      </c>
      <c r="E28" s="324" t="s">
        <v>15</v>
      </c>
      <c r="F28" s="330">
        <f ca="1">IF(C1="",'数据-取费表'!Q16,INDIRECT("'数据-取费表'!q"&amp;$K$1))</f>
        <v>0.08</v>
      </c>
      <c r="G28" s="987"/>
      <c r="H28" s="988"/>
      <c r="I28" s="988"/>
      <c r="J28" s="988"/>
      <c r="K28" s="989"/>
    </row>
    <row r="29" spans="1:33" s="333" customFormat="1" ht="13.5" customHeight="1">
      <c r="A29" s="969" t="s">
        <v>803</v>
      </c>
      <c r="B29" s="992" t="s">
        <v>2493</v>
      </c>
      <c r="C29" s="326">
        <f ca="1">ROUND((1+C24)*F28*'数据-取费表'!B24/'数据-取费表'!B20,4)</f>
        <v>4.1200000000000001E-2</v>
      </c>
      <c r="D29" s="326"/>
      <c r="E29" s="327"/>
      <c r="F29" s="332"/>
      <c r="G29" s="138" t="s">
        <v>2494</v>
      </c>
      <c r="H29" s="977"/>
      <c r="I29" s="977"/>
      <c r="J29" s="977"/>
      <c r="K29" s="978"/>
    </row>
    <row r="30" spans="1:33" s="333" customFormat="1" ht="13.5" customHeight="1">
      <c r="A30" s="969" t="s">
        <v>804</v>
      </c>
      <c r="B30" s="992" t="s">
        <v>2495</v>
      </c>
      <c r="C30" s="334">
        <f ca="1">ROUND((C21+C22+C23)*F28,0)</f>
        <v>2480</v>
      </c>
      <c r="D30" s="326"/>
      <c r="E30" s="327"/>
      <c r="F30" s="332"/>
      <c r="G30" s="138"/>
      <c r="H30" s="977"/>
      <c r="I30" s="977"/>
      <c r="J30" s="977"/>
      <c r="K30" s="978"/>
    </row>
    <row r="31" spans="1:33" s="973" customFormat="1" ht="13.5" customHeight="1" thickBot="1">
      <c r="A31" s="2544" t="s">
        <v>2496</v>
      </c>
      <c r="B31" s="1002" t="s">
        <v>2497</v>
      </c>
      <c r="C31" s="1003">
        <f ca="1">ROUND(C4*F31/(1+'数据-取费表'!C42),0)</f>
        <v>22504</v>
      </c>
      <c r="D31" s="1004"/>
      <c r="E31" s="1005"/>
      <c r="F31" s="1006">
        <f>'数据-取费表'!B41</f>
        <v>5.5000000000000007E-2</v>
      </c>
      <c r="G31" s="1007" t="s">
        <v>2498</v>
      </c>
      <c r="H31" s="1008"/>
      <c r="I31" s="1008"/>
      <c r="J31" s="1008"/>
      <c r="K31" s="1009"/>
    </row>
    <row r="32" spans="1:33" s="968" customFormat="1" ht="13.5" customHeight="1" thickBot="1">
      <c r="A32" s="997" t="s">
        <v>2499</v>
      </c>
      <c r="B32" s="998"/>
      <c r="C32" s="999">
        <f ca="1">ROUND((C4-C21-C22-C23-C25-C28-C31)/(1+C24+D25+D28),0)</f>
        <v>333220</v>
      </c>
      <c r="D32" s="998"/>
      <c r="E32" s="998"/>
      <c r="F32" s="998"/>
      <c r="G32" s="1000" t="s">
        <v>2500</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8" zoomScale="90" zoomScaleNormal="90" zoomScaleSheetLayoutView="90" workbookViewId="0">
      <selection activeCell="G43" sqref="G43"/>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1583</v>
      </c>
      <c r="B1" s="780"/>
      <c r="C1" s="1831" t="s">
        <v>3211</v>
      </c>
      <c r="D1" s="1814" t="s">
        <v>4526</v>
      </c>
      <c r="E1" s="1815" t="s">
        <v>1381</v>
      </c>
      <c r="F1" s="1279">
        <f ca="1">J53</f>
        <v>66.48</v>
      </c>
      <c r="G1" s="1830">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1509</v>
      </c>
      <c r="B2" s="1838">
        <f ca="1">C40+J29+L46</f>
        <v>45806</v>
      </c>
      <c r="C2" s="1839" t="s">
        <v>1510</v>
      </c>
      <c r="D2" s="1839"/>
      <c r="E2" s="1840"/>
      <c r="F2" s="1841"/>
      <c r="G2" s="1842"/>
      <c r="H2" s="1834"/>
      <c r="I2" s="1834"/>
      <c r="J2" s="1834"/>
      <c r="K2" s="1835"/>
      <c r="L2" s="1834"/>
      <c r="M2" s="1834"/>
    </row>
    <row r="3" spans="1:37" ht="18" customHeight="1" thickBot="1">
      <c r="A3" s="1843" t="s">
        <v>1511</v>
      </c>
      <c r="B3" s="1844">
        <f ca="1">IF(ISERROR(B2*10000/F43),0,ROUND(B2*10000/F43,0))</f>
        <v>14143</v>
      </c>
      <c r="C3" s="1839" t="s">
        <v>1512</v>
      </c>
      <c r="D3" s="1839"/>
      <c r="E3" s="1840"/>
      <c r="F3" s="1841"/>
      <c r="G3" s="1842"/>
      <c r="H3" s="742" t="s">
        <v>1582</v>
      </c>
      <c r="I3" s="1834"/>
      <c r="J3" s="1834"/>
      <c r="K3" s="1835"/>
      <c r="L3" s="1834"/>
      <c r="M3" s="1834"/>
    </row>
    <row r="4" spans="1:37" ht="18" customHeight="1">
      <c r="A4" s="338" t="s">
        <v>1390</v>
      </c>
      <c r="B4" s="339" t="s">
        <v>1391</v>
      </c>
      <c r="C4" s="339" t="s">
        <v>1392</v>
      </c>
      <c r="D4" s="339" t="s">
        <v>1393</v>
      </c>
      <c r="E4" s="340" t="s">
        <v>1394</v>
      </c>
      <c r="F4" s="341"/>
      <c r="G4" s="1845"/>
      <c r="H4" s="338" t="s">
        <v>1390</v>
      </c>
      <c r="I4" s="339" t="s">
        <v>1391</v>
      </c>
      <c r="J4" s="339" t="s">
        <v>1392</v>
      </c>
      <c r="K4" s="339" t="s">
        <v>1393</v>
      </c>
      <c r="L4" s="340" t="s">
        <v>1394</v>
      </c>
      <c r="M4" s="341"/>
    </row>
    <row r="5" spans="1:37" ht="18" customHeight="1">
      <c r="A5" s="342">
        <v>1</v>
      </c>
      <c r="B5" s="343" t="s">
        <v>1395</v>
      </c>
      <c r="C5" s="1288">
        <f ca="1">C6+C10+C12</f>
        <v>3019</v>
      </c>
      <c r="D5" s="1816" t="s">
        <v>1396</v>
      </c>
      <c r="E5" s="1289"/>
      <c r="F5" s="1290"/>
      <c r="G5" s="1845"/>
      <c r="H5" s="342">
        <v>1</v>
      </c>
      <c r="I5" s="343" t="s">
        <v>1395</v>
      </c>
      <c r="J5" s="1288">
        <f ca="1">J6+J10+J12</f>
        <v>0</v>
      </c>
      <c r="K5" s="1816" t="s">
        <v>1396</v>
      </c>
      <c r="L5" s="1289"/>
      <c r="M5" s="1290"/>
    </row>
    <row r="6" spans="1:37" ht="18" customHeight="1">
      <c r="A6" s="1287" t="s">
        <v>1031</v>
      </c>
      <c r="B6" s="3378" t="s">
        <v>1397</v>
      </c>
      <c r="C6" s="1292">
        <f ca="1">ROUND(F6*F8*F7*(1-F9)/10000,0)</f>
        <v>3015</v>
      </c>
      <c r="D6" s="162" t="s">
        <v>3012</v>
      </c>
      <c r="E6" s="345" t="s">
        <v>1399</v>
      </c>
      <c r="F6" s="346">
        <f ca="1">INDIRECT("'数据-取费表'!u"&amp;$G$1)</f>
        <v>3</v>
      </c>
      <c r="G6" s="1845"/>
      <c r="H6" s="1287" t="s">
        <v>1031</v>
      </c>
      <c r="I6" s="3378" t="s">
        <v>1397</v>
      </c>
      <c r="J6" s="344">
        <f ca="1">ROUND(M6*M8*M7*(1-M9)/10000,0)</f>
        <v>0</v>
      </c>
      <c r="K6" s="162" t="s">
        <v>3011</v>
      </c>
      <c r="L6" s="345" t="s">
        <v>1399</v>
      </c>
      <c r="M6" s="346">
        <f ca="1">INDIRECT("'数据-取费表'!z"&amp;$G$1)</f>
        <v>0</v>
      </c>
    </row>
    <row r="7" spans="1:37" ht="18" customHeight="1">
      <c r="A7" s="1291"/>
      <c r="B7" s="3379"/>
      <c r="C7" s="1293"/>
      <c r="D7" s="350"/>
      <c r="E7" s="1294" t="s">
        <v>1400</v>
      </c>
      <c r="F7" s="346">
        <f ca="1">IF(INDIRECT("'数据-取费表'!ah"&amp;$G$1)="",INDIRECT("'数据-取费表'!k"&amp;$G$1),INDIRECT("'数据-取费表'!ah"&amp;$G$1))</f>
        <v>32388.770000000004</v>
      </c>
      <c r="G7" s="1845"/>
      <c r="H7" s="347"/>
      <c r="I7" s="3379"/>
      <c r="J7" s="349"/>
      <c r="K7" s="350"/>
      <c r="L7" s="345" t="s">
        <v>1400</v>
      </c>
      <c r="M7" s="346">
        <f ca="1">F7</f>
        <v>32388.770000000004</v>
      </c>
    </row>
    <row r="8" spans="1:37" ht="18" customHeight="1">
      <c r="A8" s="347"/>
      <c r="B8" s="3379"/>
      <c r="C8" s="349"/>
      <c r="D8" s="350"/>
      <c r="E8" s="345" t="s">
        <v>1401</v>
      </c>
      <c r="F8" s="346">
        <f ca="1">INDIRECT("'数据-取费表'!ai"&amp;$G$1)</f>
        <v>365</v>
      </c>
      <c r="G8" s="1845"/>
      <c r="H8" s="347"/>
      <c r="I8" s="3379"/>
      <c r="J8" s="349"/>
      <c r="K8" s="350"/>
      <c r="L8" s="345" t="s">
        <v>1401</v>
      </c>
      <c r="M8" s="346">
        <f ca="1">INDIRECT("'数据-取费表'!ai"&amp;$G$1)</f>
        <v>365</v>
      </c>
    </row>
    <row r="9" spans="1:37" ht="18" customHeight="1">
      <c r="A9" s="347"/>
      <c r="B9" s="3380"/>
      <c r="C9" s="349"/>
      <c r="D9" s="350"/>
      <c r="E9" s="345" t="s">
        <v>1402</v>
      </c>
      <c r="F9" s="355">
        <f ca="1">INDIRECT("'数据-取费表'!w"&amp;$G$1)</f>
        <v>0.15</v>
      </c>
      <c r="G9" s="1845"/>
      <c r="H9" s="347"/>
      <c r="I9" s="3380"/>
      <c r="J9" s="349"/>
      <c r="K9" s="350"/>
      <c r="L9" s="356" t="s">
        <v>1402</v>
      </c>
      <c r="M9" s="357">
        <f ca="1">INDIRECT("'数据-取费表'!ab"&amp;$G$1)</f>
        <v>0</v>
      </c>
    </row>
    <row r="10" spans="1:37" ht="18" customHeight="1">
      <c r="A10" s="1287" t="s">
        <v>1035</v>
      </c>
      <c r="B10" s="1817" t="s">
        <v>1403</v>
      </c>
      <c r="C10" s="359">
        <f ca="1">ROUND(IF(F10="押一",C6/12*F11,IF(F10="押二",C6/12*2*F11,IF(F10="押三",C6/12*3*F11,C11*F11))),0)</f>
        <v>4</v>
      </c>
      <c r="D10" s="1818" t="s">
        <v>3021</v>
      </c>
      <c r="E10" s="356" t="s">
        <v>1404</v>
      </c>
      <c r="F10" s="1362" t="s">
        <v>4527</v>
      </c>
      <c r="G10" s="1845"/>
      <c r="H10" s="1287" t="s">
        <v>1035</v>
      </c>
      <c r="I10" s="1817" t="s">
        <v>1403</v>
      </c>
      <c r="J10" s="344">
        <f ca="1">ROUND(IF(M10="押一",J6/12*M11,IF(M10="押二",J6/12*2*M11,IF(M10="押三",J6/12*3*M11,J11*M11))),0)</f>
        <v>0</v>
      </c>
      <c r="K10" s="1818" t="s">
        <v>3020</v>
      </c>
      <c r="L10" s="356" t="s">
        <v>1404</v>
      </c>
      <c r="M10" s="1362" t="s">
        <v>1405</v>
      </c>
    </row>
    <row r="11" spans="1:37" ht="18" customHeight="1">
      <c r="A11" s="351"/>
      <c r="B11" s="1819" t="s">
        <v>1382</v>
      </c>
      <c r="C11" s="1174"/>
      <c r="D11" s="1820"/>
      <c r="E11" s="356" t="s">
        <v>1406</v>
      </c>
      <c r="F11" s="357">
        <f ca="1">'数据-取费表'!B39</f>
        <v>1.4999999999999999E-2</v>
      </c>
      <c r="G11" s="1845"/>
      <c r="H11" s="1295"/>
      <c r="I11" s="1819" t="s">
        <v>1382</v>
      </c>
      <c r="J11" s="1174"/>
      <c r="K11" s="746"/>
      <c r="L11" s="356" t="s">
        <v>1406</v>
      </c>
      <c r="M11" s="1052">
        <f ca="1">'数据-取费表'!B39</f>
        <v>1.4999999999999999E-2</v>
      </c>
    </row>
    <row r="12" spans="1:37" ht="18" customHeight="1" thickBot="1">
      <c r="A12" s="1329" t="s">
        <v>1071</v>
      </c>
      <c r="B12" s="1821" t="s">
        <v>1407</v>
      </c>
      <c r="C12" s="1330"/>
      <c r="D12" s="1331"/>
      <c r="E12" s="1336"/>
      <c r="F12" s="1332"/>
      <c r="G12" s="1845"/>
      <c r="H12" s="1329" t="s">
        <v>1071</v>
      </c>
      <c r="I12" s="1821" t="s">
        <v>1407</v>
      </c>
      <c r="J12" s="1330"/>
      <c r="K12" s="1344"/>
      <c r="L12" s="1336"/>
      <c r="M12" s="1345"/>
    </row>
    <row r="13" spans="1:37" ht="18" customHeight="1" thickTop="1">
      <c r="A13" s="1325">
        <v>2</v>
      </c>
      <c r="B13" s="1326" t="s">
        <v>1408</v>
      </c>
      <c r="C13" s="353">
        <f ca="1">ROUND(C29*F13,0)</f>
        <v>18539</v>
      </c>
      <c r="D13" s="1327" t="s">
        <v>1409</v>
      </c>
      <c r="E13" s="1327" t="s">
        <v>1410</v>
      </c>
      <c r="F13" s="1328">
        <f ca="1">INDIRECT("'数据-取费表'!y"&amp;$G$1)</f>
        <v>1</v>
      </c>
      <c r="G13" s="1845"/>
      <c r="H13" s="1325">
        <v>2</v>
      </c>
      <c r="I13" s="1326" t="s">
        <v>1408</v>
      </c>
      <c r="J13" s="1286">
        <f ca="1">ROUND(J14*J15,0)</f>
        <v>0</v>
      </c>
      <c r="K13" s="1333" t="s">
        <v>1409</v>
      </c>
      <c r="L13" s="1846"/>
      <c r="M13" s="1847"/>
    </row>
    <row r="14" spans="1:37" ht="18" customHeight="1">
      <c r="A14" s="1197" t="s">
        <v>1030</v>
      </c>
      <c r="B14" s="345" t="s">
        <v>1411</v>
      </c>
      <c r="C14" s="361">
        <f ca="1">INDIRECT("'数据-取费表'!m"&amp;$G$1)+INDIRECT("'数据-取费表'!t"&amp;$G$1)</f>
        <v>13103</v>
      </c>
      <c r="D14" s="1794" t="s">
        <v>1412</v>
      </c>
      <c r="E14" s="1788"/>
      <c r="F14" s="362"/>
      <c r="G14" s="1845"/>
      <c r="H14" s="1197" t="s">
        <v>1031</v>
      </c>
      <c r="I14" s="345" t="s">
        <v>1413</v>
      </c>
      <c r="J14" s="24">
        <f ca="1">C29</f>
        <v>18539</v>
      </c>
      <c r="K14" s="15"/>
      <c r="L14" s="977"/>
      <c r="M14" s="978"/>
    </row>
    <row r="15" spans="1:37" s="1852" customFormat="1" ht="18" customHeight="1" thickBot="1">
      <c r="A15" s="1197" t="s">
        <v>1032</v>
      </c>
      <c r="B15" s="345" t="s">
        <v>1414</v>
      </c>
      <c r="C15" s="24">
        <f ca="1">ROUND(C14*F15,0)</f>
        <v>393</v>
      </c>
      <c r="D15" s="363" t="s">
        <v>1415</v>
      </c>
      <c r="E15" s="363" t="s">
        <v>1416</v>
      </c>
      <c r="F15" s="364">
        <f>'数据-取费表'!B33</f>
        <v>0.03</v>
      </c>
      <c r="G15" s="1848"/>
      <c r="H15" s="1335" t="s">
        <v>1035</v>
      </c>
      <c r="I15" s="1336" t="s">
        <v>1410</v>
      </c>
      <c r="J15" s="1345">
        <f ca="1">INDIRECT("'数据-取费表'!ad"&amp;$G$1)</f>
        <v>0</v>
      </c>
      <c r="K15" s="1346"/>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1383</v>
      </c>
      <c r="B16" s="345" t="s">
        <v>1417</v>
      </c>
      <c r="C16" s="24">
        <f ca="1">ROUND(INDIRECT("'数据-取费表'!m"&amp;$G$1)*F16,0)</f>
        <v>648</v>
      </c>
      <c r="D16" s="345" t="s">
        <v>1415</v>
      </c>
      <c r="E16" s="345" t="s">
        <v>1416</v>
      </c>
      <c r="F16" s="365">
        <f ca="1">IF(INDIRECT("'数据-取费表'!c"&amp;$G$1)="住宅",'数据-取费表'!B34,0)</f>
        <v>0.05</v>
      </c>
      <c r="G16" s="1845"/>
      <c r="H16" s="1325" t="s">
        <v>1026</v>
      </c>
      <c r="I16" s="1326" t="s">
        <v>1418</v>
      </c>
      <c r="J16" s="353">
        <f ca="1">ROUND(J17+J22+J23+J24,0)</f>
        <v>436</v>
      </c>
      <c r="K16" s="1333" t="s">
        <v>1419</v>
      </c>
      <c r="L16" s="1334"/>
      <c r="M16" s="1290"/>
    </row>
    <row r="17" spans="1:37" s="1852" customFormat="1" ht="18" customHeight="1">
      <c r="A17" s="1197" t="s">
        <v>1384</v>
      </c>
      <c r="B17" s="345" t="s">
        <v>1420</v>
      </c>
      <c r="C17" s="24">
        <f ca="1">ROUND(F17*(F43+INDIRECT("'数据-取费表'!S"&amp;$G$1))/10000,0)</f>
        <v>660</v>
      </c>
      <c r="D17" s="345" t="s">
        <v>1421</v>
      </c>
      <c r="E17" s="345" t="s">
        <v>1422</v>
      </c>
      <c r="F17" s="26">
        <f>'数据-取费表'!B35</f>
        <v>200</v>
      </c>
      <c r="G17" s="1848"/>
      <c r="H17" s="1197" t="s">
        <v>1031</v>
      </c>
      <c r="I17" s="345" t="s">
        <v>1423</v>
      </c>
      <c r="J17" s="24">
        <f ca="1">ROUND(IF(项目基本情况!B11="自然人",J6*M17/(1+'数据-取费表'!C42),J18+J19+J20),1)</f>
        <v>157.80000000000001</v>
      </c>
      <c r="K17" s="1794" t="s">
        <v>1424</v>
      </c>
      <c r="L17" s="1792" t="s">
        <v>1425</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1385</v>
      </c>
      <c r="B18" s="345" t="s">
        <v>1426</v>
      </c>
      <c r="C18" s="24">
        <f ca="1">ROUND(C14*F18,0)</f>
        <v>197</v>
      </c>
      <c r="D18" s="345" t="s">
        <v>1415</v>
      </c>
      <c r="E18" s="345" t="s">
        <v>1416</v>
      </c>
      <c r="F18" s="365">
        <f>'数据-取费表'!B36</f>
        <v>1.4999999999999999E-2</v>
      </c>
      <c r="G18" s="1848"/>
      <c r="H18" s="1197" t="s">
        <v>1030</v>
      </c>
      <c r="I18" s="345" t="s">
        <v>1427</v>
      </c>
      <c r="J18" s="24">
        <f ca="1">ROUND(J6*M18/(1+'数据-取费表'!C42),2)</f>
        <v>0</v>
      </c>
      <c r="K18" s="1792" t="s">
        <v>1428</v>
      </c>
      <c r="L18" s="345" t="s">
        <v>1416</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1031</v>
      </c>
      <c r="B19" s="345" t="s">
        <v>1429</v>
      </c>
      <c r="C19" s="24">
        <f ca="1">SUM(C14:C18)</f>
        <v>15001</v>
      </c>
      <c r="D19" s="138" t="s">
        <v>1430</v>
      </c>
      <c r="E19" s="1812"/>
      <c r="F19" s="26"/>
      <c r="G19" s="1845"/>
      <c r="H19" s="1197" t="s">
        <v>1032</v>
      </c>
      <c r="I19" s="345" t="s">
        <v>1431</v>
      </c>
      <c r="J19" s="24">
        <f ca="1">IF(K19="按租金收入计税",ROUND(J6*M19/(1+'数据-取费表'!C42),2),ROUND(C29*M19*0.7,2))</f>
        <v>155.72999999999999</v>
      </c>
      <c r="K19" s="1822" t="s">
        <v>1432</v>
      </c>
      <c r="L19" s="345" t="s">
        <v>1416</v>
      </c>
      <c r="M19" s="365">
        <f>IF(K19="按租金收入计税",'数据-取费表'!B51,'数据-取费表'!B50)</f>
        <v>1.2E-2</v>
      </c>
    </row>
    <row r="20" spans="1:37" s="1852" customFormat="1" ht="18" customHeight="1">
      <c r="A20" s="1197" t="s">
        <v>1035</v>
      </c>
      <c r="B20" s="345" t="s">
        <v>1433</v>
      </c>
      <c r="C20" s="24">
        <f ca="1">ROUND(C19*F20,0)</f>
        <v>450</v>
      </c>
      <c r="D20" s="367" t="s">
        <v>1434</v>
      </c>
      <c r="E20" s="345" t="s">
        <v>1416</v>
      </c>
      <c r="F20" s="365">
        <f>'数据-取费表'!B37</f>
        <v>0.03</v>
      </c>
      <c r="G20" s="1848"/>
      <c r="H20" s="1197" t="s">
        <v>1383</v>
      </c>
      <c r="I20" s="162" t="s">
        <v>1435</v>
      </c>
      <c r="J20" s="25">
        <f ca="1">ROUND(M20*M21/10000,2)</f>
        <v>2.02</v>
      </c>
      <c r="K20" s="368" t="s">
        <v>1436</v>
      </c>
      <c r="L20" s="345" t="s">
        <v>1437</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1071</v>
      </c>
      <c r="B21" s="345" t="s">
        <v>1438</v>
      </c>
      <c r="C21" s="24" t="s">
        <v>18</v>
      </c>
      <c r="D21" s="367" t="s">
        <v>1439</v>
      </c>
      <c r="E21" s="345" t="s">
        <v>1440</v>
      </c>
      <c r="F21" s="365">
        <f>'数据-取费表'!B38</f>
        <v>0.03</v>
      </c>
      <c r="G21" s="1848"/>
      <c r="H21" s="370"/>
      <c r="I21" s="354"/>
      <c r="J21" s="29"/>
      <c r="K21" s="371"/>
      <c r="L21" s="345" t="s">
        <v>1441</v>
      </c>
      <c r="M21" s="346">
        <f ca="1">INDIRECT("'数据-取费表'!r"&amp;$G$1)</f>
        <v>13461.49</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1386</v>
      </c>
      <c r="B22" s="345" t="s">
        <v>1442</v>
      </c>
      <c r="C22" s="24"/>
      <c r="D22" s="138" t="str">
        <f>IF(F23&lt;=1,"单利计息。","复利计息。")&amp;"建造成本、管理费用、销售费用产生的利息。"</f>
        <v>复利计息。建造成本、管理费用、销售费用产生的利息。</v>
      </c>
      <c r="E22" s="1812"/>
      <c r="F22" s="26"/>
      <c r="G22" s="1845"/>
      <c r="H22" s="1197" t="s">
        <v>1035</v>
      </c>
      <c r="I22" s="345" t="s">
        <v>1443</v>
      </c>
      <c r="J22" s="24">
        <f ca="1">ROUND(J14*M22,1)</f>
        <v>278.10000000000002</v>
      </c>
      <c r="K22" s="1792" t="s">
        <v>1444</v>
      </c>
      <c r="L22" s="345" t="s">
        <v>1416</v>
      </c>
      <c r="M22" s="372">
        <f ca="1">INDIRECT("'数据-取费表'!Ak"&amp;$G$1)</f>
        <v>1.4999999999999999E-2</v>
      </c>
    </row>
    <row r="23" spans="1:37" s="1852" customFormat="1" ht="18" customHeight="1">
      <c r="A23" s="1197" t="s">
        <v>1030</v>
      </c>
      <c r="B23" s="345" t="s">
        <v>1445</v>
      </c>
      <c r="C23" s="24">
        <f ca="1">IF('数据-取费表'!B22&lt;=1,ROUND(C19*F24*F23/2,0)+ROUND(C20*F24*F23/2,0),ROUND(C19*(POWER((1+F24),F23/2)-1),0)+ROUND(C20*(POWER((1+F24),F23/2)-1),0))</f>
        <v>734</v>
      </c>
      <c r="D23" s="373" t="str">
        <f>IF(F23&lt;=1,"(建造成本+管理费用)×利率×(建设周期÷2)","(建造成本+管理费用)×((1+利率)^(建设周期÷2)-1)")</f>
        <v>(建造成本+管理费用)×((1+利率)^(建设周期÷2)-1)</v>
      </c>
      <c r="E23" s="345" t="s">
        <v>1446</v>
      </c>
      <c r="F23" s="369">
        <f>'数据-取费表'!B20</f>
        <v>2</v>
      </c>
      <c r="G23" s="1848"/>
      <c r="H23" s="1197" t="s">
        <v>1071</v>
      </c>
      <c r="I23" s="345" t="s">
        <v>1447</v>
      </c>
      <c r="J23" s="24">
        <f ca="1">ROUND(J13*M23,1)</f>
        <v>0</v>
      </c>
      <c r="K23" s="1792" t="s">
        <v>1448</v>
      </c>
      <c r="L23" s="345" t="s">
        <v>1449</v>
      </c>
      <c r="M23" s="374">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1450</v>
      </c>
      <c r="B24" s="345" t="s">
        <v>1451</v>
      </c>
      <c r="C24" s="24">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848"/>
      <c r="H24" s="1335" t="s">
        <v>1387</v>
      </c>
      <c r="I24" s="1336" t="s">
        <v>1433</v>
      </c>
      <c r="J24" s="1337">
        <f ca="1">ROUND(J5*M24,1)</f>
        <v>0</v>
      </c>
      <c r="K24" s="1338" t="s">
        <v>1453</v>
      </c>
      <c r="L24" s="1336" t="s">
        <v>1449</v>
      </c>
      <c r="M24" s="1332">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7" t="s">
        <v>1454</v>
      </c>
      <c r="B25" s="345" t="s">
        <v>1455</v>
      </c>
      <c r="C25" s="24"/>
      <c r="D25" s="138" t="s">
        <v>1456</v>
      </c>
      <c r="E25" s="1812"/>
      <c r="F25" s="26"/>
      <c r="G25" s="1845"/>
      <c r="H25" s="1325" t="s">
        <v>1027</v>
      </c>
      <c r="I25" s="1340" t="s">
        <v>1457</v>
      </c>
      <c r="J25" s="353">
        <f ca="1">J5-J16</f>
        <v>-436</v>
      </c>
      <c r="K25" s="1341" t="s">
        <v>1458</v>
      </c>
      <c r="L25" s="1342"/>
      <c r="M25" s="1343"/>
    </row>
    <row r="26" spans="1:37">
      <c r="A26" s="1197" t="s">
        <v>1030</v>
      </c>
      <c r="B26" s="345" t="s">
        <v>1459</v>
      </c>
      <c r="C26" s="24">
        <f ca="1">ROUND((C19+C20)*F26,0)</f>
        <v>773</v>
      </c>
      <c r="D26" s="367" t="s">
        <v>1460</v>
      </c>
      <c r="E26" s="356" t="s">
        <v>1461</v>
      </c>
      <c r="F26" s="355">
        <f ca="1">INDIRECT("'数据-取费表'!q"&amp;$G$1)</f>
        <v>0.05</v>
      </c>
      <c r="G26" s="1845"/>
      <c r="H26" s="342" t="s">
        <v>1028</v>
      </c>
      <c r="I26" s="343" t="s">
        <v>1462</v>
      </c>
      <c r="J26" s="344">
        <f ca="1">IF(J5&lt;&gt;0,ROUND(J25*(1-((1+M28)/(1+M26))^M27)/(M26-M28),0),0)</f>
        <v>0</v>
      </c>
      <c r="K26" s="368" t="s">
        <v>1463</v>
      </c>
      <c r="L26" s="345" t="s">
        <v>1464</v>
      </c>
      <c r="M26" s="355">
        <f ca="1">INDIRECT("'数据-取费表'!I"&amp;$G$1)</f>
        <v>4.4999999999999998E-2</v>
      </c>
    </row>
    <row r="27" spans="1:37" ht="18" customHeight="1">
      <c r="A27" s="1197" t="s">
        <v>1032</v>
      </c>
      <c r="B27" s="345" t="s">
        <v>1465</v>
      </c>
      <c r="C27" s="24">
        <f ca="1">ROUND(F21*F26,4)</f>
        <v>1.5E-3</v>
      </c>
      <c r="D27" s="367" t="s">
        <v>1466</v>
      </c>
      <c r="E27" s="363"/>
      <c r="F27" s="364"/>
      <c r="G27" s="1845"/>
      <c r="H27" s="347"/>
      <c r="I27" s="348"/>
      <c r="J27" s="349"/>
      <c r="K27" s="376" t="s">
        <v>1467</v>
      </c>
      <c r="L27" s="345" t="s">
        <v>1468</v>
      </c>
      <c r="M27" s="377">
        <f ca="1">INDIRECT("'数据-取费表'!ag"&amp;$G$1)</f>
        <v>0</v>
      </c>
    </row>
    <row r="28" spans="1:37" s="1852" customFormat="1" ht="18" customHeight="1">
      <c r="A28" s="1197" t="s">
        <v>1033</v>
      </c>
      <c r="B28" s="345" t="s">
        <v>1469</v>
      </c>
      <c r="C28" s="24">
        <f>ROUND(F28/(1+'数据-取费表'!C42),4)</f>
        <v>5.2400000000000002E-2</v>
      </c>
      <c r="D28" s="367" t="s">
        <v>1470</v>
      </c>
      <c r="E28" s="345" t="s">
        <v>1416</v>
      </c>
      <c r="F28" s="365">
        <f>'数据-取费表'!B41</f>
        <v>5.5000000000000007E-2</v>
      </c>
      <c r="G28" s="1848"/>
      <c r="H28" s="351"/>
      <c r="I28" s="352"/>
      <c r="J28" s="353"/>
      <c r="K28" s="371"/>
      <c r="L28" s="345" t="s">
        <v>1471</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5" t="s">
        <v>1034</v>
      </c>
      <c r="B29" s="1336" t="s">
        <v>1472</v>
      </c>
      <c r="C29" s="1337">
        <f ca="1">ROUND((C19+C20+C23+C26)/(1-F21-C24-C27-C28),0)</f>
        <v>18539</v>
      </c>
      <c r="D29" s="1338"/>
      <c r="E29" s="1336"/>
      <c r="F29" s="1339"/>
      <c r="G29" s="1848"/>
      <c r="H29" s="378" t="s">
        <v>1029</v>
      </c>
      <c r="I29" s="379" t="s">
        <v>1473</v>
      </c>
      <c r="J29" s="380">
        <f ca="1">ROUND(J26/(1+F40)^F41,0)</f>
        <v>0</v>
      </c>
      <c r="K29" s="381" t="s">
        <v>1474</v>
      </c>
      <c r="L29" s="382"/>
      <c r="M29" s="383">
        <f ca="1">INDIRECT("'数据-取费表'!k"&amp;$G$1)</f>
        <v>32388.770000000004</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5" t="s">
        <v>1026</v>
      </c>
      <c r="B30" s="1326" t="s">
        <v>1418</v>
      </c>
      <c r="C30" s="353">
        <f ca="1">ROUND(C31+C36+C37+C38,0)</f>
        <v>841</v>
      </c>
      <c r="D30" s="1333" t="s">
        <v>1419</v>
      </c>
      <c r="E30" s="1334"/>
      <c r="F30" s="1290"/>
      <c r="G30" s="1845"/>
      <c r="H30" s="743"/>
      <c r="I30" s="744"/>
      <c r="J30" s="745"/>
      <c r="K30" s="746"/>
      <c r="L30" s="747"/>
      <c r="M30" s="748"/>
    </row>
    <row r="31" spans="1:37" ht="18" customHeight="1">
      <c r="A31" s="1197" t="s">
        <v>1031</v>
      </c>
      <c r="B31" s="345" t="s">
        <v>1423</v>
      </c>
      <c r="C31" s="24">
        <f ca="1">ROUND(IF(项目基本情况!B11="自然人",C6*F31/(1+'数据-取费表'!C42),C32+C33+C34),1)</f>
        <v>504.5</v>
      </c>
      <c r="D31" s="1794" t="s">
        <v>1424</v>
      </c>
      <c r="E31" s="1792" t="s">
        <v>1475</v>
      </c>
      <c r="F31" s="366" t="str">
        <f ca="1">IF(项目基本情况!B11="企业","",IF(INDIRECT("'数据-取费表'!c"&amp;$G$1)="住宅",5%,IF(F6*F7*F8/12/(1+'数据-取费表'!C42)&gt;20000,12%,7%)))</f>
        <v/>
      </c>
      <c r="G31" s="1845"/>
      <c r="H31" s="743"/>
      <c r="I31" s="744"/>
      <c r="J31" s="745"/>
      <c r="K31" s="746"/>
      <c r="L31" s="747"/>
      <c r="M31" s="748"/>
    </row>
    <row r="32" spans="1:37" ht="18" customHeight="1">
      <c r="A32" s="1197" t="s">
        <v>1030</v>
      </c>
      <c r="B32" s="345" t="s">
        <v>1427</v>
      </c>
      <c r="C32" s="24">
        <f ca="1">IF(项目基本情况!B11="自然人","——",ROUND(C6*F32/(1+'数据-取费表'!C42),2))</f>
        <v>157.93</v>
      </c>
      <c r="D32" s="1792" t="s">
        <v>1428</v>
      </c>
      <c r="E32" s="345" t="s">
        <v>1416</v>
      </c>
      <c r="F32" s="375">
        <f>'数据-取费表'!B41</f>
        <v>5.5000000000000007E-2</v>
      </c>
      <c r="G32" s="1845"/>
      <c r="H32" s="743"/>
      <c r="I32" s="744"/>
      <c r="J32" s="745"/>
      <c r="K32" s="746"/>
      <c r="L32" s="747"/>
      <c r="M32" s="748"/>
    </row>
    <row r="33" spans="1:18" ht="18" customHeight="1">
      <c r="A33" s="1197" t="s">
        <v>1032</v>
      </c>
      <c r="B33" s="345" t="s">
        <v>1431</v>
      </c>
      <c r="C33" s="24">
        <f ca="1">IF(项目基本情况!B11="自然人","——",IF(D33="按租金收入计税",ROUND(C6*F33/(1+'数据-取费表'!C42),2),IF(D33="按房产原值计税",ROUND(C29*F33*0.7,2),INDIRECT("'数据-取费表'!Aj"&amp;$G$1))))</f>
        <v>344.57</v>
      </c>
      <c r="D33" s="1822" t="s">
        <v>4528</v>
      </c>
      <c r="E33" s="345" t="s">
        <v>1416</v>
      </c>
      <c r="F33" s="365">
        <f>IF(D33="按票据","——",IF(D33="按租金收入计税",'数据-取费表'!B51,'数据-取费表'!B50))</f>
        <v>0.12</v>
      </c>
      <c r="G33" s="1845"/>
      <c r="H33" s="1853"/>
      <c r="I33" s="1854"/>
      <c r="J33" s="1855"/>
      <c r="K33" s="1856"/>
      <c r="L33" s="1853"/>
      <c r="M33" s="1853"/>
    </row>
    <row r="34" spans="1:18" ht="18" customHeight="1">
      <c r="A34" s="1287" t="s">
        <v>1383</v>
      </c>
      <c r="B34" s="162" t="s">
        <v>1435</v>
      </c>
      <c r="C34" s="25">
        <f ca="1">IF(项目基本情况!B11="自然人","——",ROUND(F34*F35/10000,2))</f>
        <v>2.02</v>
      </c>
      <c r="D34" s="368" t="s">
        <v>1436</v>
      </c>
      <c r="E34" s="345" t="s">
        <v>1437</v>
      </c>
      <c r="F34" s="369">
        <f>'数据-取费表'!B52</f>
        <v>1.5</v>
      </c>
      <c r="G34" s="1845"/>
      <c r="H34" s="743"/>
      <c r="I34" s="1854"/>
      <c r="J34" s="1855"/>
      <c r="K34" s="1857"/>
      <c r="L34" s="1858"/>
      <c r="M34" s="1858"/>
    </row>
    <row r="35" spans="1:18" ht="18" customHeight="1">
      <c r="A35" s="1349"/>
      <c r="B35" s="1347"/>
      <c r="C35" s="29"/>
      <c r="D35" s="371"/>
      <c r="E35" s="345" t="s">
        <v>1441</v>
      </c>
      <c r="F35" s="346">
        <f ca="1">INDIRECT("'数据-取费表'!r"&amp;$G$1)</f>
        <v>13461.49</v>
      </c>
      <c r="G35" s="1845"/>
      <c r="H35" s="743"/>
      <c r="I35" s="1854"/>
      <c r="J35" s="1855"/>
      <c r="K35" s="1856"/>
      <c r="L35" s="1853"/>
      <c r="M35" s="1853"/>
    </row>
    <row r="36" spans="1:18" ht="18" customHeight="1">
      <c r="A36" s="1348" t="s">
        <v>1035</v>
      </c>
      <c r="B36" s="345" t="s">
        <v>1443</v>
      </c>
      <c r="C36" s="24">
        <f ca="1">ROUND(C29*F36,1)</f>
        <v>278.10000000000002</v>
      </c>
      <c r="D36" s="1792" t="s">
        <v>1476</v>
      </c>
      <c r="E36" s="345" t="s">
        <v>1416</v>
      </c>
      <c r="F36" s="372">
        <f ca="1">INDIRECT("'数据-取费表'!Ak"&amp;$G$1)</f>
        <v>1.4999999999999999E-2</v>
      </c>
      <c r="G36" s="1845"/>
      <c r="H36" s="1853"/>
      <c r="I36" s="1854"/>
      <c r="J36" s="1855"/>
      <c r="K36" s="749"/>
      <c r="L36" s="1853"/>
      <c r="M36" s="1853"/>
    </row>
    <row r="37" spans="1:18" ht="18" customHeight="1">
      <c r="A37" s="1197" t="s">
        <v>1071</v>
      </c>
      <c r="B37" s="345" t="s">
        <v>1447</v>
      </c>
      <c r="C37" s="24">
        <f ca="1">ROUND(C13*F37,1)</f>
        <v>27.8</v>
      </c>
      <c r="D37" s="1792" t="s">
        <v>1448</v>
      </c>
      <c r="E37" s="345" t="s">
        <v>1449</v>
      </c>
      <c r="F37" s="374">
        <f ca="1">INDIRECT("'数据-取费表'!Al"&amp;$G$1)</f>
        <v>1.5E-3</v>
      </c>
      <c r="G37" s="1845"/>
      <c r="H37" s="1853"/>
      <c r="I37" s="1854"/>
      <c r="J37" s="1855"/>
      <c r="K37" s="749"/>
      <c r="L37" s="1853"/>
      <c r="M37" s="1853"/>
    </row>
    <row r="38" spans="1:18" ht="18" customHeight="1" thickBot="1">
      <c r="A38" s="1335" t="s">
        <v>1387</v>
      </c>
      <c r="B38" s="1336" t="s">
        <v>1433</v>
      </c>
      <c r="C38" s="1337">
        <f ca="1">ROUND(C5*F38,1)</f>
        <v>30.2</v>
      </c>
      <c r="D38" s="1338" t="s">
        <v>1453</v>
      </c>
      <c r="E38" s="1336" t="s">
        <v>1449</v>
      </c>
      <c r="F38" s="1332">
        <f ca="1">INDIRECT("'数据-取费表'!Am"&amp;$G$1)</f>
        <v>0.01</v>
      </c>
      <c r="G38" s="1845"/>
      <c r="H38" s="1853"/>
      <c r="I38" s="1854"/>
      <c r="J38" s="1855"/>
      <c r="K38" s="1859"/>
      <c r="L38" s="1853"/>
      <c r="M38" s="1853"/>
    </row>
    <row r="39" spans="1:18" ht="24.6" customHeight="1" thickTop="1">
      <c r="A39" s="1325" t="s">
        <v>1027</v>
      </c>
      <c r="B39" s="1340" t="s">
        <v>1477</v>
      </c>
      <c r="C39" s="353">
        <f ca="1">C5-C30</f>
        <v>2178</v>
      </c>
      <c r="D39" s="1341" t="s">
        <v>1478</v>
      </c>
      <c r="E39" s="1342"/>
      <c r="F39" s="1343"/>
      <c r="G39" s="1845"/>
      <c r="H39" s="1853"/>
      <c r="I39" s="1854"/>
      <c r="J39" s="1855"/>
      <c r="K39" s="1859"/>
      <c r="L39" s="1853"/>
      <c r="M39" s="1853"/>
    </row>
    <row r="40" spans="1:18" ht="18" customHeight="1">
      <c r="A40" s="342" t="s">
        <v>1028</v>
      </c>
      <c r="B40" s="343" t="s">
        <v>1479</v>
      </c>
      <c r="C40" s="344">
        <f ca="1">ROUND(C39*(1-((1+F42)/(1+F40))^F41)/(F40-F42),0)</f>
        <v>45806</v>
      </c>
      <c r="D40" s="368" t="s">
        <v>1463</v>
      </c>
      <c r="E40" s="345" t="s">
        <v>1464</v>
      </c>
      <c r="F40" s="355">
        <f ca="1">INDIRECT("'数据-取费表'!I"&amp;$G$1)</f>
        <v>4.4999999999999998E-2</v>
      </c>
      <c r="G40" s="1845"/>
      <c r="H40" s="1833"/>
      <c r="I40" s="1854"/>
      <c r="J40" s="1855"/>
      <c r="K40" s="1859"/>
      <c r="L40" s="1833"/>
      <c r="M40" s="1833"/>
    </row>
    <row r="41" spans="1:18" ht="18" customHeight="1">
      <c r="A41" s="347"/>
      <c r="B41" s="348"/>
      <c r="C41" s="349"/>
      <c r="D41" s="376" t="s">
        <v>1480</v>
      </c>
      <c r="E41" s="345" t="s">
        <v>1468</v>
      </c>
      <c r="F41" s="377">
        <f ca="1">IF(INDIRECT("'数据-取费表'!af"&amp;$G$1)=0,INDIRECT("'数据-取费表'!ae"&amp;$G$1),INDIRECT("'数据-取费表'!af"&amp;$G$1))</f>
        <v>66.48</v>
      </c>
      <c r="G41" s="1845"/>
      <c r="H41" s="730"/>
      <c r="I41" s="1854"/>
      <c r="J41" s="1855"/>
      <c r="K41" s="749"/>
      <c r="L41" s="730"/>
      <c r="M41" s="730"/>
    </row>
    <row r="42" spans="1:18" ht="18" customHeight="1">
      <c r="A42" s="351"/>
      <c r="B42" s="352"/>
      <c r="C42" s="353"/>
      <c r="D42" s="371"/>
      <c r="E42" s="345" t="s">
        <v>1471</v>
      </c>
      <c r="F42" s="355">
        <f ca="1">INDIRECT("'数据-取费表'!v"&amp;$G$1)</f>
        <v>0</v>
      </c>
      <c r="G42" s="1845"/>
      <c r="H42" s="730"/>
      <c r="I42" s="1854"/>
      <c r="J42" s="1855"/>
      <c r="K42" s="749"/>
      <c r="L42" s="730"/>
      <c r="M42" s="730"/>
    </row>
    <row r="43" spans="1:18" ht="18" customHeight="1" thickBot="1">
      <c r="A43" s="378" t="s">
        <v>1029</v>
      </c>
      <c r="B43" s="379" t="s">
        <v>1481</v>
      </c>
      <c r="C43" s="380">
        <f ca="1">ROUND(C40*10000/F43,0)</f>
        <v>14143</v>
      </c>
      <c r="D43" s="381" t="s">
        <v>1482</v>
      </c>
      <c r="E43" s="382" t="s">
        <v>1483</v>
      </c>
      <c r="F43" s="383">
        <f ca="1">INDIRECT("'数据-取费表'!k"&amp;$G$1)</f>
        <v>32388.770000000004</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1513</v>
      </c>
      <c r="P45" s="1833"/>
      <c r="Q45" s="1833"/>
      <c r="R45" s="1833"/>
    </row>
    <row r="46" spans="1:18" s="1836" customFormat="1" ht="13.5" thickBot="1">
      <c r="A46" s="1864" t="s">
        <v>1514</v>
      </c>
      <c r="C46" s="1865">
        <f ca="1">C68-C40</f>
        <v>-85029</v>
      </c>
      <c r="D46" s="1866" t="str">
        <f>C2</f>
        <v>万元</v>
      </c>
      <c r="E46" s="1860"/>
      <c r="F46" s="1860"/>
      <c r="I46" s="1867" t="s">
        <v>1515</v>
      </c>
      <c r="J46" s="1868"/>
      <c r="K46" s="1869"/>
      <c r="L46" s="1870">
        <f>IF(M47="住宅",0,IF(L48&gt;J51,L60,J60))</f>
        <v>0</v>
      </c>
      <c r="O46" s="1871" t="s">
        <v>1516</v>
      </c>
      <c r="P46" s="1872" t="s">
        <v>1517</v>
      </c>
      <c r="Q46" s="1873" t="s">
        <v>1518</v>
      </c>
      <c r="R46" s="1873" t="s">
        <v>1519</v>
      </c>
    </row>
    <row r="47" spans="1:18" s="1836" customFormat="1" ht="13.5" thickBot="1">
      <c r="A47" s="1161" t="s">
        <v>1390</v>
      </c>
      <c r="B47" s="1193" t="s">
        <v>1391</v>
      </c>
      <c r="C47" s="1363" t="s">
        <v>1392</v>
      </c>
      <c r="D47" s="1193" t="s">
        <v>1393</v>
      </c>
      <c r="E47" s="1275" t="s">
        <v>1394</v>
      </c>
      <c r="F47" s="1276"/>
      <c r="G47" s="790"/>
      <c r="I47" s="1874" t="s">
        <v>1520</v>
      </c>
      <c r="J47" s="1875" t="s">
        <v>4529</v>
      </c>
      <c r="K47" s="1876" t="s">
        <v>1521</v>
      </c>
      <c r="L47" s="1877">
        <f ca="1">INDIRECT("'数据-取费表'!d"&amp;$G$1)</f>
        <v>70</v>
      </c>
      <c r="M47" s="1832" t="str">
        <f>IF(ISNUMBER(FIND("住宅",C1)),"住宅","非住宅")</f>
        <v>住宅</v>
      </c>
      <c r="O47" s="1878" t="s">
        <v>1036</v>
      </c>
      <c r="P47" s="1879" t="s">
        <v>1522</v>
      </c>
      <c r="Q47" s="1880">
        <f ca="1">C40+J29</f>
        <v>45806</v>
      </c>
      <c r="R47" s="1880" t="s">
        <v>1523</v>
      </c>
    </row>
    <row r="48" spans="1:18" s="1836" customFormat="1" ht="28.5" thickBot="1">
      <c r="A48" s="1356" t="s">
        <v>1131</v>
      </c>
      <c r="B48" s="343" t="s">
        <v>1395</v>
      </c>
      <c r="C48" s="1811">
        <f ca="1">C49+C53+C55</f>
        <v>0</v>
      </c>
      <c r="D48" s="1358"/>
      <c r="E48" s="1359"/>
      <c r="F48" s="1177"/>
      <c r="G48" s="790"/>
      <c r="H48" s="791"/>
      <c r="I48" s="1881" t="s">
        <v>1524</v>
      </c>
      <c r="J48" s="1882" t="s">
        <v>4530</v>
      </c>
      <c r="K48" s="1883" t="s">
        <v>1525</v>
      </c>
      <c r="L48" s="1884">
        <f ca="1">INDIRECT("'数据-取费表'!f"&amp;$G$1)</f>
        <v>67.48</v>
      </c>
      <c r="O48" s="1878" t="s">
        <v>1037</v>
      </c>
      <c r="P48" s="1879" t="s">
        <v>1526</v>
      </c>
      <c r="Q48" s="1880" t="str">
        <f ca="1">J60</f>
        <v>0</v>
      </c>
      <c r="R48" s="1880" t="s">
        <v>1527</v>
      </c>
    </row>
    <row r="49" spans="1:18" s="1836" customFormat="1" ht="13.5" thickBot="1">
      <c r="A49" s="1190" t="s">
        <v>1132</v>
      </c>
      <c r="B49" s="1823" t="s">
        <v>1484</v>
      </c>
      <c r="C49" s="1360">
        <f ca="1">ROUND(F49*F51*F50*(1-F52)/10000,0)</f>
        <v>0</v>
      </c>
      <c r="D49" s="1272" t="s">
        <v>3013</v>
      </c>
      <c r="E49" s="1824" t="s">
        <v>1485</v>
      </c>
      <c r="F49" s="1277"/>
      <c r="G49" s="1885"/>
      <c r="H49" s="791"/>
      <c r="I49" s="1881" t="s">
        <v>1528</v>
      </c>
      <c r="J49" s="1886">
        <v>2021</v>
      </c>
      <c r="K49" s="1883" t="s">
        <v>1529</v>
      </c>
      <c r="L49" s="1887"/>
      <c r="O49" s="1888" t="s">
        <v>1038</v>
      </c>
      <c r="P49" s="1879" t="s">
        <v>1530</v>
      </c>
      <c r="Q49" s="1880">
        <f ca="1">C29</f>
        <v>18539</v>
      </c>
      <c r="R49" s="1880" t="s">
        <v>1523</v>
      </c>
    </row>
    <row r="50" spans="1:18" s="1836" customFormat="1" ht="13.5" thickBot="1">
      <c r="A50" s="1191"/>
      <c r="B50" s="1194"/>
      <c r="C50" s="1364"/>
      <c r="D50" s="1168"/>
      <c r="E50" s="1273" t="s">
        <v>1400</v>
      </c>
      <c r="F50" s="1274">
        <f ca="1">F7</f>
        <v>32388.770000000004</v>
      </c>
      <c r="H50" s="791"/>
      <c r="I50" s="1881" t="s">
        <v>1531</v>
      </c>
      <c r="J50" s="1889">
        <f>SUMPRODUCT((I63:I65=J47)*(J62:L62=J48)*(J63:L65))</f>
        <v>60</v>
      </c>
      <c r="K50" s="1883" t="s">
        <v>1532</v>
      </c>
      <c r="L50" s="1887"/>
      <c r="M50" s="1890"/>
      <c r="O50" s="1888" t="s">
        <v>1039</v>
      </c>
      <c r="P50" s="1879" t="s">
        <v>1533</v>
      </c>
      <c r="Q50" s="1891" t="e">
        <f ca="1">J58</f>
        <v>#VALUE!</v>
      </c>
      <c r="R50" s="1880"/>
    </row>
    <row r="51" spans="1:18" s="1836" customFormat="1" ht="13.5" thickBot="1">
      <c r="A51" s="1192"/>
      <c r="B51" s="1194"/>
      <c r="C51" s="1195"/>
      <c r="D51" s="1168"/>
      <c r="E51" s="1196" t="s">
        <v>1401</v>
      </c>
      <c r="F51" s="346">
        <f ca="1">F8</f>
        <v>365</v>
      </c>
      <c r="I51" s="1892" t="s">
        <v>1534</v>
      </c>
      <c r="J51" s="1893">
        <f>IF(J49="",J50,J49+J50-YEAR('数据-取费表'!B2))</f>
        <v>61</v>
      </c>
      <c r="K51" s="1894" t="s">
        <v>1535</v>
      </c>
      <c r="L51" s="1895">
        <f ca="1">ROUND(-PV(INDIRECT("'数据-取费表'!h"&amp;$G$1),L48,(C39-C13*C76),0),0)</f>
        <v>13987</v>
      </c>
      <c r="M51" s="1896"/>
      <c r="O51" s="1888" t="s">
        <v>1040</v>
      </c>
      <c r="P51" s="1879" t="s">
        <v>1536</v>
      </c>
      <c r="Q51" s="1891">
        <f>J52</f>
        <v>0.09</v>
      </c>
      <c r="R51" s="1880"/>
    </row>
    <row r="52" spans="1:18" s="1836" customFormat="1" ht="13.5" thickBot="1">
      <c r="A52" s="1192"/>
      <c r="B52" s="1194"/>
      <c r="C52" s="1195"/>
      <c r="D52" s="1168"/>
      <c r="E52" s="1196" t="s">
        <v>1402</v>
      </c>
      <c r="F52" s="1271"/>
      <c r="I52" s="1897" t="s">
        <v>1537</v>
      </c>
      <c r="J52" s="1898">
        <v>0.09</v>
      </c>
      <c r="K52" s="1897" t="s">
        <v>1538</v>
      </c>
      <c r="L52" s="1898"/>
      <c r="O52" s="1888" t="s">
        <v>1041</v>
      </c>
      <c r="P52" s="1879" t="s">
        <v>1539</v>
      </c>
      <c r="Q52" s="1880">
        <f ca="1">J53</f>
        <v>66.48</v>
      </c>
      <c r="R52" s="1880" t="s">
        <v>1540</v>
      </c>
    </row>
    <row r="53" spans="1:18" s="1836" customFormat="1" ht="24.75" thickBot="1">
      <c r="A53" s="1401" t="s">
        <v>1133</v>
      </c>
      <c r="B53" s="1825" t="s">
        <v>1403</v>
      </c>
      <c r="C53" s="359">
        <f ca="1">ROUND(IF(F53="押一",C49/12*F11,IF(F53="押二",C49/12*2*F11,IF(F53="押三",C49/12*3*F11,C54*F11))),0)</f>
        <v>0</v>
      </c>
      <c r="D53" s="1818" t="s">
        <v>3020</v>
      </c>
      <c r="E53" s="356" t="s">
        <v>1404</v>
      </c>
      <c r="F53" s="1362"/>
      <c r="I53" s="1899" t="s">
        <v>1541</v>
      </c>
      <c r="J53" s="2934">
        <f ca="1">IF(M47="住宅",IF(D1="——",MAX(J51,L48),MAX(J51,L48-'数据-取费表'!B24)),IF(D1="——",MIN(J51,L48),MIN(J51,L48-'数据-取费表'!B24)))</f>
        <v>66.48</v>
      </c>
      <c r="K53" s="3376" t="s">
        <v>1542</v>
      </c>
      <c r="L53" s="3377"/>
      <c r="O53" s="1878" t="s">
        <v>1042</v>
      </c>
      <c r="P53" s="1879" t="s">
        <v>1543</v>
      </c>
      <c r="Q53" s="1880">
        <f ca="1">Q47+Q48</f>
        <v>45806</v>
      </c>
      <c r="R53" s="1880" t="s">
        <v>1043</v>
      </c>
    </row>
    <row r="54" spans="1:18" s="1836" customFormat="1" ht="13.5" thickBot="1">
      <c r="A54" s="1402"/>
      <c r="B54" s="1819" t="s">
        <v>1382</v>
      </c>
      <c r="C54" s="1174"/>
      <c r="D54" s="1818"/>
      <c r="E54" s="1826"/>
      <c r="F54" s="1900"/>
      <c r="I54" s="190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2"/>
      <c r="K54" s="1902"/>
      <c r="L54" s="1902"/>
      <c r="M54" s="1885"/>
      <c r="O54" s="1863" t="s">
        <v>1544</v>
      </c>
      <c r="P54" s="1833"/>
      <c r="Q54" s="1833"/>
      <c r="R54" s="1833"/>
    </row>
    <row r="55" spans="1:18" s="1836" customFormat="1" ht="13.5" thickBot="1">
      <c r="A55" s="1329" t="s">
        <v>1071</v>
      </c>
      <c r="B55" s="1821" t="s">
        <v>1407</v>
      </c>
      <c r="C55" s="1330"/>
      <c r="D55" s="1818"/>
      <c r="E55" s="1826"/>
      <c r="F55" s="1900"/>
      <c r="I55" s="1903" t="s">
        <v>1545</v>
      </c>
      <c r="J55" s="1904" t="e">
        <f ca="1">ROUND(IF(J47="钢混",J57/J50,1-(1-2%)*(J50-J57)/J50),3)</f>
        <v>#VALUE!</v>
      </c>
      <c r="K55" s="1905" t="s">
        <v>1546</v>
      </c>
      <c r="L55" s="1906" t="s">
        <v>1547</v>
      </c>
      <c r="O55" s="1871" t="s">
        <v>1516</v>
      </c>
      <c r="P55" s="1872" t="s">
        <v>1517</v>
      </c>
      <c r="Q55" s="1873" t="s">
        <v>1518</v>
      </c>
      <c r="R55" s="1873" t="s">
        <v>1519</v>
      </c>
    </row>
    <row r="56" spans="1:18" s="1836" customFormat="1" ht="25.5" thickTop="1" thickBot="1">
      <c r="A56" s="1172">
        <v>2</v>
      </c>
      <c r="B56" s="1173" t="s">
        <v>1408</v>
      </c>
      <c r="C56" s="274">
        <f ca="1">C13</f>
        <v>18539</v>
      </c>
      <c r="D56" s="1907"/>
      <c r="E56" s="1908"/>
      <c r="F56" s="1900"/>
      <c r="I56" s="1909" t="s">
        <v>1548</v>
      </c>
      <c r="J56" s="1910" t="s">
        <v>4433</v>
      </c>
      <c r="K56" s="1881" t="s">
        <v>1549</v>
      </c>
      <c r="L56" s="1884">
        <f ca="1">IF(L48&lt;J51,"——",L48-J53)</f>
        <v>1</v>
      </c>
      <c r="O56" s="1878" t="s">
        <v>1036</v>
      </c>
      <c r="P56" s="1879" t="s">
        <v>1522</v>
      </c>
      <c r="Q56" s="1880">
        <f ca="1">C40+J29</f>
        <v>45806</v>
      </c>
      <c r="R56" s="1880" t="s">
        <v>1523</v>
      </c>
    </row>
    <row r="57" spans="1:18" s="1836" customFormat="1" ht="24.75" thickBot="1">
      <c r="A57" s="1911"/>
      <c r="B57" s="1165" t="s">
        <v>1472</v>
      </c>
      <c r="C57" s="280">
        <f ca="1">C29</f>
        <v>18539</v>
      </c>
      <c r="D57" s="1912"/>
      <c r="E57" s="1913"/>
      <c r="F57" s="1914"/>
      <c r="I57" s="1915" t="s">
        <v>1550</v>
      </c>
      <c r="J57" s="1916" t="str">
        <f ca="1">IF(OR(M47="住宅",J51&lt;L48,J56="是"),"——",J51-L48)</f>
        <v>——</v>
      </c>
      <c r="K57" s="1881" t="s">
        <v>1551</v>
      </c>
      <c r="L57" s="1884">
        <f ca="1">IF(L48&lt;J51,"——",IF(L55="比较法",L49,IF(L55="基准地价",L50,L51)))</f>
        <v>13987</v>
      </c>
      <c r="O57" s="1878" t="s">
        <v>1037</v>
      </c>
      <c r="P57" s="1879" t="s">
        <v>1552</v>
      </c>
      <c r="Q57" s="1880">
        <f ca="1">L60</f>
        <v>0</v>
      </c>
      <c r="R57" s="1880" t="s">
        <v>1553</v>
      </c>
    </row>
    <row r="58" spans="1:18" s="1836" customFormat="1" ht="24.75" thickBot="1">
      <c r="A58" s="358" t="s">
        <v>1026</v>
      </c>
      <c r="B58" s="1173" t="s">
        <v>1418</v>
      </c>
      <c r="C58" s="359">
        <f ca="1">ROUND(C59+C64+C65+C66,0)</f>
        <v>1865</v>
      </c>
      <c r="D58" s="1175" t="s">
        <v>1419</v>
      </c>
      <c r="E58" s="1176"/>
      <c r="F58" s="1177"/>
      <c r="I58" s="1915" t="s">
        <v>1554</v>
      </c>
      <c r="J58" s="1917" t="e">
        <f ca="1">IF(J55&lt;0.4,0.4,J55)</f>
        <v>#VALUE!</v>
      </c>
      <c r="K58" s="1894" t="s">
        <v>1555</v>
      </c>
      <c r="L58" s="1884" t="e">
        <f ca="1">ROUND(POWER(1+L52,L47-L48)*(POWER(1+L52,L48)-1)/(POWER(1+L52,L47)-1),4)</f>
        <v>#DIV/0!</v>
      </c>
      <c r="O58" s="1888" t="s">
        <v>1038</v>
      </c>
      <c r="P58" s="1879" t="s">
        <v>1556</v>
      </c>
      <c r="Q58" s="1880">
        <f>IF(L55="比较法",L49,IF(L55="基准地价",L50,0))</f>
        <v>0</v>
      </c>
      <c r="R58" s="1880" t="s">
        <v>1523</v>
      </c>
    </row>
    <row r="59" spans="1:18" s="1836" customFormat="1" ht="24.75" thickBot="1">
      <c r="A59" s="1197" t="s">
        <v>1031</v>
      </c>
      <c r="B59" s="1165" t="s">
        <v>1423</v>
      </c>
      <c r="C59" s="24">
        <f ca="1">ROUND(IF(项目基本情况!B11="自然人",C48*F59,C60+C61+C62),1)</f>
        <v>1559.3</v>
      </c>
      <c r="D59" s="1178" t="s">
        <v>1424</v>
      </c>
      <c r="E59" s="1179" t="s">
        <v>1425</v>
      </c>
      <c r="F59" s="366" t="str">
        <f ca="1">IF(项目基本情况!B11="企业","",IF(INDIRECT("'数据-取费表'!c"&amp;$G$1)="住宅",5%,IF(F49*F50*F51/12/(1+'数据-取费表'!C42)&gt;20000,12%,7%)))</f>
        <v/>
      </c>
      <c r="I59" s="1915" t="s">
        <v>1557</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1039</v>
      </c>
      <c r="P59" s="1879" t="s">
        <v>1558</v>
      </c>
      <c r="Q59" s="1891">
        <f>L52</f>
        <v>0</v>
      </c>
      <c r="R59" s="1880"/>
    </row>
    <row r="60" spans="1:18" s="1836" customFormat="1" ht="16.5" thickBot="1">
      <c r="A60" s="1197" t="s">
        <v>1030</v>
      </c>
      <c r="B60" s="1165" t="s">
        <v>1427</v>
      </c>
      <c r="C60" s="24">
        <f ca="1">IF(项目基本情况!B11="自然人","——",ROUND(C48*F60/(1+'数据-取费表'!C42),2))</f>
        <v>0</v>
      </c>
      <c r="D60" s="1179" t="s">
        <v>1428</v>
      </c>
      <c r="E60" s="1165" t="s">
        <v>1416</v>
      </c>
      <c r="F60" s="375">
        <f t="shared" ref="F60:F66" si="0">F32</f>
        <v>5.5000000000000007E-2</v>
      </c>
      <c r="I60" s="1918" t="s">
        <v>1559</v>
      </c>
      <c r="J60" s="1919" t="str">
        <f ca="1">IF(OR(M47="住宅",J51&lt;L48,J56="是"),"0",ROUND(J59/(1+J52)^J53,0))</f>
        <v>0</v>
      </c>
      <c r="K60" s="1920" t="s">
        <v>1560</v>
      </c>
      <c r="L60" s="1919">
        <f ca="1">IF(OR(M47="住宅",L48&lt;J51),0,ROUND(L57*(L58/L59-1),0))</f>
        <v>0</v>
      </c>
      <c r="O60" s="1888" t="s">
        <v>1040</v>
      </c>
      <c r="P60" s="1879" t="s">
        <v>1561</v>
      </c>
      <c r="Q60" s="1880" t="e">
        <f ca="1">L58</f>
        <v>#DIV/0!</v>
      </c>
      <c r="R60" s="1880" t="s">
        <v>1562</v>
      </c>
    </row>
    <row r="61" spans="1:18" s="1836" customFormat="1" ht="13.5" thickBot="1">
      <c r="A61" s="1197" t="s">
        <v>1486</v>
      </c>
      <c r="B61" s="1165" t="s">
        <v>1487</v>
      </c>
      <c r="C61" s="24">
        <f ca="1">IF(项目基本情况!B11="自然人","——",IF(D61="按租金收入计税",ROUND(C48*F61,2),IF(D61="按房产原值计税",ROUND(C57*F61*0.7,2),INDIRECT("'数据-取费表'!Aj"&amp;$G$1))))</f>
        <v>1557.28</v>
      </c>
      <c r="D61" s="1822" t="s">
        <v>1432</v>
      </c>
      <c r="E61" s="1165" t="s">
        <v>1488</v>
      </c>
      <c r="F61" s="365">
        <f t="shared" si="0"/>
        <v>0.12</v>
      </c>
      <c r="I61" s="1921"/>
      <c r="J61" s="1921"/>
      <c r="K61" s="1921"/>
      <c r="L61" s="1921"/>
      <c r="O61" s="1888" t="s">
        <v>1041</v>
      </c>
      <c r="P61" s="1879" t="str">
        <f>K59</f>
        <v>续建工期及建筑物耐用年限下的土地年期修正系数Kn</v>
      </c>
      <c r="Q61" s="1880" t="e">
        <f ca="1">L59</f>
        <v>#DIV/0!</v>
      </c>
      <c r="R61" s="1880" t="s">
        <v>1563</v>
      </c>
    </row>
    <row r="62" spans="1:18" s="1836" customFormat="1" ht="13.5" thickBot="1">
      <c r="A62" s="1197" t="s">
        <v>1489</v>
      </c>
      <c r="B62" s="1164" t="s">
        <v>1490</v>
      </c>
      <c r="C62" s="25">
        <f ca="1">IF(项目基本情况!B11="自然人","——",ROUND(F62*F63/10000,2))</f>
        <v>2.02</v>
      </c>
      <c r="D62" s="1180" t="s">
        <v>1491</v>
      </c>
      <c r="E62" s="1165" t="s">
        <v>1492</v>
      </c>
      <c r="F62" s="369">
        <f t="shared" si="0"/>
        <v>1.5</v>
      </c>
      <c r="I62" s="1922" t="s">
        <v>1564</v>
      </c>
      <c r="J62" s="1923" t="s">
        <v>1565</v>
      </c>
      <c r="K62" s="1923" t="s">
        <v>1566</v>
      </c>
      <c r="L62" s="1923" t="s">
        <v>1567</v>
      </c>
      <c r="M62" s="1924" t="s">
        <v>1568</v>
      </c>
      <c r="O62" s="1878" t="s">
        <v>1042</v>
      </c>
      <c r="P62" s="1879" t="s">
        <v>1569</v>
      </c>
      <c r="Q62" s="1880">
        <f ca="1">Q56+Q57</f>
        <v>45806</v>
      </c>
      <c r="R62" s="1880" t="s">
        <v>1043</v>
      </c>
    </row>
    <row r="63" spans="1:18" s="1836" customFormat="1" ht="13.5" thickBot="1">
      <c r="A63" s="370"/>
      <c r="B63" s="1171"/>
      <c r="C63" s="29"/>
      <c r="D63" s="1181"/>
      <c r="E63" s="1165" t="s">
        <v>1493</v>
      </c>
      <c r="F63" s="346">
        <f t="shared" ca="1" si="0"/>
        <v>13461.49</v>
      </c>
      <c r="I63" s="1922" t="s">
        <v>1570</v>
      </c>
      <c r="J63" s="1923">
        <v>70</v>
      </c>
      <c r="K63" s="1923">
        <v>50</v>
      </c>
      <c r="L63" s="1923">
        <v>80</v>
      </c>
      <c r="M63" s="1925">
        <v>0.02</v>
      </c>
      <c r="O63" s="1863" t="s">
        <v>1571</v>
      </c>
      <c r="P63" s="1833"/>
      <c r="Q63" s="1833"/>
      <c r="R63" s="1833"/>
    </row>
    <row r="64" spans="1:18" s="1836" customFormat="1" ht="13.5" thickBot="1">
      <c r="A64" s="1197" t="s">
        <v>1494</v>
      </c>
      <c r="B64" s="1165" t="s">
        <v>1495</v>
      </c>
      <c r="C64" s="24">
        <f ca="1">ROUND(C57*F64,1)</f>
        <v>278.10000000000002</v>
      </c>
      <c r="D64" s="1179" t="s">
        <v>1496</v>
      </c>
      <c r="E64" s="1165" t="s">
        <v>1488</v>
      </c>
      <c r="F64" s="372">
        <f t="shared" ca="1" si="0"/>
        <v>1.4999999999999999E-2</v>
      </c>
      <c r="I64" s="1922" t="s">
        <v>1572</v>
      </c>
      <c r="J64" s="1923">
        <v>50</v>
      </c>
      <c r="K64" s="1923">
        <v>35</v>
      </c>
      <c r="L64" s="1923">
        <v>60</v>
      </c>
      <c r="M64" s="1924">
        <v>0</v>
      </c>
      <c r="O64" s="1871" t="s">
        <v>1516</v>
      </c>
      <c r="P64" s="1872" t="s">
        <v>1517</v>
      </c>
      <c r="Q64" s="1873" t="s">
        <v>1518</v>
      </c>
      <c r="R64" s="1873" t="s">
        <v>1519</v>
      </c>
    </row>
    <row r="65" spans="1:18" s="1836" customFormat="1" ht="13.5" thickBot="1">
      <c r="A65" s="1197" t="s">
        <v>1497</v>
      </c>
      <c r="B65" s="1165" t="s">
        <v>1447</v>
      </c>
      <c r="C65" s="24">
        <f ca="1">ROUND(C56*F65,1)</f>
        <v>27.8</v>
      </c>
      <c r="D65" s="1179" t="s">
        <v>1448</v>
      </c>
      <c r="E65" s="1165" t="s">
        <v>1449</v>
      </c>
      <c r="F65" s="374">
        <f t="shared" ca="1" si="0"/>
        <v>1.5E-3</v>
      </c>
      <c r="I65" s="1922" t="s">
        <v>1573</v>
      </c>
      <c r="J65" s="1923">
        <v>40</v>
      </c>
      <c r="K65" s="1923">
        <v>30</v>
      </c>
      <c r="L65" s="1923">
        <v>50</v>
      </c>
      <c r="M65" s="1925">
        <v>0.02</v>
      </c>
      <c r="O65" s="1878" t="s">
        <v>1036</v>
      </c>
      <c r="P65" s="1879" t="s">
        <v>1574</v>
      </c>
      <c r="Q65" s="1880">
        <f ca="1">C40+J29</f>
        <v>45806</v>
      </c>
      <c r="R65" s="1880" t="s">
        <v>1523</v>
      </c>
    </row>
    <row r="66" spans="1:18" s="1836" customFormat="1" ht="16.5" thickBot="1">
      <c r="A66" s="1197" t="s">
        <v>1498</v>
      </c>
      <c r="B66" s="1165" t="s">
        <v>1433</v>
      </c>
      <c r="C66" s="24">
        <f ca="1">ROUND(C48*F66,1)</f>
        <v>0</v>
      </c>
      <c r="D66" s="1179" t="s">
        <v>1499</v>
      </c>
      <c r="E66" s="1165" t="s">
        <v>1416</v>
      </c>
      <c r="F66" s="355">
        <f t="shared" ca="1" si="0"/>
        <v>0.01</v>
      </c>
      <c r="O66" s="1878" t="s">
        <v>1037</v>
      </c>
      <c r="P66" s="1879" t="s">
        <v>1552</v>
      </c>
      <c r="Q66" s="1880">
        <f ca="1">L60</f>
        <v>0</v>
      </c>
      <c r="R66" s="1880" t="s">
        <v>1575</v>
      </c>
    </row>
    <row r="67" spans="1:18" s="1836" customFormat="1" ht="16.5" thickBot="1">
      <c r="A67" s="1172" t="s">
        <v>1027</v>
      </c>
      <c r="B67" s="1182" t="s">
        <v>1457</v>
      </c>
      <c r="C67" s="359">
        <f ca="1">C48-C58</f>
        <v>-1865</v>
      </c>
      <c r="D67" s="1178" t="s">
        <v>1458</v>
      </c>
      <c r="E67" s="1183"/>
      <c r="F67" s="1184"/>
      <c r="O67" s="1888" t="s">
        <v>1038</v>
      </c>
      <c r="P67" s="1879" t="s">
        <v>1556</v>
      </c>
      <c r="Q67" s="1926">
        <f ca="1">L51</f>
        <v>13987</v>
      </c>
      <c r="R67" s="1880" t="s">
        <v>1576</v>
      </c>
    </row>
    <row r="68" spans="1:18" s="1836" customFormat="1" ht="16.5" thickBot="1">
      <c r="A68" s="1162" t="s">
        <v>1028</v>
      </c>
      <c r="B68" s="1163" t="s">
        <v>1479</v>
      </c>
      <c r="C68" s="344">
        <f ca="1">ROUND(C67*(1-((1+F70)/(1+F68))^F69)/(F68-F70),0)</f>
        <v>-39223</v>
      </c>
      <c r="D68" s="1180" t="s">
        <v>1463</v>
      </c>
      <c r="E68" s="1165" t="s">
        <v>1464</v>
      </c>
      <c r="F68" s="355">
        <f ca="1">F40</f>
        <v>4.4999999999999998E-2</v>
      </c>
      <c r="O68" s="1888" t="s">
        <v>1039</v>
      </c>
      <c r="P68" s="1927" t="s">
        <v>1577</v>
      </c>
      <c r="Q68" s="1880">
        <f ca="1">ROUND(Q69-Q70*Q71,0)</f>
        <v>602</v>
      </c>
      <c r="R68" s="1880" t="s">
        <v>1047</v>
      </c>
    </row>
    <row r="69" spans="1:18" s="1836" customFormat="1" ht="13.5" thickBot="1">
      <c r="A69" s="1166"/>
      <c r="B69" s="1167"/>
      <c r="C69" s="349"/>
      <c r="D69" s="1185" t="s">
        <v>1467</v>
      </c>
      <c r="E69" s="1165" t="s">
        <v>1468</v>
      </c>
      <c r="F69" s="377">
        <f ca="1">F41</f>
        <v>66.48</v>
      </c>
      <c r="O69" s="1888" t="s">
        <v>1044</v>
      </c>
      <c r="P69" s="1927" t="s">
        <v>1578</v>
      </c>
      <c r="Q69" s="1880">
        <f ca="1">C39</f>
        <v>2178</v>
      </c>
      <c r="R69" s="1880" t="s">
        <v>1523</v>
      </c>
    </row>
    <row r="70" spans="1:18" s="1836" customFormat="1" ht="13.5" thickBot="1">
      <c r="A70" s="1169"/>
      <c r="B70" s="1170"/>
      <c r="C70" s="353"/>
      <c r="D70" s="1181"/>
      <c r="E70" s="1165" t="s">
        <v>1471</v>
      </c>
      <c r="F70" s="1271"/>
      <c r="O70" s="1888" t="s">
        <v>1045</v>
      </c>
      <c r="P70" s="1927" t="s">
        <v>1579</v>
      </c>
      <c r="Q70" s="1880">
        <f ca="1">C13</f>
        <v>18539</v>
      </c>
      <c r="R70" s="1880" t="s">
        <v>1523</v>
      </c>
    </row>
    <row r="71" spans="1:18" s="1836" customFormat="1" ht="13.5" thickBot="1">
      <c r="A71" s="1186" t="s">
        <v>1029</v>
      </c>
      <c r="B71" s="1187" t="s">
        <v>1481</v>
      </c>
      <c r="C71" s="380">
        <f ca="1">ROUND(C68*10000/F71,0)</f>
        <v>-12110</v>
      </c>
      <c r="D71" s="1188" t="s">
        <v>1482</v>
      </c>
      <c r="E71" s="1189" t="s">
        <v>1483</v>
      </c>
      <c r="F71" s="383">
        <f ca="1">F43</f>
        <v>32388.770000000004</v>
      </c>
      <c r="O71" s="1888" t="s">
        <v>1046</v>
      </c>
      <c r="P71" s="1927" t="s">
        <v>1580</v>
      </c>
      <c r="Q71" s="1891">
        <f ca="1">C76</f>
        <v>8.5000000000000006E-2</v>
      </c>
      <c r="R71" s="1880"/>
    </row>
    <row r="72" spans="1:18" s="1836" customFormat="1" ht="13.5" thickBot="1">
      <c r="B72" s="794"/>
      <c r="C72" s="794"/>
      <c r="O72" s="1888" t="s">
        <v>1040</v>
      </c>
      <c r="P72" s="1879" t="s">
        <v>1558</v>
      </c>
      <c r="Q72" s="1891">
        <f>L52</f>
        <v>0</v>
      </c>
      <c r="R72" s="1880"/>
    </row>
    <row r="73" spans="1:18" ht="16.5" thickBot="1">
      <c r="A73" s="1836"/>
      <c r="B73" s="794"/>
      <c r="C73" s="794"/>
      <c r="D73" s="1836"/>
      <c r="E73" s="1836"/>
      <c r="F73" s="1836"/>
      <c r="O73" s="1888" t="s">
        <v>1041</v>
      </c>
      <c r="P73" s="1879" t="s">
        <v>1561</v>
      </c>
      <c r="Q73" s="1880" t="e">
        <f ca="1">L58</f>
        <v>#DIV/0!</v>
      </c>
      <c r="R73" s="1880" t="s">
        <v>1562</v>
      </c>
    </row>
    <row r="74" spans="1:18" ht="13.5" thickBot="1">
      <c r="A74" s="1836"/>
      <c r="B74" s="315" t="s">
        <v>1581</v>
      </c>
      <c r="C74" s="1929"/>
      <c r="D74" s="1836"/>
      <c r="E74" s="1836"/>
      <c r="F74" s="1836"/>
      <c r="O74" s="1888" t="s">
        <v>1048</v>
      </c>
      <c r="P74" s="1879" t="str">
        <f>K59</f>
        <v>续建工期及建筑物耐用年限下的土地年期修正系数Kn</v>
      </c>
      <c r="Q74" s="1880" t="e">
        <f ca="1">L59</f>
        <v>#DIV/0!</v>
      </c>
      <c r="R74" s="1880" t="s">
        <v>1563</v>
      </c>
    </row>
    <row r="75" spans="1:18" ht="13.5" thickBot="1">
      <c r="A75" s="1836"/>
      <c r="B75" s="384" t="s">
        <v>1500</v>
      </c>
      <c r="C75" s="385">
        <f ca="1">ROUND(C13*C76,0)</f>
        <v>1576</v>
      </c>
      <c r="D75" s="1836"/>
      <c r="E75" s="1836"/>
      <c r="F75" s="1836"/>
      <c r="K75" s="1862"/>
      <c r="L75" s="1836"/>
      <c r="O75" s="1878" t="s">
        <v>1042</v>
      </c>
      <c r="P75" s="1879" t="s">
        <v>1543</v>
      </c>
      <c r="Q75" s="1880">
        <f ca="1">Q65+Q66</f>
        <v>45806</v>
      </c>
      <c r="R75" s="1880" t="s">
        <v>1043</v>
      </c>
    </row>
    <row r="76" spans="1:18">
      <c r="B76" s="386" t="s">
        <v>1501</v>
      </c>
      <c r="C76" s="387">
        <f ca="1">INDIRECT("'数据-取费表'!j"&amp;$G$1)</f>
        <v>8.5000000000000006E-2</v>
      </c>
      <c r="I76" s="1836"/>
      <c r="J76" s="1836"/>
      <c r="K76" s="1862"/>
      <c r="L76" s="1836"/>
    </row>
    <row r="77" spans="1:18">
      <c r="B77" s="388" t="s">
        <v>1502</v>
      </c>
      <c r="C77" s="389"/>
      <c r="I77" s="1836"/>
      <c r="J77" s="1836"/>
      <c r="K77" s="1862"/>
      <c r="L77" s="1836"/>
    </row>
    <row r="78" spans="1:18">
      <c r="B78" s="312" t="s">
        <v>1503</v>
      </c>
      <c r="C78" s="390"/>
    </row>
    <row r="79" spans="1:18">
      <c r="B79" s="384" t="s">
        <v>1504</v>
      </c>
      <c r="C79" s="316">
        <f ca="1">1-C80</f>
        <v>0.27600000000000002</v>
      </c>
    </row>
    <row r="80" spans="1:18">
      <c r="B80" s="384" t="s">
        <v>1505</v>
      </c>
      <c r="C80" s="316">
        <f ca="1">ROUND(C75/C39,3)</f>
        <v>0.72399999999999998</v>
      </c>
    </row>
    <row r="81" spans="2:3">
      <c r="B81" s="312" t="s">
        <v>1506</v>
      </c>
      <c r="C81" s="280"/>
    </row>
    <row r="82" spans="2:3">
      <c r="B82" s="315" t="s">
        <v>1507</v>
      </c>
      <c r="C82" s="317">
        <f ca="1">1-C83</f>
        <v>0.59499999999999997</v>
      </c>
    </row>
    <row r="83" spans="2:3">
      <c r="B83" s="315" t="s">
        <v>1508</v>
      </c>
      <c r="C83" s="316">
        <f ca="1">ROUND(C13/C40,3)</f>
        <v>0.40500000000000003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8" customWidth="1"/>
    <col min="2" max="16384" width="9" style="1938"/>
  </cols>
  <sheetData>
    <row r="1" spans="1:1" ht="23.25">
      <c r="A1" s="1937" t="s">
        <v>1605</v>
      </c>
    </row>
    <row r="2" spans="1:1">
      <c r="A2" s="1939"/>
    </row>
    <row r="3" spans="1:1" ht="18">
      <c r="A3" s="1940" t="str">
        <f>项目基本情况!B5&amp;"："</f>
        <v>北京万龙华开房地产开发有限公司：</v>
      </c>
    </row>
    <row r="4" spans="1:1" ht="36">
      <c r="A4" s="1941" t="str">
        <f>"受贵公司委托，我公司对"&amp;项目基本情况!S1&amp;"进行了预评估。"</f>
        <v>受贵公司委托，我公司对北京市北京市顺义区高丽营镇于庄03-31号地块出让国有建设用地使用权及在建建筑物房地产抵押价值进行了预评估。</v>
      </c>
    </row>
    <row r="5" spans="1:1" ht="18.75">
      <c r="A5" s="1942" t="s">
        <v>1606</v>
      </c>
    </row>
    <row r="6" spans="1:1" ht="18.75">
      <c r="A6" s="1943" t="s">
        <v>1607</v>
      </c>
    </row>
    <row r="7" spans="1:1" ht="90">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顺义区高丽营镇于庄03-31号地块出让国有建设用地使用权及在建建筑物房地产，为北京万龙华开房地产开发有限公司所有。根据《房屋所有权证》[京（2018）顺不动产权第0000042、0000043号]、，估价对象（分摊）出让国有建设用地使用权面积为59319.7平方米，建筑面积为149246.95平方米。</v>
      </c>
    </row>
    <row r="8" spans="1:1" ht="57.75">
      <c r="A8" s="1944" t="s">
        <v>1608</v>
      </c>
    </row>
    <row r="9" spans="1:1" ht="18.75">
      <c r="A9" s="1943" t="s">
        <v>1609</v>
      </c>
    </row>
    <row r="10" spans="1:1" ht="90">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顺义区高丽营镇于庄03-31号地块出让国有建设用地使用权及在建建筑物房地产,属北京万龙华开房地产开发有限公司开发建设的居住项目，该项目尚在开发建设中。根据《房屋所有权证》[京（2018）顺不动产权第0000042、0000043号]、，估价对象（分摊）出让国有建设用地使用权面积为59319.7平方米，规划建筑面积为149246.95平方米。</v>
      </c>
    </row>
    <row r="11" spans="1:1" ht="76.5">
      <c r="A11" s="1944" t="s">
        <v>1610</v>
      </c>
    </row>
    <row r="12" spans="1:1" ht="18.75">
      <c r="A12" s="1942" t="s">
        <v>1611</v>
      </c>
    </row>
    <row r="13" spans="1:1" ht="38.25" customHeight="1">
      <c r="A13" s="1945" t="str">
        <f>IF(项目基本情况!B8="抵押",IF(项目基本情况!B5=项目基本情况!B6,定义!C51,定义!B51),定义!D51)</f>
        <v>为估价委托人在向中国建设银行股份有限公司北京城市建设开发专业支行办理贷款手续过程中，确定房地产抵押贷款额度提供参考依据而评估房地产抵押价值。</v>
      </c>
    </row>
    <row r="14" spans="1:1" ht="18.75">
      <c r="A14" s="1946" t="s">
        <v>1612</v>
      </c>
    </row>
    <row r="15" spans="1:1" ht="18">
      <c r="A15" s="1947" t="str">
        <f>TEXT(项目基本情况!D3,"yyyy年m月d日;;")&amp;IF(项目基本情况!D3=项目基本情况!B3,"（评估专业人员实地查勘之日）","")</f>
        <v>2020年2月17日（评估专业人员实地查勘之日）</v>
      </c>
    </row>
    <row r="16" spans="1:1" ht="18.75">
      <c r="A16" s="1946" t="s">
        <v>1613</v>
      </c>
    </row>
    <row r="17" spans="1:1" ht="75">
      <c r="A17" s="1941" t="s">
        <v>1614</v>
      </c>
    </row>
    <row r="18" spans="1:1" ht="72">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2月17日，估价对象规划用途为住宅、商业、地下车库及地下仓储，土地取得方式为出让，出让国有建设用地使用权剩余土地使用年限为住宅67.4年、商业37.4年、地下车库及地下仓储47.4年，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车库及地下仓储，实际开发程度为宗地红线外“七通”（即通路、通电、通讯、通上水、通下水、通热、燃气）、红线内场地平整条件下，剩余土地使用年限为住宅67.4年、商业37.4年、地下车库及地下仓储47.4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1" t="str">
        <f>IF(项目基本情况!B9="房地产市场价值","——",IF(项目基本情况!E9="——","",定义!C57))</f>
        <v/>
      </c>
    </row>
    <row r="23" spans="1:1" ht="18.75">
      <c r="A23" s="1946" t="s">
        <v>1603</v>
      </c>
    </row>
    <row r="24" spans="1:1" ht="18">
      <c r="A24" s="1948" t="str">
        <f>"本次评估采用的主估价方法为"&amp;结果表!K4&amp;"和"&amp;结果表!L4&amp;"。"</f>
        <v>本次评估采用的主估价方法为成本法和假设开发法。</v>
      </c>
    </row>
    <row r="25" spans="1:1" ht="18">
      <c r="A25" s="1948"/>
    </row>
    <row r="26" spans="1:1" ht="18.75">
      <c r="A26" s="1949" t="s">
        <v>1604</v>
      </c>
    </row>
    <row r="27" spans="1:1">
      <c r="A27" s="1950"/>
    </row>
    <row r="28" spans="1:1">
      <c r="A28" s="1950"/>
    </row>
    <row r="29" spans="1:1">
      <c r="A29" s="1950"/>
    </row>
    <row r="30" spans="1:1">
      <c r="A30" s="1950"/>
    </row>
    <row r="31" spans="1:1">
      <c r="A31" s="1950"/>
    </row>
    <row r="32" spans="1:1">
      <c r="A32" s="1950"/>
    </row>
    <row r="33" spans="1:1">
      <c r="A33" s="1950"/>
    </row>
    <row r="34" spans="1:1">
      <c r="A34" s="1950"/>
    </row>
    <row r="35" spans="1:1">
      <c r="A35" s="1950"/>
    </row>
    <row r="36" spans="1:1">
      <c r="A36" s="1950"/>
    </row>
    <row r="37" spans="1:1">
      <c r="A37" s="1950"/>
    </row>
    <row r="38" spans="1:1">
      <c r="A38" s="1950"/>
    </row>
    <row r="39" spans="1:1">
      <c r="A39" s="1950"/>
    </row>
    <row r="40" spans="1:1">
      <c r="A40" s="1950"/>
    </row>
    <row r="41" spans="1:1">
      <c r="A41" s="1950"/>
    </row>
    <row r="42" spans="1:1">
      <c r="A42" s="1950"/>
    </row>
    <row r="43" spans="1:1">
      <c r="A43" s="1950"/>
    </row>
    <row r="44" spans="1:1">
      <c r="A44" s="1950"/>
    </row>
    <row r="45" spans="1:1">
      <c r="A45" s="1950"/>
    </row>
    <row r="46" spans="1:1">
      <c r="A46" s="1950"/>
    </row>
    <row r="47" spans="1:1">
      <c r="A47" s="1950"/>
    </row>
    <row r="48" spans="1:1">
      <c r="A48" s="195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9" zoomScale="90" zoomScaleNormal="90" zoomScaleSheetLayoutView="90" workbookViewId="0">
      <selection activeCell="F44" sqref="F44"/>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1583</v>
      </c>
      <c r="B1" s="780"/>
      <c r="C1" s="1831" t="s">
        <v>1372</v>
      </c>
      <c r="D1" s="1814" t="s">
        <v>4526</v>
      </c>
      <c r="E1" s="1815" t="s">
        <v>1381</v>
      </c>
      <c r="F1" s="1279">
        <f ca="1">J53</f>
        <v>36.46</v>
      </c>
      <c r="G1" s="1830">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1509</v>
      </c>
      <c r="B2" s="1838">
        <f ca="1">C40+J29+L46</f>
        <v>1435</v>
      </c>
      <c r="C2" s="1839" t="s">
        <v>1510</v>
      </c>
      <c r="D2" s="1839"/>
      <c r="E2" s="1840"/>
      <c r="F2" s="1841"/>
      <c r="G2" s="1842"/>
      <c r="H2" s="1834"/>
      <c r="I2" s="1834"/>
      <c r="J2" s="1834"/>
      <c r="K2" s="1835"/>
      <c r="L2" s="1834"/>
      <c r="M2" s="1834"/>
    </row>
    <row r="3" spans="1:37" ht="18" customHeight="1" thickBot="1">
      <c r="A3" s="1843" t="s">
        <v>1511</v>
      </c>
      <c r="B3" s="1844">
        <f ca="1">IF(ISERROR(B2*10000/F43),0,ROUND(B2*10000/F43,0))</f>
        <v>22215</v>
      </c>
      <c r="C3" s="1839" t="s">
        <v>1512</v>
      </c>
      <c r="D3" s="1839"/>
      <c r="E3" s="1840"/>
      <c r="F3" s="1841"/>
      <c r="G3" s="1842"/>
      <c r="H3" s="742" t="s">
        <v>1582</v>
      </c>
      <c r="I3" s="1834"/>
      <c r="J3" s="1834"/>
      <c r="K3" s="1835"/>
      <c r="L3" s="1834"/>
      <c r="M3" s="1834"/>
    </row>
    <row r="4" spans="1:37" ht="18" customHeight="1">
      <c r="A4" s="338" t="s">
        <v>1390</v>
      </c>
      <c r="B4" s="339" t="s">
        <v>1391</v>
      </c>
      <c r="C4" s="339" t="s">
        <v>1392</v>
      </c>
      <c r="D4" s="339" t="s">
        <v>1393</v>
      </c>
      <c r="E4" s="340" t="s">
        <v>1394</v>
      </c>
      <c r="F4" s="341"/>
      <c r="G4" s="1845"/>
      <c r="H4" s="338" t="s">
        <v>1390</v>
      </c>
      <c r="I4" s="339" t="s">
        <v>1391</v>
      </c>
      <c r="J4" s="339" t="s">
        <v>1392</v>
      </c>
      <c r="K4" s="339" t="s">
        <v>1393</v>
      </c>
      <c r="L4" s="340" t="s">
        <v>1394</v>
      </c>
      <c r="M4" s="341"/>
    </row>
    <row r="5" spans="1:37" ht="18" customHeight="1">
      <c r="A5" s="342">
        <v>1</v>
      </c>
      <c r="B5" s="343" t="s">
        <v>1395</v>
      </c>
      <c r="C5" s="1288">
        <f ca="1">C6+C10+C12</f>
        <v>120</v>
      </c>
      <c r="D5" s="1816" t="s">
        <v>1396</v>
      </c>
      <c r="E5" s="1289"/>
      <c r="F5" s="1290"/>
      <c r="G5" s="1845"/>
      <c r="H5" s="342">
        <v>1</v>
      </c>
      <c r="I5" s="343" t="s">
        <v>1395</v>
      </c>
      <c r="J5" s="1288">
        <f ca="1">J6+J10+J12</f>
        <v>0</v>
      </c>
      <c r="K5" s="1816" t="s">
        <v>1396</v>
      </c>
      <c r="L5" s="1289"/>
      <c r="M5" s="1290"/>
    </row>
    <row r="6" spans="1:37" ht="18" customHeight="1">
      <c r="A6" s="1287" t="s">
        <v>1031</v>
      </c>
      <c r="B6" s="3378" t="s">
        <v>1397</v>
      </c>
      <c r="C6" s="1292">
        <f ca="1">ROUND(F6*F8*F7*(1-F9)/10000,0)</f>
        <v>120</v>
      </c>
      <c r="D6" s="162" t="s">
        <v>3012</v>
      </c>
      <c r="E6" s="345" t="s">
        <v>1399</v>
      </c>
      <c r="F6" s="346">
        <f ca="1">INDIRECT("'数据-取费表'!u"&amp;$G$1)</f>
        <v>6</v>
      </c>
      <c r="G6" s="1845"/>
      <c r="H6" s="1287" t="s">
        <v>1031</v>
      </c>
      <c r="I6" s="3378" t="s">
        <v>1397</v>
      </c>
      <c r="J6" s="344">
        <f ca="1">ROUND(M6*M8*M7*(1-M9)/10000,0)</f>
        <v>0</v>
      </c>
      <c r="K6" s="162" t="s">
        <v>3011</v>
      </c>
      <c r="L6" s="345" t="s">
        <v>1399</v>
      </c>
      <c r="M6" s="346">
        <f ca="1">INDIRECT("'数据-取费表'!z"&amp;$G$1)</f>
        <v>0</v>
      </c>
    </row>
    <row r="7" spans="1:37" ht="18" customHeight="1">
      <c r="A7" s="1291"/>
      <c r="B7" s="3379"/>
      <c r="C7" s="1293"/>
      <c r="D7" s="350"/>
      <c r="E7" s="2958" t="s">
        <v>1400</v>
      </c>
      <c r="F7" s="346">
        <f ca="1">IF(INDIRECT("'数据-取费表'!ah"&amp;$G$1)="",INDIRECT("'数据-取费表'!k"&amp;$G$1),INDIRECT("'数据-取费表'!ah"&amp;$G$1))</f>
        <v>645.96</v>
      </c>
      <c r="G7" s="1845"/>
      <c r="H7" s="347"/>
      <c r="I7" s="3379"/>
      <c r="J7" s="349"/>
      <c r="K7" s="350"/>
      <c r="L7" s="345" t="s">
        <v>1400</v>
      </c>
      <c r="M7" s="346">
        <f ca="1">F7</f>
        <v>645.96</v>
      </c>
    </row>
    <row r="8" spans="1:37" ht="18" customHeight="1">
      <c r="A8" s="347"/>
      <c r="B8" s="3379"/>
      <c r="C8" s="349"/>
      <c r="D8" s="350"/>
      <c r="E8" s="345" t="s">
        <v>1401</v>
      </c>
      <c r="F8" s="346">
        <f ca="1">INDIRECT("'数据-取费表'!ai"&amp;$G$1)</f>
        <v>365</v>
      </c>
      <c r="G8" s="1845"/>
      <c r="H8" s="347"/>
      <c r="I8" s="3379"/>
      <c r="J8" s="349"/>
      <c r="K8" s="350"/>
      <c r="L8" s="345" t="s">
        <v>1401</v>
      </c>
      <c r="M8" s="346">
        <f ca="1">INDIRECT("'数据-取费表'!ai"&amp;$G$1)</f>
        <v>365</v>
      </c>
    </row>
    <row r="9" spans="1:37" ht="18" customHeight="1">
      <c r="A9" s="347"/>
      <c r="B9" s="3380"/>
      <c r="C9" s="349"/>
      <c r="D9" s="350"/>
      <c r="E9" s="345" t="s">
        <v>1402</v>
      </c>
      <c r="F9" s="355">
        <f ca="1">INDIRECT("'数据-取费表'!w"&amp;$G$1)</f>
        <v>0.15</v>
      </c>
      <c r="G9" s="1845"/>
      <c r="H9" s="347"/>
      <c r="I9" s="3380"/>
      <c r="J9" s="349"/>
      <c r="K9" s="350"/>
      <c r="L9" s="356" t="s">
        <v>1402</v>
      </c>
      <c r="M9" s="357">
        <f ca="1">INDIRECT("'数据-取费表'!ab"&amp;$G$1)</f>
        <v>0</v>
      </c>
    </row>
    <row r="10" spans="1:37" ht="18" customHeight="1">
      <c r="A10" s="1287" t="s">
        <v>1035</v>
      </c>
      <c r="B10" s="1817" t="s">
        <v>1403</v>
      </c>
      <c r="C10" s="359">
        <f ca="1">ROUND(IF(F10="押一",C6/12*F11,IF(F10="押二",C6/12*2*F11,IF(F10="押三",C6/12*3*F11,C11*F11))),0)</f>
        <v>0</v>
      </c>
      <c r="D10" s="1818" t="s">
        <v>3020</v>
      </c>
      <c r="E10" s="356" t="s">
        <v>1404</v>
      </c>
      <c r="F10" s="1362" t="s">
        <v>4527</v>
      </c>
      <c r="G10" s="1845"/>
      <c r="H10" s="1287" t="s">
        <v>1035</v>
      </c>
      <c r="I10" s="1817" t="s">
        <v>1403</v>
      </c>
      <c r="J10" s="344">
        <f ca="1">ROUND(IF(M10="押一",J6/12*M11,IF(M10="押二",J6/12*2*M11,IF(M10="押三",J6/12*3*M11,J11*M11))),0)</f>
        <v>0</v>
      </c>
      <c r="K10" s="1818" t="s">
        <v>3020</v>
      </c>
      <c r="L10" s="356" t="s">
        <v>1404</v>
      </c>
      <c r="M10" s="1362" t="s">
        <v>1405</v>
      </c>
    </row>
    <row r="11" spans="1:37" ht="18" customHeight="1">
      <c r="A11" s="351"/>
      <c r="B11" s="1819" t="s">
        <v>1382</v>
      </c>
      <c r="C11" s="1174"/>
      <c r="D11" s="1820"/>
      <c r="E11" s="356" t="s">
        <v>1406</v>
      </c>
      <c r="F11" s="357">
        <f ca="1">'数据-取费表'!B39</f>
        <v>1.4999999999999999E-2</v>
      </c>
      <c r="G11" s="1845"/>
      <c r="H11" s="1295"/>
      <c r="I11" s="1819" t="s">
        <v>1382</v>
      </c>
      <c r="J11" s="1174"/>
      <c r="K11" s="746"/>
      <c r="L11" s="356" t="s">
        <v>1406</v>
      </c>
      <c r="M11" s="1052">
        <f ca="1">'数据-取费表'!B39</f>
        <v>1.4999999999999999E-2</v>
      </c>
    </row>
    <row r="12" spans="1:37" ht="18" customHeight="1" thickBot="1">
      <c r="A12" s="1329" t="s">
        <v>1071</v>
      </c>
      <c r="B12" s="1821" t="s">
        <v>1407</v>
      </c>
      <c r="C12" s="1330"/>
      <c r="D12" s="1331"/>
      <c r="E12" s="1336"/>
      <c r="F12" s="1332"/>
      <c r="G12" s="1845"/>
      <c r="H12" s="1329" t="s">
        <v>1071</v>
      </c>
      <c r="I12" s="1821" t="s">
        <v>1407</v>
      </c>
      <c r="J12" s="1330"/>
      <c r="K12" s="1344"/>
      <c r="L12" s="1336"/>
      <c r="M12" s="1345"/>
    </row>
    <row r="13" spans="1:37" ht="18" customHeight="1" thickTop="1">
      <c r="A13" s="1325">
        <v>2</v>
      </c>
      <c r="B13" s="1326" t="s">
        <v>1408</v>
      </c>
      <c r="C13" s="353">
        <f ca="1">ROUND(C29*F13,0)</f>
        <v>341</v>
      </c>
      <c r="D13" s="1327" t="s">
        <v>1409</v>
      </c>
      <c r="E13" s="1327" t="s">
        <v>1410</v>
      </c>
      <c r="F13" s="1328">
        <f ca="1">INDIRECT("'数据-取费表'!y"&amp;$G$1)</f>
        <v>1</v>
      </c>
      <c r="G13" s="1845"/>
      <c r="H13" s="1325">
        <v>2</v>
      </c>
      <c r="I13" s="1326" t="s">
        <v>1408</v>
      </c>
      <c r="J13" s="1286">
        <f ca="1">ROUND(J14*J15,0)</f>
        <v>0</v>
      </c>
      <c r="K13" s="1333" t="s">
        <v>1409</v>
      </c>
      <c r="L13" s="1846"/>
      <c r="M13" s="1847"/>
    </row>
    <row r="14" spans="1:37" ht="18" customHeight="1">
      <c r="A14" s="1197" t="s">
        <v>1030</v>
      </c>
      <c r="B14" s="345" t="s">
        <v>1411</v>
      </c>
      <c r="C14" s="361">
        <f ca="1">INDIRECT("'数据-取费表'!m"&amp;$G$1)+INDIRECT("'数据-取费表'!t"&amp;$G$1)</f>
        <v>229</v>
      </c>
      <c r="D14" s="2952" t="s">
        <v>1412</v>
      </c>
      <c r="E14" s="2950"/>
      <c r="F14" s="362"/>
      <c r="G14" s="1845"/>
      <c r="H14" s="1197" t="s">
        <v>1031</v>
      </c>
      <c r="I14" s="345" t="s">
        <v>1413</v>
      </c>
      <c r="J14" s="24">
        <f ca="1">C29</f>
        <v>341</v>
      </c>
      <c r="K14" s="2957"/>
      <c r="L14" s="977"/>
      <c r="M14" s="978"/>
    </row>
    <row r="15" spans="1:37" s="1852" customFormat="1" ht="18" customHeight="1" thickBot="1">
      <c r="A15" s="1197" t="s">
        <v>1032</v>
      </c>
      <c r="B15" s="345" t="s">
        <v>1414</v>
      </c>
      <c r="C15" s="24">
        <f ca="1">ROUND(C14*F15,0)</f>
        <v>7</v>
      </c>
      <c r="D15" s="363" t="s">
        <v>1415</v>
      </c>
      <c r="E15" s="363" t="s">
        <v>1416</v>
      </c>
      <c r="F15" s="364">
        <f>'数据-取费表'!B33</f>
        <v>0.03</v>
      </c>
      <c r="G15" s="1848"/>
      <c r="H15" s="1335" t="s">
        <v>1035</v>
      </c>
      <c r="I15" s="1336" t="s">
        <v>1410</v>
      </c>
      <c r="J15" s="1345">
        <f ca="1">INDIRECT("'数据-取费表'!ad"&amp;$G$1)</f>
        <v>0</v>
      </c>
      <c r="K15" s="1346"/>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1383</v>
      </c>
      <c r="B16" s="345" t="s">
        <v>1417</v>
      </c>
      <c r="C16" s="24">
        <f ca="1">ROUND(INDIRECT("'数据-取费表'!m"&amp;$G$1)*F16,0)</f>
        <v>0</v>
      </c>
      <c r="D16" s="345" t="s">
        <v>1415</v>
      </c>
      <c r="E16" s="345" t="s">
        <v>1416</v>
      </c>
      <c r="F16" s="365">
        <f ca="1">IF(INDIRECT("'数据-取费表'!c"&amp;$G$1)="住宅",'数据-取费表'!B34,0)</f>
        <v>0</v>
      </c>
      <c r="G16" s="1845"/>
      <c r="H16" s="1325" t="s">
        <v>1026</v>
      </c>
      <c r="I16" s="1326" t="s">
        <v>1418</v>
      </c>
      <c r="J16" s="353">
        <f ca="1">ROUND(J17+J22+J23+J24,0)</f>
        <v>8</v>
      </c>
      <c r="K16" s="1333" t="s">
        <v>1419</v>
      </c>
      <c r="L16" s="2953"/>
      <c r="M16" s="1290"/>
    </row>
    <row r="17" spans="1:37" s="1852" customFormat="1" ht="18" customHeight="1">
      <c r="A17" s="1197" t="s">
        <v>1384</v>
      </c>
      <c r="B17" s="345" t="s">
        <v>1420</v>
      </c>
      <c r="C17" s="24">
        <f ca="1">ROUND(F17*(F43+INDIRECT("'数据-取费表'!S"&amp;$G$1))/10000,0)</f>
        <v>13</v>
      </c>
      <c r="D17" s="345" t="s">
        <v>1421</v>
      </c>
      <c r="E17" s="345" t="s">
        <v>1422</v>
      </c>
      <c r="F17" s="26">
        <f>'数据-取费表'!B35</f>
        <v>200</v>
      </c>
      <c r="G17" s="1848"/>
      <c r="H17" s="1197" t="s">
        <v>1031</v>
      </c>
      <c r="I17" s="345" t="s">
        <v>1423</v>
      </c>
      <c r="J17" s="24">
        <f ca="1">ROUND(IF(项目基本情况!B11="自然人",J6*M17/(1+'数据-取费表'!C42),J18+J19+J20),1)</f>
        <v>2.9</v>
      </c>
      <c r="K17" s="2952" t="s">
        <v>1424</v>
      </c>
      <c r="L17" s="2951" t="s">
        <v>1425</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1385</v>
      </c>
      <c r="B18" s="345" t="s">
        <v>1426</v>
      </c>
      <c r="C18" s="24">
        <f ca="1">ROUND(C14*F18,0)</f>
        <v>3</v>
      </c>
      <c r="D18" s="345" t="s">
        <v>1415</v>
      </c>
      <c r="E18" s="345" t="s">
        <v>1416</v>
      </c>
      <c r="F18" s="365">
        <f>'数据-取费表'!B36</f>
        <v>1.4999999999999999E-2</v>
      </c>
      <c r="G18" s="1848"/>
      <c r="H18" s="1197" t="s">
        <v>1030</v>
      </c>
      <c r="I18" s="345" t="s">
        <v>1427</v>
      </c>
      <c r="J18" s="24">
        <f ca="1">ROUND(J6*M18/(1+'数据-取费表'!C42),2)</f>
        <v>0</v>
      </c>
      <c r="K18" s="2951" t="s">
        <v>1428</v>
      </c>
      <c r="L18" s="345" t="s">
        <v>1416</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1031</v>
      </c>
      <c r="B19" s="345" t="s">
        <v>1429</v>
      </c>
      <c r="C19" s="24">
        <f ca="1">SUM(C14:C18)</f>
        <v>252</v>
      </c>
      <c r="D19" s="138" t="s">
        <v>1430</v>
      </c>
      <c r="E19" s="2956"/>
      <c r="F19" s="26"/>
      <c r="G19" s="1845"/>
      <c r="H19" s="1197" t="s">
        <v>1032</v>
      </c>
      <c r="I19" s="345" t="s">
        <v>1431</v>
      </c>
      <c r="J19" s="24">
        <f ca="1">IF(K19="按租金收入计税",ROUND(J6*M19/(1+'数据-取费表'!C42),2),ROUND(C29*M19*0.7,2))</f>
        <v>2.86</v>
      </c>
      <c r="K19" s="1822" t="s">
        <v>1432</v>
      </c>
      <c r="L19" s="345" t="s">
        <v>1416</v>
      </c>
      <c r="M19" s="365">
        <f>IF(K19="按租金收入计税",'数据-取费表'!B51,'数据-取费表'!B50)</f>
        <v>1.2E-2</v>
      </c>
    </row>
    <row r="20" spans="1:37" s="1852" customFormat="1" ht="18" customHeight="1">
      <c r="A20" s="1197" t="s">
        <v>1035</v>
      </c>
      <c r="B20" s="345" t="s">
        <v>1433</v>
      </c>
      <c r="C20" s="24">
        <f ca="1">ROUND(C19*F20,0)</f>
        <v>8</v>
      </c>
      <c r="D20" s="367" t="s">
        <v>1434</v>
      </c>
      <c r="E20" s="345" t="s">
        <v>1416</v>
      </c>
      <c r="F20" s="365">
        <f>'数据-取费表'!B37</f>
        <v>0.03</v>
      </c>
      <c r="G20" s="1848"/>
      <c r="H20" s="1197" t="s">
        <v>1383</v>
      </c>
      <c r="I20" s="162" t="s">
        <v>1435</v>
      </c>
      <c r="J20" s="25">
        <f ca="1">ROUND(M20*M21/10000,2)</f>
        <v>0.04</v>
      </c>
      <c r="K20" s="368" t="s">
        <v>1436</v>
      </c>
      <c r="L20" s="345" t="s">
        <v>1437</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1071</v>
      </c>
      <c r="B21" s="345" t="s">
        <v>1438</v>
      </c>
      <c r="C21" s="24" t="s">
        <v>18</v>
      </c>
      <c r="D21" s="367" t="s">
        <v>1439</v>
      </c>
      <c r="E21" s="345" t="s">
        <v>1440</v>
      </c>
      <c r="F21" s="365">
        <f>'数据-取费表'!B38</f>
        <v>0.03</v>
      </c>
      <c r="G21" s="1848"/>
      <c r="H21" s="370"/>
      <c r="I21" s="354"/>
      <c r="J21" s="29"/>
      <c r="K21" s="371"/>
      <c r="L21" s="345" t="s">
        <v>1441</v>
      </c>
      <c r="M21" s="346">
        <f ca="1">INDIRECT("'数据-取费表'!r"&amp;$G$1)</f>
        <v>261.40000000000003</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1386</v>
      </c>
      <c r="B22" s="345" t="s">
        <v>1442</v>
      </c>
      <c r="C22" s="24"/>
      <c r="D22" s="138" t="str">
        <f>IF(F23&lt;=1,"单利计息。","复利计息。")&amp;"建造成本、管理费用、销售费用产生的利息。"</f>
        <v>复利计息。建造成本、管理费用、销售费用产生的利息。</v>
      </c>
      <c r="E22" s="2956"/>
      <c r="F22" s="26"/>
      <c r="G22" s="1845"/>
      <c r="H22" s="1197" t="s">
        <v>1035</v>
      </c>
      <c r="I22" s="345" t="s">
        <v>1443</v>
      </c>
      <c r="J22" s="24">
        <f ca="1">ROUND(J14*M22,1)</f>
        <v>5.0999999999999996</v>
      </c>
      <c r="K22" s="2951" t="s">
        <v>1444</v>
      </c>
      <c r="L22" s="345" t="s">
        <v>1416</v>
      </c>
      <c r="M22" s="372">
        <f ca="1">INDIRECT("'数据-取费表'!Ak"&amp;$G$1)</f>
        <v>1.4999999999999999E-2</v>
      </c>
    </row>
    <row r="23" spans="1:37" s="1852" customFormat="1" ht="18" customHeight="1">
      <c r="A23" s="1197" t="s">
        <v>1030</v>
      </c>
      <c r="B23" s="345" t="s">
        <v>1445</v>
      </c>
      <c r="C23" s="24">
        <f ca="1">IF('数据-取费表'!B22&lt;=1,ROUND(C19*F24*F23/2,0)+ROUND(C20*F24*F23/2,0),ROUND(C19*(POWER((1+F24),F23/2)-1),0)+ROUND(C20*(POWER((1+F24),F23/2)-1),0))</f>
        <v>12</v>
      </c>
      <c r="D23" s="373" t="str">
        <f>IF(F23&lt;=1,"(建造成本+管理费用)×利率×(建设周期÷2)","(建造成本+管理费用)×((1+利率)^(建设周期÷2)-1)")</f>
        <v>(建造成本+管理费用)×((1+利率)^(建设周期÷2)-1)</v>
      </c>
      <c r="E23" s="345" t="s">
        <v>1446</v>
      </c>
      <c r="F23" s="369">
        <f>'数据-取费表'!B20</f>
        <v>2</v>
      </c>
      <c r="G23" s="1848"/>
      <c r="H23" s="1197" t="s">
        <v>1071</v>
      </c>
      <c r="I23" s="345" t="s">
        <v>1447</v>
      </c>
      <c r="J23" s="24">
        <f ca="1">ROUND(J13*M23,1)</f>
        <v>0</v>
      </c>
      <c r="K23" s="2951" t="s">
        <v>1448</v>
      </c>
      <c r="L23" s="345" t="s">
        <v>1416</v>
      </c>
      <c r="M23" s="374">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1032</v>
      </c>
      <c r="B24" s="345" t="s">
        <v>1451</v>
      </c>
      <c r="C24" s="24">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848"/>
      <c r="H24" s="1335" t="s">
        <v>1386</v>
      </c>
      <c r="I24" s="1336" t="s">
        <v>1433</v>
      </c>
      <c r="J24" s="1337">
        <f ca="1">ROUND(J5*M24,1)</f>
        <v>0</v>
      </c>
      <c r="K24" s="1338" t="s">
        <v>1453</v>
      </c>
      <c r="L24" s="1336" t="s">
        <v>1416</v>
      </c>
      <c r="M24" s="1332">
        <f ca="1">INDIRECT("'数据-取费表'!Am"&amp;$G$1)</f>
        <v>0.02</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7" t="s">
        <v>1454</v>
      </c>
      <c r="B25" s="345" t="s">
        <v>1455</v>
      </c>
      <c r="C25" s="24"/>
      <c r="D25" s="138" t="s">
        <v>1456</v>
      </c>
      <c r="E25" s="2956"/>
      <c r="F25" s="26"/>
      <c r="G25" s="1845"/>
      <c r="H25" s="1325" t="s">
        <v>1027</v>
      </c>
      <c r="I25" s="1340" t="s">
        <v>1457</v>
      </c>
      <c r="J25" s="353">
        <f ca="1">J5-J16</f>
        <v>-8</v>
      </c>
      <c r="K25" s="1341" t="s">
        <v>1458</v>
      </c>
      <c r="L25" s="1342"/>
      <c r="M25" s="1343"/>
    </row>
    <row r="26" spans="1:37">
      <c r="A26" s="1197" t="s">
        <v>1030</v>
      </c>
      <c r="B26" s="345" t="s">
        <v>1459</v>
      </c>
      <c r="C26" s="24">
        <f ca="1">ROUND((C19+C20)*F26,0)</f>
        <v>39</v>
      </c>
      <c r="D26" s="367" t="s">
        <v>1460</v>
      </c>
      <c r="E26" s="356" t="s">
        <v>1461</v>
      </c>
      <c r="F26" s="355">
        <f ca="1">INDIRECT("'数据-取费表'!q"&amp;$G$1)</f>
        <v>0.15</v>
      </c>
      <c r="G26" s="1845"/>
      <c r="H26" s="342" t="s">
        <v>1028</v>
      </c>
      <c r="I26" s="343" t="s">
        <v>1462</v>
      </c>
      <c r="J26" s="344">
        <f ca="1">IF(J5&lt;&gt;0,ROUND(J25*(1-((1+M28)/(1+M26))^M27)/(M26-M28),0),0)</f>
        <v>0</v>
      </c>
      <c r="K26" s="368" t="s">
        <v>1463</v>
      </c>
      <c r="L26" s="345" t="s">
        <v>1464</v>
      </c>
      <c r="M26" s="355">
        <f ca="1">INDIRECT("'数据-取费表'!I"&amp;$G$1)</f>
        <v>5.5E-2</v>
      </c>
    </row>
    <row r="27" spans="1:37" ht="18" customHeight="1">
      <c r="A27" s="1197" t="s">
        <v>1032</v>
      </c>
      <c r="B27" s="345" t="s">
        <v>1465</v>
      </c>
      <c r="C27" s="24">
        <f ca="1">ROUND(F21*F26,4)</f>
        <v>4.4999999999999997E-3</v>
      </c>
      <c r="D27" s="367" t="s">
        <v>1466</v>
      </c>
      <c r="E27" s="363"/>
      <c r="F27" s="364"/>
      <c r="G27" s="1845"/>
      <c r="H27" s="347"/>
      <c r="I27" s="348"/>
      <c r="J27" s="349"/>
      <c r="K27" s="376" t="s">
        <v>1467</v>
      </c>
      <c r="L27" s="345" t="s">
        <v>1468</v>
      </c>
      <c r="M27" s="377">
        <f ca="1">INDIRECT("'数据-取费表'!ag"&amp;$G$1)</f>
        <v>0</v>
      </c>
    </row>
    <row r="28" spans="1:37" s="1852" customFormat="1" ht="18" customHeight="1">
      <c r="A28" s="1197" t="s">
        <v>1033</v>
      </c>
      <c r="B28" s="345" t="s">
        <v>1469</v>
      </c>
      <c r="C28" s="24">
        <f>ROUND(F28/(1+'数据-取费表'!C42),4)</f>
        <v>5.2400000000000002E-2</v>
      </c>
      <c r="D28" s="367" t="s">
        <v>1470</v>
      </c>
      <c r="E28" s="345" t="s">
        <v>1416</v>
      </c>
      <c r="F28" s="365">
        <f>'数据-取费表'!B41</f>
        <v>5.5000000000000007E-2</v>
      </c>
      <c r="G28" s="1848"/>
      <c r="H28" s="351"/>
      <c r="I28" s="352"/>
      <c r="J28" s="353"/>
      <c r="K28" s="371"/>
      <c r="L28" s="345" t="s">
        <v>1471</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5" t="s">
        <v>1034</v>
      </c>
      <c r="B29" s="1336" t="s">
        <v>1472</v>
      </c>
      <c r="C29" s="1337">
        <f ca="1">ROUND((C19+C20+C23+C26)/(1-F21-C24-C27-C28),0)</f>
        <v>341</v>
      </c>
      <c r="D29" s="1338"/>
      <c r="E29" s="1336"/>
      <c r="F29" s="1339"/>
      <c r="G29" s="1848"/>
      <c r="H29" s="378" t="s">
        <v>1029</v>
      </c>
      <c r="I29" s="379" t="s">
        <v>1473</v>
      </c>
      <c r="J29" s="380">
        <f ca="1">ROUND(J26/(1+F40)^F41,0)</f>
        <v>0</v>
      </c>
      <c r="K29" s="381" t="s">
        <v>1474</v>
      </c>
      <c r="L29" s="382"/>
      <c r="M29" s="383">
        <f ca="1">INDIRECT("'数据-取费表'!k"&amp;$G$1)</f>
        <v>645.96</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5" t="s">
        <v>1026</v>
      </c>
      <c r="B30" s="1326" t="s">
        <v>1418</v>
      </c>
      <c r="C30" s="353">
        <f ca="1">ROUND(C31+C36+C37+C38,0)</f>
        <v>28</v>
      </c>
      <c r="D30" s="1333" t="s">
        <v>1419</v>
      </c>
      <c r="E30" s="2953"/>
      <c r="F30" s="1290"/>
      <c r="G30" s="1845"/>
      <c r="H30" s="743"/>
      <c r="I30" s="744"/>
      <c r="J30" s="745"/>
      <c r="K30" s="746"/>
      <c r="L30" s="747"/>
      <c r="M30" s="748"/>
    </row>
    <row r="31" spans="1:37" ht="18" customHeight="1">
      <c r="A31" s="1197" t="s">
        <v>1031</v>
      </c>
      <c r="B31" s="345" t="s">
        <v>1423</v>
      </c>
      <c r="C31" s="24">
        <f ca="1">ROUND(IF(项目基本情况!B11="自然人",C6*F31/(1+'数据-取费表'!C42),C32+C33+C34),1)</f>
        <v>20</v>
      </c>
      <c r="D31" s="2952" t="s">
        <v>1424</v>
      </c>
      <c r="E31" s="2951" t="s">
        <v>1475</v>
      </c>
      <c r="F31" s="366" t="str">
        <f ca="1">IF(项目基本情况!B11="企业","",IF(INDIRECT("'数据-取费表'!c"&amp;$G$1)="住宅",5%,IF(F6*F7*F8/12/(1+'数据-取费表'!C42)&gt;20000,12%,7%)))</f>
        <v/>
      </c>
      <c r="G31" s="1845"/>
      <c r="H31" s="743"/>
      <c r="I31" s="744"/>
      <c r="J31" s="745"/>
      <c r="K31" s="746"/>
      <c r="L31" s="747"/>
      <c r="M31" s="748"/>
    </row>
    <row r="32" spans="1:37" ht="18" customHeight="1">
      <c r="A32" s="1197" t="s">
        <v>1030</v>
      </c>
      <c r="B32" s="345" t="s">
        <v>1427</v>
      </c>
      <c r="C32" s="24">
        <f ca="1">IF(项目基本情况!B11="自然人","——",ROUND(C6*F32/(1+'数据-取费表'!C42),2))</f>
        <v>6.29</v>
      </c>
      <c r="D32" s="2951" t="s">
        <v>1428</v>
      </c>
      <c r="E32" s="345" t="s">
        <v>1416</v>
      </c>
      <c r="F32" s="375">
        <f>'数据-取费表'!B41</f>
        <v>5.5000000000000007E-2</v>
      </c>
      <c r="G32" s="1845"/>
      <c r="H32" s="743"/>
      <c r="I32" s="744"/>
      <c r="J32" s="745"/>
      <c r="K32" s="746"/>
      <c r="L32" s="747"/>
      <c r="M32" s="748"/>
    </row>
    <row r="33" spans="1:18" ht="18" customHeight="1">
      <c r="A33" s="1197" t="s">
        <v>1032</v>
      </c>
      <c r="B33" s="345" t="s">
        <v>1431</v>
      </c>
      <c r="C33" s="24">
        <f ca="1">IF(项目基本情况!B11="自然人","——",IF(D33="按租金收入计税",ROUND(C6*F33/(1+'数据-取费表'!C42),2),IF(D33="按房产原值计税",ROUND(C29*F33*0.7,2),INDIRECT("'数据-取费表'!Aj"&amp;$G$1))))</f>
        <v>13.71</v>
      </c>
      <c r="D33" s="1822" t="s">
        <v>4528</v>
      </c>
      <c r="E33" s="345" t="s">
        <v>1416</v>
      </c>
      <c r="F33" s="365">
        <f>IF(D33="按票据","——",IF(D33="按租金收入计税",'数据-取费表'!B51,'数据-取费表'!B50))</f>
        <v>0.12</v>
      </c>
      <c r="G33" s="1845"/>
      <c r="H33" s="1853"/>
      <c r="I33" s="1854"/>
      <c r="J33" s="1855"/>
      <c r="K33" s="1856"/>
      <c r="L33" s="1853"/>
      <c r="M33" s="1853"/>
    </row>
    <row r="34" spans="1:18" ht="18" customHeight="1">
      <c r="A34" s="1287" t="s">
        <v>1383</v>
      </c>
      <c r="B34" s="162" t="s">
        <v>1435</v>
      </c>
      <c r="C34" s="25">
        <f ca="1">IF(项目基本情况!B11="自然人","——",ROUND(F34*F35/10000,2))</f>
        <v>0.04</v>
      </c>
      <c r="D34" s="368" t="s">
        <v>1436</v>
      </c>
      <c r="E34" s="345" t="s">
        <v>1437</v>
      </c>
      <c r="F34" s="369">
        <f>'数据-取费表'!B52</f>
        <v>1.5</v>
      </c>
      <c r="G34" s="1845"/>
      <c r="H34" s="743"/>
      <c r="I34" s="1854"/>
      <c r="J34" s="1855"/>
      <c r="K34" s="1857"/>
      <c r="L34" s="1858"/>
      <c r="M34" s="1858"/>
    </row>
    <row r="35" spans="1:18" ht="18" customHeight="1">
      <c r="A35" s="1349"/>
      <c r="B35" s="1347"/>
      <c r="C35" s="29"/>
      <c r="D35" s="371"/>
      <c r="E35" s="345" t="s">
        <v>1441</v>
      </c>
      <c r="F35" s="346">
        <f ca="1">INDIRECT("'数据-取费表'!r"&amp;$G$1)</f>
        <v>261.40000000000003</v>
      </c>
      <c r="G35" s="1845"/>
      <c r="H35" s="743"/>
      <c r="I35" s="1854"/>
      <c r="J35" s="1855"/>
      <c r="K35" s="1856"/>
      <c r="L35" s="1853"/>
      <c r="M35" s="1853"/>
    </row>
    <row r="36" spans="1:18" ht="18" customHeight="1">
      <c r="A36" s="1348" t="s">
        <v>1035</v>
      </c>
      <c r="B36" s="345" t="s">
        <v>1443</v>
      </c>
      <c r="C36" s="24">
        <f ca="1">ROUND(C29*F36,1)</f>
        <v>5.0999999999999996</v>
      </c>
      <c r="D36" s="2951" t="s">
        <v>1476</v>
      </c>
      <c r="E36" s="345" t="s">
        <v>1416</v>
      </c>
      <c r="F36" s="372">
        <f ca="1">INDIRECT("'数据-取费表'!Ak"&amp;$G$1)</f>
        <v>1.4999999999999999E-2</v>
      </c>
      <c r="G36" s="1845"/>
      <c r="H36" s="1853"/>
      <c r="I36" s="1854"/>
      <c r="J36" s="1855"/>
      <c r="K36" s="749"/>
      <c r="L36" s="1853"/>
      <c r="M36" s="1853"/>
    </row>
    <row r="37" spans="1:18" ht="18" customHeight="1">
      <c r="A37" s="1197" t="s">
        <v>1071</v>
      </c>
      <c r="B37" s="345" t="s">
        <v>1447</v>
      </c>
      <c r="C37" s="24">
        <f ca="1">ROUND(C13*F37,1)</f>
        <v>0.5</v>
      </c>
      <c r="D37" s="2951" t="s">
        <v>1448</v>
      </c>
      <c r="E37" s="345" t="s">
        <v>1416</v>
      </c>
      <c r="F37" s="374">
        <f ca="1">INDIRECT("'数据-取费表'!Al"&amp;$G$1)</f>
        <v>1.5E-3</v>
      </c>
      <c r="G37" s="1845"/>
      <c r="H37" s="1853"/>
      <c r="I37" s="1854"/>
      <c r="J37" s="1855"/>
      <c r="K37" s="749"/>
      <c r="L37" s="1853"/>
      <c r="M37" s="1853"/>
    </row>
    <row r="38" spans="1:18" ht="18" customHeight="1" thickBot="1">
      <c r="A38" s="1335" t="s">
        <v>1386</v>
      </c>
      <c r="B38" s="1336" t="s">
        <v>1433</v>
      </c>
      <c r="C38" s="1337">
        <f ca="1">ROUND(C5*F38,1)</f>
        <v>2.4</v>
      </c>
      <c r="D38" s="1338" t="s">
        <v>1453</v>
      </c>
      <c r="E38" s="1336" t="s">
        <v>1416</v>
      </c>
      <c r="F38" s="1332">
        <f ca="1">INDIRECT("'数据-取费表'!Am"&amp;$G$1)</f>
        <v>0.02</v>
      </c>
      <c r="G38" s="1845"/>
      <c r="H38" s="1853"/>
      <c r="I38" s="1854"/>
      <c r="J38" s="1855"/>
      <c r="K38" s="1859"/>
      <c r="L38" s="1853"/>
      <c r="M38" s="1853"/>
    </row>
    <row r="39" spans="1:18" ht="24.6" customHeight="1" thickTop="1">
      <c r="A39" s="1325" t="s">
        <v>1027</v>
      </c>
      <c r="B39" s="1340" t="s">
        <v>1457</v>
      </c>
      <c r="C39" s="353">
        <f ca="1">C5-C30</f>
        <v>92</v>
      </c>
      <c r="D39" s="1341" t="s">
        <v>1458</v>
      </c>
      <c r="E39" s="1342"/>
      <c r="F39" s="1343"/>
      <c r="G39" s="1845"/>
      <c r="H39" s="1853"/>
      <c r="I39" s="1854"/>
      <c r="J39" s="1855"/>
      <c r="K39" s="1859"/>
      <c r="L39" s="1853"/>
      <c r="M39" s="1853"/>
    </row>
    <row r="40" spans="1:18" ht="18" customHeight="1">
      <c r="A40" s="342" t="s">
        <v>1028</v>
      </c>
      <c r="B40" s="343" t="s">
        <v>1479</v>
      </c>
      <c r="C40" s="344">
        <f ca="1">ROUND(C39*(1-((1+F42)/(1+F40))^F41)/(F40-F42),0)</f>
        <v>1435</v>
      </c>
      <c r="D40" s="368" t="s">
        <v>1463</v>
      </c>
      <c r="E40" s="345" t="s">
        <v>1464</v>
      </c>
      <c r="F40" s="355">
        <f ca="1">INDIRECT("'数据-取费表'!I"&amp;$G$1)</f>
        <v>5.5E-2</v>
      </c>
      <c r="G40" s="1845"/>
      <c r="H40" s="1833"/>
      <c r="I40" s="1854"/>
      <c r="J40" s="1855"/>
      <c r="K40" s="1859"/>
      <c r="L40" s="1833"/>
      <c r="M40" s="1833"/>
    </row>
    <row r="41" spans="1:18" ht="18" customHeight="1">
      <c r="A41" s="347"/>
      <c r="B41" s="348"/>
      <c r="C41" s="349"/>
      <c r="D41" s="376" t="s">
        <v>1480</v>
      </c>
      <c r="E41" s="345" t="s">
        <v>1468</v>
      </c>
      <c r="F41" s="377">
        <f ca="1">IF(INDIRECT("'数据-取费表'!af"&amp;$G$1)=0,INDIRECT("'数据-取费表'!ae"&amp;$G$1),INDIRECT("'数据-取费表'!af"&amp;$G$1))</f>
        <v>36.46</v>
      </c>
      <c r="G41" s="1845"/>
      <c r="H41" s="730"/>
      <c r="I41" s="1854"/>
      <c r="J41" s="1855"/>
      <c r="K41" s="749"/>
      <c r="L41" s="730"/>
      <c r="M41" s="730"/>
    </row>
    <row r="42" spans="1:18" ht="18" customHeight="1">
      <c r="A42" s="351"/>
      <c r="B42" s="352"/>
      <c r="C42" s="353"/>
      <c r="D42" s="371"/>
      <c r="E42" s="345" t="s">
        <v>1471</v>
      </c>
      <c r="F42" s="355">
        <f ca="1">INDIRECT("'数据-取费表'!v"&amp;$G$1)</f>
        <v>0</v>
      </c>
      <c r="G42" s="1845"/>
      <c r="H42" s="730"/>
      <c r="I42" s="1854"/>
      <c r="J42" s="1855"/>
      <c r="K42" s="749"/>
      <c r="L42" s="730"/>
      <c r="M42" s="730"/>
    </row>
    <row r="43" spans="1:18" ht="18" customHeight="1" thickBot="1">
      <c r="A43" s="378" t="s">
        <v>1029</v>
      </c>
      <c r="B43" s="379" t="s">
        <v>1481</v>
      </c>
      <c r="C43" s="380">
        <f ca="1">ROUND(C40*10000/F43,0)</f>
        <v>22215</v>
      </c>
      <c r="D43" s="381" t="s">
        <v>1482</v>
      </c>
      <c r="E43" s="382" t="s">
        <v>1483</v>
      </c>
      <c r="F43" s="383">
        <f ca="1">INDIRECT("'数据-取费表'!k"&amp;$G$1)</f>
        <v>645.96</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1513</v>
      </c>
      <c r="P45" s="1833"/>
      <c r="Q45" s="1833"/>
      <c r="R45" s="1833"/>
    </row>
    <row r="46" spans="1:18" s="1836" customFormat="1" ht="13.5" thickBot="1">
      <c r="A46" s="1864" t="s">
        <v>1514</v>
      </c>
      <c r="C46" s="1865">
        <f ca="1">C68-C40</f>
        <v>-1965</v>
      </c>
      <c r="D46" s="1866" t="str">
        <f>C2</f>
        <v>万元</v>
      </c>
      <c r="E46" s="1860"/>
      <c r="F46" s="1860"/>
      <c r="I46" s="1867" t="s">
        <v>1515</v>
      </c>
      <c r="J46" s="1868"/>
      <c r="K46" s="1869"/>
      <c r="L46" s="1870" t="str">
        <f ca="1">IF(M47="住宅",0,IF(L48&gt;J51,L60,J60))</f>
        <v>0</v>
      </c>
      <c r="O46" s="1871" t="s">
        <v>1516</v>
      </c>
      <c r="P46" s="1872" t="s">
        <v>1517</v>
      </c>
      <c r="Q46" s="1873" t="s">
        <v>1518</v>
      </c>
      <c r="R46" s="1873" t="s">
        <v>1519</v>
      </c>
    </row>
    <row r="47" spans="1:18" s="1836" customFormat="1" ht="13.5" thickBot="1">
      <c r="A47" s="1161" t="s">
        <v>1390</v>
      </c>
      <c r="B47" s="1193" t="s">
        <v>1391</v>
      </c>
      <c r="C47" s="1363" t="s">
        <v>1392</v>
      </c>
      <c r="D47" s="1193" t="s">
        <v>1393</v>
      </c>
      <c r="E47" s="1275" t="s">
        <v>1394</v>
      </c>
      <c r="F47" s="1276"/>
      <c r="G47" s="790"/>
      <c r="I47" s="1874" t="s">
        <v>1520</v>
      </c>
      <c r="J47" s="1875" t="s">
        <v>4529</v>
      </c>
      <c r="K47" s="1876" t="s">
        <v>1521</v>
      </c>
      <c r="L47" s="1877">
        <f ca="1">INDIRECT("'数据-取费表'!d"&amp;$G$1)</f>
        <v>40</v>
      </c>
      <c r="M47" s="1832" t="str">
        <f>IF(ISNUMBER(FIND("住宅",C1)),"住宅","非住宅")</f>
        <v>非住宅</v>
      </c>
      <c r="O47" s="1878" t="s">
        <v>1036</v>
      </c>
      <c r="P47" s="1879" t="s">
        <v>1522</v>
      </c>
      <c r="Q47" s="1880">
        <f ca="1">C40+J29</f>
        <v>1435</v>
      </c>
      <c r="R47" s="1880" t="s">
        <v>1523</v>
      </c>
    </row>
    <row r="48" spans="1:18" s="1836" customFormat="1" ht="28.5" thickBot="1">
      <c r="A48" s="1356" t="s">
        <v>1131</v>
      </c>
      <c r="B48" s="343" t="s">
        <v>1395</v>
      </c>
      <c r="C48" s="2955">
        <f ca="1">C49+C53+C55</f>
        <v>0</v>
      </c>
      <c r="D48" s="1358"/>
      <c r="E48" s="1359"/>
      <c r="F48" s="1177"/>
      <c r="G48" s="790"/>
      <c r="H48" s="791"/>
      <c r="I48" s="1881" t="s">
        <v>1524</v>
      </c>
      <c r="J48" s="1882" t="s">
        <v>4530</v>
      </c>
      <c r="K48" s="1883" t="s">
        <v>1525</v>
      </c>
      <c r="L48" s="1884">
        <f ca="1">INDIRECT("'数据-取费表'!f"&amp;$G$1)</f>
        <v>37.46</v>
      </c>
      <c r="O48" s="1878" t="s">
        <v>1037</v>
      </c>
      <c r="P48" s="1879" t="s">
        <v>1526</v>
      </c>
      <c r="Q48" s="1880" t="str">
        <f ca="1">J60</f>
        <v>0</v>
      </c>
      <c r="R48" s="1880" t="s">
        <v>1527</v>
      </c>
    </row>
    <row r="49" spans="1:18" s="1836" customFormat="1" ht="13.5" thickBot="1">
      <c r="A49" s="1190" t="s">
        <v>1132</v>
      </c>
      <c r="B49" s="1823" t="s">
        <v>1484</v>
      </c>
      <c r="C49" s="1360">
        <f ca="1">ROUND(F49*F51*F50*(1-F52)/10000,0)</f>
        <v>0</v>
      </c>
      <c r="D49" s="1272" t="s">
        <v>3011</v>
      </c>
      <c r="E49" s="1824" t="s">
        <v>1485</v>
      </c>
      <c r="F49" s="1277"/>
      <c r="G49" s="1885"/>
      <c r="H49" s="791"/>
      <c r="I49" s="1881" t="s">
        <v>1528</v>
      </c>
      <c r="J49" s="1886">
        <v>2021</v>
      </c>
      <c r="K49" s="1883" t="s">
        <v>1529</v>
      </c>
      <c r="L49" s="1887"/>
      <c r="O49" s="1888" t="s">
        <v>1038</v>
      </c>
      <c r="P49" s="1879" t="s">
        <v>1530</v>
      </c>
      <c r="Q49" s="1880">
        <f ca="1">C29</f>
        <v>341</v>
      </c>
      <c r="R49" s="1880" t="s">
        <v>1523</v>
      </c>
    </row>
    <row r="50" spans="1:18" s="1836" customFormat="1" ht="13.5" thickBot="1">
      <c r="A50" s="1191"/>
      <c r="B50" s="1194"/>
      <c r="C50" s="1364"/>
      <c r="D50" s="1168"/>
      <c r="E50" s="1273" t="s">
        <v>1400</v>
      </c>
      <c r="F50" s="1274">
        <f ca="1">F7</f>
        <v>645.96</v>
      </c>
      <c r="H50" s="791"/>
      <c r="I50" s="1881" t="s">
        <v>1531</v>
      </c>
      <c r="J50" s="1889">
        <f>SUMPRODUCT((I63:I65=J47)*(J62:L62=J48)*(J63:L65))</f>
        <v>60</v>
      </c>
      <c r="K50" s="1883" t="s">
        <v>1532</v>
      </c>
      <c r="L50" s="1887"/>
      <c r="M50" s="1890"/>
      <c r="O50" s="1888" t="s">
        <v>1039</v>
      </c>
      <c r="P50" s="1879" t="s">
        <v>1533</v>
      </c>
      <c r="Q50" s="1891" t="e">
        <f ca="1">J58</f>
        <v>#VALUE!</v>
      </c>
      <c r="R50" s="1880"/>
    </row>
    <row r="51" spans="1:18" s="1836" customFormat="1" ht="13.5" thickBot="1">
      <c r="A51" s="1192"/>
      <c r="B51" s="1194"/>
      <c r="C51" s="1195"/>
      <c r="D51" s="1168"/>
      <c r="E51" s="1196" t="s">
        <v>1401</v>
      </c>
      <c r="F51" s="346">
        <f ca="1">F8</f>
        <v>365</v>
      </c>
      <c r="I51" s="1892" t="s">
        <v>1534</v>
      </c>
      <c r="J51" s="1893">
        <f>IF(J49="",J50,J49+J50-YEAR('数据-取费表'!B2))</f>
        <v>61</v>
      </c>
      <c r="K51" s="1894" t="s">
        <v>1535</v>
      </c>
      <c r="L51" s="1895">
        <f ca="1">ROUND(-PV(INDIRECT("'数据-取费表'!h"&amp;$G$1),L48,(C39-C13*C76),0),0)</f>
        <v>1058</v>
      </c>
      <c r="M51" s="1896"/>
      <c r="O51" s="1888" t="s">
        <v>1040</v>
      </c>
      <c r="P51" s="1879" t="s">
        <v>1536</v>
      </c>
      <c r="Q51" s="1891">
        <f>J52</f>
        <v>0.09</v>
      </c>
      <c r="R51" s="1880"/>
    </row>
    <row r="52" spans="1:18" s="1836" customFormat="1" ht="13.5" thickBot="1">
      <c r="A52" s="1192"/>
      <c r="B52" s="1194"/>
      <c r="C52" s="1195"/>
      <c r="D52" s="1168"/>
      <c r="E52" s="1196" t="s">
        <v>1402</v>
      </c>
      <c r="F52" s="1271"/>
      <c r="I52" s="1897" t="s">
        <v>1537</v>
      </c>
      <c r="J52" s="1898">
        <v>0.09</v>
      </c>
      <c r="K52" s="1897" t="s">
        <v>1538</v>
      </c>
      <c r="L52" s="1898"/>
      <c r="O52" s="1888" t="s">
        <v>1041</v>
      </c>
      <c r="P52" s="1879" t="s">
        <v>1539</v>
      </c>
      <c r="Q52" s="1880">
        <f ca="1">J53</f>
        <v>36.46</v>
      </c>
      <c r="R52" s="1880" t="s">
        <v>1540</v>
      </c>
    </row>
    <row r="53" spans="1:18" s="1836" customFormat="1" ht="24.75" thickBot="1">
      <c r="A53" s="1401" t="s">
        <v>1133</v>
      </c>
      <c r="B53" s="1825" t="s">
        <v>1403</v>
      </c>
      <c r="C53" s="359">
        <f ca="1">ROUND(IF(F53="押一",C49/12*F11,IF(F53="押二",C49/12*2*F11,IF(F53="押三",C49/12*3*F11,C54*F11))),0)</f>
        <v>0</v>
      </c>
      <c r="D53" s="1818" t="s">
        <v>3020</v>
      </c>
      <c r="E53" s="356" t="s">
        <v>1404</v>
      </c>
      <c r="F53" s="1362"/>
      <c r="I53" s="1899" t="s">
        <v>1541</v>
      </c>
      <c r="J53" s="2934">
        <f ca="1">IF(M47="住宅",IF(D1="——",MAX(J51,L48),MAX(J51,L48-'数据-取费表'!B24)),IF(D1="——",MIN(J51,L48),MIN(J51,L48-'数据-取费表'!B24)))</f>
        <v>36.46</v>
      </c>
      <c r="K53" s="3376" t="s">
        <v>1542</v>
      </c>
      <c r="L53" s="3377"/>
      <c r="O53" s="1878" t="s">
        <v>1042</v>
      </c>
      <c r="P53" s="1879" t="s">
        <v>1543</v>
      </c>
      <c r="Q53" s="1880">
        <f ca="1">Q47+Q48</f>
        <v>1435</v>
      </c>
      <c r="R53" s="1880" t="s">
        <v>1043</v>
      </c>
    </row>
    <row r="54" spans="1:18" s="1836" customFormat="1" ht="13.5" thickBot="1">
      <c r="A54" s="1402"/>
      <c r="B54" s="1819" t="s">
        <v>1382</v>
      </c>
      <c r="C54" s="1174"/>
      <c r="D54" s="1818"/>
      <c r="E54" s="2954"/>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5"/>
      <c r="O54" s="1863" t="s">
        <v>1544</v>
      </c>
      <c r="P54" s="1833"/>
      <c r="Q54" s="1833"/>
      <c r="R54" s="1833"/>
    </row>
    <row r="55" spans="1:18" s="1836" customFormat="1" ht="13.5" thickBot="1">
      <c r="A55" s="1329" t="s">
        <v>1071</v>
      </c>
      <c r="B55" s="1821" t="s">
        <v>1407</v>
      </c>
      <c r="C55" s="1330"/>
      <c r="D55" s="1818"/>
      <c r="E55" s="2954"/>
      <c r="F55" s="1900"/>
      <c r="I55" s="1903" t="s">
        <v>1545</v>
      </c>
      <c r="J55" s="1904" t="e">
        <f ca="1">ROUND(IF(J47="钢混",J57/J50,1-(1-2%)*(J50-J57)/J50),3)</f>
        <v>#VALUE!</v>
      </c>
      <c r="K55" s="1905" t="s">
        <v>1546</v>
      </c>
      <c r="L55" s="1906" t="s">
        <v>1547</v>
      </c>
      <c r="O55" s="1871" t="s">
        <v>1516</v>
      </c>
      <c r="P55" s="1872" t="s">
        <v>1517</v>
      </c>
      <c r="Q55" s="1873" t="s">
        <v>1518</v>
      </c>
      <c r="R55" s="1873" t="s">
        <v>1519</v>
      </c>
    </row>
    <row r="56" spans="1:18" s="1836" customFormat="1" ht="25.5" thickTop="1" thickBot="1">
      <c r="A56" s="1172">
        <v>2</v>
      </c>
      <c r="B56" s="1173" t="s">
        <v>1408</v>
      </c>
      <c r="C56" s="274">
        <f ca="1">C13</f>
        <v>341</v>
      </c>
      <c r="D56" s="1907"/>
      <c r="E56" s="1908"/>
      <c r="F56" s="1900"/>
      <c r="I56" s="1909" t="s">
        <v>1548</v>
      </c>
      <c r="J56" s="1910" t="s">
        <v>4433</v>
      </c>
      <c r="K56" s="1881" t="s">
        <v>1549</v>
      </c>
      <c r="L56" s="1884" t="str">
        <f ca="1">IF(L48&lt;J51,"——",L48-J53)</f>
        <v>——</v>
      </c>
      <c r="O56" s="1878" t="s">
        <v>1036</v>
      </c>
      <c r="P56" s="1879" t="s">
        <v>1522</v>
      </c>
      <c r="Q56" s="1880">
        <f ca="1">C40+J29</f>
        <v>1435</v>
      </c>
      <c r="R56" s="1880" t="s">
        <v>1523</v>
      </c>
    </row>
    <row r="57" spans="1:18" s="1836" customFormat="1" ht="24.75" thickBot="1">
      <c r="A57" s="1911"/>
      <c r="B57" s="1165" t="s">
        <v>1472</v>
      </c>
      <c r="C57" s="280">
        <f ca="1">C29</f>
        <v>341</v>
      </c>
      <c r="D57" s="1912"/>
      <c r="E57" s="1913"/>
      <c r="F57" s="1914"/>
      <c r="I57" s="1915" t="s">
        <v>1550</v>
      </c>
      <c r="J57" s="1916" t="str">
        <f ca="1">IF(OR(M47="住宅",J51&lt;L48,J56="是"),"——",J51-L48)</f>
        <v>——</v>
      </c>
      <c r="K57" s="1881" t="s">
        <v>1551</v>
      </c>
      <c r="L57" s="1884" t="str">
        <f ca="1">IF(L48&lt;J51,"——",IF(L55="比较法",L49,IF(L55="基准地价",L50,L51)))</f>
        <v>——</v>
      </c>
      <c r="O57" s="1878" t="s">
        <v>1037</v>
      </c>
      <c r="P57" s="1879" t="s">
        <v>1552</v>
      </c>
      <c r="Q57" s="1880">
        <f ca="1">L60</f>
        <v>0</v>
      </c>
      <c r="R57" s="1880" t="s">
        <v>1553</v>
      </c>
    </row>
    <row r="58" spans="1:18" s="1836" customFormat="1" ht="24.75" thickBot="1">
      <c r="A58" s="358" t="s">
        <v>1026</v>
      </c>
      <c r="B58" s="1173" t="s">
        <v>1418</v>
      </c>
      <c r="C58" s="359">
        <f ca="1">ROUND(C59+C64+C65+C66,0)</f>
        <v>34</v>
      </c>
      <c r="D58" s="1175" t="s">
        <v>1419</v>
      </c>
      <c r="E58" s="1176"/>
      <c r="F58" s="1177"/>
      <c r="I58" s="1915" t="s">
        <v>1554</v>
      </c>
      <c r="J58" s="1917" t="e">
        <f ca="1">IF(J55&lt;0.4,0.4,J55)</f>
        <v>#VALUE!</v>
      </c>
      <c r="K58" s="1894" t="s">
        <v>1555</v>
      </c>
      <c r="L58" s="1884" t="e">
        <f ca="1">ROUND(POWER(1+L52,L47-L48)*(POWER(1+L52,L48)-1)/(POWER(1+L52,L47)-1),4)</f>
        <v>#DIV/0!</v>
      </c>
      <c r="O58" s="1888" t="s">
        <v>1038</v>
      </c>
      <c r="P58" s="1879" t="s">
        <v>1556</v>
      </c>
      <c r="Q58" s="1880">
        <f>IF(L55="比较法",L49,IF(L55="基准地价",L50,0))</f>
        <v>0</v>
      </c>
      <c r="R58" s="1880" t="s">
        <v>1523</v>
      </c>
    </row>
    <row r="59" spans="1:18" s="1836" customFormat="1" ht="24.75" thickBot="1">
      <c r="A59" s="1197" t="s">
        <v>1031</v>
      </c>
      <c r="B59" s="1165" t="s">
        <v>1423</v>
      </c>
      <c r="C59" s="24">
        <f ca="1">ROUND(IF(项目基本情况!B11="自然人",C48*F59,C60+C61+C62),1)</f>
        <v>28.7</v>
      </c>
      <c r="D59" s="1178" t="s">
        <v>1424</v>
      </c>
      <c r="E59" s="1179" t="s">
        <v>1425</v>
      </c>
      <c r="F59" s="366" t="str">
        <f ca="1">IF(项目基本情况!B11="企业","",IF(INDIRECT("'数据-取费表'!c"&amp;$G$1)="住宅",5%,IF(F49*F50*F51/12/(1+'数据-取费表'!C42)&gt;20000,12%,7%)))</f>
        <v/>
      </c>
      <c r="I59" s="1915" t="s">
        <v>1557</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1039</v>
      </c>
      <c r="P59" s="1879" t="s">
        <v>1558</v>
      </c>
      <c r="Q59" s="1891">
        <f>L52</f>
        <v>0</v>
      </c>
      <c r="R59" s="1880"/>
    </row>
    <row r="60" spans="1:18" s="1836" customFormat="1" ht="16.5" thickBot="1">
      <c r="A60" s="1197" t="s">
        <v>1030</v>
      </c>
      <c r="B60" s="1165" t="s">
        <v>1427</v>
      </c>
      <c r="C60" s="24">
        <f ca="1">IF(项目基本情况!B11="自然人","——",ROUND(C48*F60/(1+'数据-取费表'!C42),2))</f>
        <v>0</v>
      </c>
      <c r="D60" s="1179" t="s">
        <v>1428</v>
      </c>
      <c r="E60" s="1165" t="s">
        <v>1416</v>
      </c>
      <c r="F60" s="375">
        <f t="shared" ref="F60:F66" si="0">F32</f>
        <v>5.5000000000000007E-2</v>
      </c>
      <c r="I60" s="1918" t="s">
        <v>1559</v>
      </c>
      <c r="J60" s="1919" t="str">
        <f ca="1">IF(OR(M47="住宅",J51&lt;L48,J56="是"),"0",ROUND(J59/(1+J52)^J53,0))</f>
        <v>0</v>
      </c>
      <c r="K60" s="1920" t="s">
        <v>1560</v>
      </c>
      <c r="L60" s="1919">
        <f ca="1">IF(OR(M47="住宅",L48&lt;J51),0,ROUND(L57*(L58/L59-1),0))</f>
        <v>0</v>
      </c>
      <c r="O60" s="1888" t="s">
        <v>1040</v>
      </c>
      <c r="P60" s="1879" t="s">
        <v>1561</v>
      </c>
      <c r="Q60" s="1880" t="e">
        <f ca="1">L58</f>
        <v>#DIV/0!</v>
      </c>
      <c r="R60" s="1880" t="s">
        <v>1562</v>
      </c>
    </row>
    <row r="61" spans="1:18" s="1836" customFormat="1" ht="13.5" thickBot="1">
      <c r="A61" s="1197" t="s">
        <v>1486</v>
      </c>
      <c r="B61" s="1165" t="s">
        <v>1431</v>
      </c>
      <c r="C61" s="24">
        <f ca="1">IF(项目基本情况!B11="自然人","——",IF(D61="按租金收入计税",ROUND(C48*F61,2),IF(D61="按房产原值计税",ROUND(C57*F61*0.7,2),INDIRECT("'数据-取费表'!Aj"&amp;$G$1))))</f>
        <v>28.64</v>
      </c>
      <c r="D61" s="1822" t="s">
        <v>1432</v>
      </c>
      <c r="E61" s="1165" t="s">
        <v>1416</v>
      </c>
      <c r="F61" s="365">
        <f t="shared" si="0"/>
        <v>0.12</v>
      </c>
      <c r="I61" s="1921"/>
      <c r="J61" s="1921"/>
      <c r="K61" s="1921"/>
      <c r="L61" s="1921"/>
      <c r="O61" s="1888" t="s">
        <v>1041</v>
      </c>
      <c r="P61" s="1879" t="str">
        <f>K59</f>
        <v>续建工期及建筑物耐用年限下的土地年期修正系数Kn</v>
      </c>
      <c r="Q61" s="1880" t="e">
        <f ca="1">L59</f>
        <v>#DIV/0!</v>
      </c>
      <c r="R61" s="1880" t="s">
        <v>1563</v>
      </c>
    </row>
    <row r="62" spans="1:18" s="1836" customFormat="1" ht="13.5" thickBot="1">
      <c r="A62" s="1197" t="s">
        <v>1489</v>
      </c>
      <c r="B62" s="1164" t="s">
        <v>1435</v>
      </c>
      <c r="C62" s="25">
        <f ca="1">IF(项目基本情况!B11="自然人","——",ROUND(F62*F63/10000,2))</f>
        <v>0.04</v>
      </c>
      <c r="D62" s="1180" t="s">
        <v>1436</v>
      </c>
      <c r="E62" s="1165" t="s">
        <v>1437</v>
      </c>
      <c r="F62" s="369">
        <f t="shared" si="0"/>
        <v>1.5</v>
      </c>
      <c r="I62" s="1922" t="s">
        <v>1564</v>
      </c>
      <c r="J62" s="1923" t="s">
        <v>1565</v>
      </c>
      <c r="K62" s="1923" t="s">
        <v>1566</v>
      </c>
      <c r="L62" s="1923" t="s">
        <v>1567</v>
      </c>
      <c r="M62" s="1924" t="s">
        <v>1568</v>
      </c>
      <c r="O62" s="1878" t="s">
        <v>1042</v>
      </c>
      <c r="P62" s="1879" t="s">
        <v>1543</v>
      </c>
      <c r="Q62" s="1880">
        <f ca="1">Q56+Q57</f>
        <v>1435</v>
      </c>
      <c r="R62" s="1880" t="s">
        <v>1043</v>
      </c>
    </row>
    <row r="63" spans="1:18" s="1836" customFormat="1" ht="13.5" thickBot="1">
      <c r="A63" s="370"/>
      <c r="B63" s="1171"/>
      <c r="C63" s="29"/>
      <c r="D63" s="1181"/>
      <c r="E63" s="1165" t="s">
        <v>1441</v>
      </c>
      <c r="F63" s="346">
        <f t="shared" ca="1" si="0"/>
        <v>261.40000000000003</v>
      </c>
      <c r="I63" s="1922" t="s">
        <v>1570</v>
      </c>
      <c r="J63" s="1923">
        <v>70</v>
      </c>
      <c r="K63" s="1923">
        <v>50</v>
      </c>
      <c r="L63" s="1923">
        <v>80</v>
      </c>
      <c r="M63" s="1925">
        <v>0.02</v>
      </c>
      <c r="O63" s="1863" t="s">
        <v>1571</v>
      </c>
      <c r="P63" s="1833"/>
      <c r="Q63" s="1833"/>
      <c r="R63" s="1833"/>
    </row>
    <row r="64" spans="1:18" s="1836" customFormat="1" ht="13.5" thickBot="1">
      <c r="A64" s="1197" t="s">
        <v>1035</v>
      </c>
      <c r="B64" s="1165" t="s">
        <v>1443</v>
      </c>
      <c r="C64" s="24">
        <f ca="1">ROUND(C57*F64,1)</f>
        <v>5.0999999999999996</v>
      </c>
      <c r="D64" s="1179" t="s">
        <v>1476</v>
      </c>
      <c r="E64" s="1165" t="s">
        <v>1416</v>
      </c>
      <c r="F64" s="372">
        <f t="shared" ca="1" si="0"/>
        <v>1.4999999999999999E-2</v>
      </c>
      <c r="I64" s="1922" t="s">
        <v>1572</v>
      </c>
      <c r="J64" s="1923">
        <v>50</v>
      </c>
      <c r="K64" s="1923">
        <v>35</v>
      </c>
      <c r="L64" s="1923">
        <v>60</v>
      </c>
      <c r="M64" s="1924">
        <v>0</v>
      </c>
      <c r="O64" s="1871" t="s">
        <v>1516</v>
      </c>
      <c r="P64" s="1872" t="s">
        <v>1517</v>
      </c>
      <c r="Q64" s="1873" t="s">
        <v>1518</v>
      </c>
      <c r="R64" s="1873" t="s">
        <v>1519</v>
      </c>
    </row>
    <row r="65" spans="1:18" s="1836" customFormat="1" ht="13.5" thickBot="1">
      <c r="A65" s="1197" t="s">
        <v>1497</v>
      </c>
      <c r="B65" s="1165" t="s">
        <v>1447</v>
      </c>
      <c r="C65" s="24">
        <f ca="1">ROUND(C56*F65,1)</f>
        <v>0.5</v>
      </c>
      <c r="D65" s="1179" t="s">
        <v>1448</v>
      </c>
      <c r="E65" s="1165" t="s">
        <v>1416</v>
      </c>
      <c r="F65" s="374">
        <f t="shared" ca="1" si="0"/>
        <v>1.5E-3</v>
      </c>
      <c r="I65" s="1922" t="s">
        <v>1573</v>
      </c>
      <c r="J65" s="1923">
        <v>40</v>
      </c>
      <c r="K65" s="1923">
        <v>30</v>
      </c>
      <c r="L65" s="1923">
        <v>50</v>
      </c>
      <c r="M65" s="1925">
        <v>0.02</v>
      </c>
      <c r="O65" s="1878" t="s">
        <v>1036</v>
      </c>
      <c r="P65" s="1879" t="s">
        <v>1522</v>
      </c>
      <c r="Q65" s="1880">
        <f ca="1">C40+J29</f>
        <v>1435</v>
      </c>
      <c r="R65" s="1880" t="s">
        <v>1523</v>
      </c>
    </row>
    <row r="66" spans="1:18" s="1836" customFormat="1" ht="16.5" thickBot="1">
      <c r="A66" s="1197" t="s">
        <v>1498</v>
      </c>
      <c r="B66" s="1165" t="s">
        <v>1433</v>
      </c>
      <c r="C66" s="24">
        <f ca="1">ROUND(C48*F66,1)</f>
        <v>0</v>
      </c>
      <c r="D66" s="1179" t="s">
        <v>1453</v>
      </c>
      <c r="E66" s="1165" t="s">
        <v>1416</v>
      </c>
      <c r="F66" s="355">
        <f t="shared" ca="1" si="0"/>
        <v>0.02</v>
      </c>
      <c r="O66" s="1878" t="s">
        <v>1037</v>
      </c>
      <c r="P66" s="1879" t="s">
        <v>1552</v>
      </c>
      <c r="Q66" s="1880">
        <f ca="1">L60</f>
        <v>0</v>
      </c>
      <c r="R66" s="1880" t="s">
        <v>1575</v>
      </c>
    </row>
    <row r="67" spans="1:18" s="1836" customFormat="1" ht="16.5" thickBot="1">
      <c r="A67" s="1172" t="s">
        <v>1027</v>
      </c>
      <c r="B67" s="1182" t="s">
        <v>1457</v>
      </c>
      <c r="C67" s="359">
        <f ca="1">C48-C58</f>
        <v>-34</v>
      </c>
      <c r="D67" s="1178" t="s">
        <v>1458</v>
      </c>
      <c r="E67" s="1183"/>
      <c r="F67" s="1184"/>
      <c r="O67" s="1888" t="s">
        <v>1038</v>
      </c>
      <c r="P67" s="1879" t="s">
        <v>1556</v>
      </c>
      <c r="Q67" s="1926">
        <f ca="1">L51</f>
        <v>1058</v>
      </c>
      <c r="R67" s="1880" t="s">
        <v>1576</v>
      </c>
    </row>
    <row r="68" spans="1:18" s="1836" customFormat="1" ht="16.5" thickBot="1">
      <c r="A68" s="1162" t="s">
        <v>1028</v>
      </c>
      <c r="B68" s="1163" t="s">
        <v>1479</v>
      </c>
      <c r="C68" s="344">
        <f ca="1">ROUND(C67*(1-((1+F70)/(1+F68))^F69)/(F68-F70),0)</f>
        <v>-530</v>
      </c>
      <c r="D68" s="1180" t="s">
        <v>1463</v>
      </c>
      <c r="E68" s="1165" t="s">
        <v>1464</v>
      </c>
      <c r="F68" s="355">
        <f ca="1">F40</f>
        <v>5.5E-2</v>
      </c>
      <c r="O68" s="1888" t="s">
        <v>1039</v>
      </c>
      <c r="P68" s="1927" t="s">
        <v>1577</v>
      </c>
      <c r="Q68" s="1880">
        <f ca="1">ROUND(Q69-Q70*Q71,0)</f>
        <v>63</v>
      </c>
      <c r="R68" s="1880" t="s">
        <v>1047</v>
      </c>
    </row>
    <row r="69" spans="1:18" s="1836" customFormat="1" ht="13.5" thickBot="1">
      <c r="A69" s="1166"/>
      <c r="B69" s="1167"/>
      <c r="C69" s="349"/>
      <c r="D69" s="1185" t="s">
        <v>1467</v>
      </c>
      <c r="E69" s="1165" t="s">
        <v>1468</v>
      </c>
      <c r="F69" s="377">
        <f ca="1">F41</f>
        <v>36.46</v>
      </c>
      <c r="O69" s="1888" t="s">
        <v>1044</v>
      </c>
      <c r="P69" s="1927" t="s">
        <v>1578</v>
      </c>
      <c r="Q69" s="1880">
        <f ca="1">C39</f>
        <v>92</v>
      </c>
      <c r="R69" s="1880" t="s">
        <v>1523</v>
      </c>
    </row>
    <row r="70" spans="1:18" s="1836" customFormat="1" ht="13.5" thickBot="1">
      <c r="A70" s="1169"/>
      <c r="B70" s="1170"/>
      <c r="C70" s="353"/>
      <c r="D70" s="1181"/>
      <c r="E70" s="1165" t="s">
        <v>1471</v>
      </c>
      <c r="F70" s="1271"/>
      <c r="O70" s="1888" t="s">
        <v>1045</v>
      </c>
      <c r="P70" s="1927" t="s">
        <v>1579</v>
      </c>
      <c r="Q70" s="1880">
        <f ca="1">C13</f>
        <v>341</v>
      </c>
      <c r="R70" s="1880" t="s">
        <v>1523</v>
      </c>
    </row>
    <row r="71" spans="1:18" s="1836" customFormat="1" ht="13.5" thickBot="1">
      <c r="A71" s="1186" t="s">
        <v>1029</v>
      </c>
      <c r="B71" s="1187" t="s">
        <v>1481</v>
      </c>
      <c r="C71" s="380">
        <f ca="1">ROUND(C68*10000/F71,0)</f>
        <v>-8205</v>
      </c>
      <c r="D71" s="1188" t="s">
        <v>1482</v>
      </c>
      <c r="E71" s="1189" t="s">
        <v>1483</v>
      </c>
      <c r="F71" s="383">
        <f ca="1">F43</f>
        <v>645.96</v>
      </c>
      <c r="O71" s="1888" t="s">
        <v>1046</v>
      </c>
      <c r="P71" s="1927" t="s">
        <v>1580</v>
      </c>
      <c r="Q71" s="1891">
        <f ca="1">C76</f>
        <v>8.5000000000000006E-2</v>
      </c>
      <c r="R71" s="1880"/>
    </row>
    <row r="72" spans="1:18" s="1836" customFormat="1" ht="13.5" thickBot="1">
      <c r="B72" s="794"/>
      <c r="C72" s="794"/>
      <c r="O72" s="1888" t="s">
        <v>1040</v>
      </c>
      <c r="P72" s="1879" t="s">
        <v>1558</v>
      </c>
      <c r="Q72" s="1891">
        <f>L52</f>
        <v>0</v>
      </c>
      <c r="R72" s="1880"/>
    </row>
    <row r="73" spans="1:18" ht="16.5" thickBot="1">
      <c r="A73" s="1836"/>
      <c r="B73" s="794"/>
      <c r="C73" s="794"/>
      <c r="D73" s="1836"/>
      <c r="E73" s="1836"/>
      <c r="F73" s="1836"/>
      <c r="O73" s="1888" t="s">
        <v>1041</v>
      </c>
      <c r="P73" s="1879" t="s">
        <v>1561</v>
      </c>
      <c r="Q73" s="1880" t="e">
        <f ca="1">L58</f>
        <v>#DIV/0!</v>
      </c>
      <c r="R73" s="1880" t="s">
        <v>1562</v>
      </c>
    </row>
    <row r="74" spans="1:18" ht="13.5" thickBot="1">
      <c r="A74" s="1836"/>
      <c r="B74" s="315" t="s">
        <v>1581</v>
      </c>
      <c r="C74" s="1929"/>
      <c r="D74" s="1836"/>
      <c r="E74" s="1836"/>
      <c r="F74" s="1836"/>
      <c r="O74" s="1888" t="s">
        <v>1048</v>
      </c>
      <c r="P74" s="1879" t="str">
        <f>K59</f>
        <v>续建工期及建筑物耐用年限下的土地年期修正系数Kn</v>
      </c>
      <c r="Q74" s="1880" t="e">
        <f ca="1">L59</f>
        <v>#DIV/0!</v>
      </c>
      <c r="R74" s="1880" t="s">
        <v>1563</v>
      </c>
    </row>
    <row r="75" spans="1:18" ht="13.5" thickBot="1">
      <c r="A75" s="1836"/>
      <c r="B75" s="384" t="s">
        <v>1500</v>
      </c>
      <c r="C75" s="385">
        <f ca="1">ROUND(C13*C76,0)</f>
        <v>29</v>
      </c>
      <c r="D75" s="1836"/>
      <c r="E75" s="1836"/>
      <c r="F75" s="1836"/>
      <c r="K75" s="1862"/>
      <c r="L75" s="1836"/>
      <c r="O75" s="1878" t="s">
        <v>1042</v>
      </c>
      <c r="P75" s="1879" t="s">
        <v>1543</v>
      </c>
      <c r="Q75" s="1880">
        <f ca="1">Q65+Q66</f>
        <v>1435</v>
      </c>
      <c r="R75" s="1880" t="s">
        <v>1043</v>
      </c>
    </row>
    <row r="76" spans="1:18">
      <c r="B76" s="386" t="s">
        <v>1501</v>
      </c>
      <c r="C76" s="387">
        <f ca="1">INDIRECT("'数据-取费表'!j"&amp;$G$1)</f>
        <v>8.5000000000000006E-2</v>
      </c>
      <c r="I76" s="1836"/>
      <c r="J76" s="1836"/>
      <c r="K76" s="1862"/>
      <c r="L76" s="1836"/>
    </row>
    <row r="77" spans="1:18">
      <c r="B77" s="388" t="s">
        <v>1502</v>
      </c>
      <c r="C77" s="389"/>
      <c r="I77" s="1836"/>
      <c r="J77" s="1836"/>
      <c r="K77" s="1862"/>
      <c r="L77" s="1836"/>
    </row>
    <row r="78" spans="1:18">
      <c r="B78" s="312" t="s">
        <v>1503</v>
      </c>
      <c r="C78" s="390"/>
    </row>
    <row r="79" spans="1:18">
      <c r="B79" s="384" t="s">
        <v>1504</v>
      </c>
      <c r="C79" s="316">
        <f ca="1">1-C80</f>
        <v>0.68500000000000005</v>
      </c>
    </row>
    <row r="80" spans="1:18">
      <c r="B80" s="384" t="s">
        <v>1505</v>
      </c>
      <c r="C80" s="316">
        <f ca="1">ROUND(C75/C39,3)</f>
        <v>0.315</v>
      </c>
    </row>
    <row r="81" spans="2:3">
      <c r="B81" s="312" t="s">
        <v>1506</v>
      </c>
      <c r="C81" s="280"/>
    </row>
    <row r="82" spans="2:3">
      <c r="B82" s="315" t="s">
        <v>1507</v>
      </c>
      <c r="C82" s="317">
        <f ca="1">1-C83</f>
        <v>0.76200000000000001</v>
      </c>
    </row>
    <row r="83" spans="2:3">
      <c r="B83" s="315" t="s">
        <v>1508</v>
      </c>
      <c r="C83" s="316">
        <f ca="1">ROUND(C13/C40,3)</f>
        <v>0.23799999999999999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1583</v>
      </c>
      <c r="B1" s="780"/>
      <c r="C1" s="1831"/>
      <c r="D1" s="1814"/>
      <c r="E1" s="1815" t="s">
        <v>1381</v>
      </c>
      <c r="F1" s="1279" t="e">
        <f ca="1">J53</f>
        <v>#N/A</v>
      </c>
      <c r="G1" s="1830" t="e">
        <f>MATCH(C1,'数据-取费表'!A6:A16,0)+5</f>
        <v>#N/A</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1584</v>
      </c>
      <c r="B2" s="1838" t="e">
        <f ca="1">ROUND(D2/10000,0)</f>
        <v>#N/A</v>
      </c>
      <c r="C2" s="1839" t="s">
        <v>1585</v>
      </c>
      <c r="D2" s="1931" t="e">
        <f ca="1">C40+J29+L46</f>
        <v>#N/A</v>
      </c>
      <c r="E2" s="1840" t="s">
        <v>1586</v>
      </c>
      <c r="F2" s="1841"/>
      <c r="G2" s="1842"/>
      <c r="H2" s="1834"/>
      <c r="I2" s="1834"/>
      <c r="J2" s="1834"/>
      <c r="K2" s="1835"/>
      <c r="L2" s="1834"/>
      <c r="M2" s="1834"/>
    </row>
    <row r="3" spans="1:37" ht="18" customHeight="1" thickBot="1">
      <c r="A3" s="1843" t="s">
        <v>1587</v>
      </c>
      <c r="B3" s="1844">
        <f ca="1">IF(ISERROR(D2/F43),0,ROUND(D2/F43,0))</f>
        <v>0</v>
      </c>
      <c r="C3" s="1839" t="s">
        <v>1588</v>
      </c>
      <c r="D3" s="1839"/>
      <c r="E3" s="1840"/>
      <c r="F3" s="1841"/>
      <c r="G3" s="1842"/>
      <c r="H3" s="742" t="s">
        <v>1582</v>
      </c>
      <c r="I3" s="1834"/>
      <c r="J3" s="1834"/>
      <c r="K3" s="1835"/>
      <c r="L3" s="1834"/>
      <c r="M3" s="1834"/>
    </row>
    <row r="4" spans="1:37" ht="18" customHeight="1">
      <c r="A4" s="338" t="s">
        <v>1589</v>
      </c>
      <c r="B4" s="339" t="s">
        <v>1590</v>
      </c>
      <c r="C4" s="339" t="s">
        <v>1591</v>
      </c>
      <c r="D4" s="339" t="s">
        <v>1592</v>
      </c>
      <c r="E4" s="340" t="s">
        <v>1593</v>
      </c>
      <c r="F4" s="341"/>
      <c r="G4" s="1845"/>
      <c r="H4" s="338" t="s">
        <v>1589</v>
      </c>
      <c r="I4" s="339" t="s">
        <v>1590</v>
      </c>
      <c r="J4" s="339" t="s">
        <v>1591</v>
      </c>
      <c r="K4" s="339" t="s">
        <v>1592</v>
      </c>
      <c r="L4" s="340" t="s">
        <v>1593</v>
      </c>
      <c r="M4" s="341"/>
    </row>
    <row r="5" spans="1:37" ht="18" customHeight="1">
      <c r="A5" s="342">
        <v>1</v>
      </c>
      <c r="B5" s="343" t="s">
        <v>1594</v>
      </c>
      <c r="C5" s="1288" t="e">
        <f ca="1">C6+C10+C12</f>
        <v>#N/A</v>
      </c>
      <c r="D5" s="1816" t="s">
        <v>1595</v>
      </c>
      <c r="E5" s="1289"/>
      <c r="F5" s="1290"/>
      <c r="G5" s="1845"/>
      <c r="H5" s="342">
        <v>1</v>
      </c>
      <c r="I5" s="343" t="s">
        <v>1594</v>
      </c>
      <c r="J5" s="1288" t="e">
        <f ca="1">J6+J10+J12</f>
        <v>#N/A</v>
      </c>
      <c r="K5" s="1816" t="s">
        <v>1595</v>
      </c>
      <c r="L5" s="1289"/>
      <c r="M5" s="1290"/>
    </row>
    <row r="6" spans="1:37" ht="18" customHeight="1">
      <c r="A6" s="1287" t="s">
        <v>1031</v>
      </c>
      <c r="B6" s="3378" t="s">
        <v>1397</v>
      </c>
      <c r="C6" s="1292" t="e">
        <f ca="1">ROUND(F6*F8*F7*(1-F9),0)</f>
        <v>#N/A</v>
      </c>
      <c r="D6" s="162" t="s">
        <v>3009</v>
      </c>
      <c r="E6" s="345" t="s">
        <v>1399</v>
      </c>
      <c r="F6" s="346" t="e">
        <f ca="1">INDIRECT("'数据-取费表'!u"&amp;$G$1)</f>
        <v>#N/A</v>
      </c>
      <c r="G6" s="1845"/>
      <c r="H6" s="1287" t="s">
        <v>1031</v>
      </c>
      <c r="I6" s="3378" t="s">
        <v>1397</v>
      </c>
      <c r="J6" s="344" t="e">
        <f ca="1">ROUND(M6*M8*M7*(1-M9),0)</f>
        <v>#N/A</v>
      </c>
      <c r="K6" s="1828" t="s">
        <v>3010</v>
      </c>
      <c r="L6" s="345" t="s">
        <v>1399</v>
      </c>
      <c r="M6" s="346" t="e">
        <f ca="1">INDIRECT("'数据-取费表'!z"&amp;$G$1)</f>
        <v>#N/A</v>
      </c>
    </row>
    <row r="7" spans="1:37" ht="18" customHeight="1">
      <c r="A7" s="1291"/>
      <c r="B7" s="3379"/>
      <c r="C7" s="1293"/>
      <c r="D7" s="350"/>
      <c r="E7" s="1294" t="s">
        <v>1400</v>
      </c>
      <c r="F7" s="346" t="e">
        <f ca="1">IF(INDIRECT("'数据-取费表'!ah"&amp;$G$1)="",INDIRECT("'数据-取费表'!k"&amp;$G$1),INDIRECT("'数据-取费表'!ah"&amp;$G$1))</f>
        <v>#N/A</v>
      </c>
      <c r="G7" s="1845"/>
      <c r="H7" s="347"/>
      <c r="I7" s="3379"/>
      <c r="J7" s="349"/>
      <c r="K7" s="350"/>
      <c r="L7" s="345" t="s">
        <v>1400</v>
      </c>
      <c r="M7" s="346" t="e">
        <f ca="1">F7</f>
        <v>#N/A</v>
      </c>
    </row>
    <row r="8" spans="1:37" ht="18" customHeight="1">
      <c r="A8" s="347"/>
      <c r="B8" s="3379"/>
      <c r="C8" s="349"/>
      <c r="D8" s="350"/>
      <c r="E8" s="345" t="s">
        <v>1401</v>
      </c>
      <c r="F8" s="346" t="e">
        <f ca="1">INDIRECT("'数据-取费表'!ai"&amp;$G$1)</f>
        <v>#N/A</v>
      </c>
      <c r="G8" s="1845"/>
      <c r="H8" s="347"/>
      <c r="I8" s="3379"/>
      <c r="J8" s="349"/>
      <c r="K8" s="350"/>
      <c r="L8" s="345" t="s">
        <v>1401</v>
      </c>
      <c r="M8" s="346" t="e">
        <f ca="1">INDIRECT("'数据-取费表'!ai"&amp;$G$1)</f>
        <v>#N/A</v>
      </c>
    </row>
    <row r="9" spans="1:37" ht="18" customHeight="1">
      <c r="A9" s="347"/>
      <c r="B9" s="3380"/>
      <c r="C9" s="349"/>
      <c r="D9" s="350"/>
      <c r="E9" s="345" t="s">
        <v>1402</v>
      </c>
      <c r="F9" s="355" t="e">
        <f ca="1">INDIRECT("'数据-取费表'!w"&amp;$G$1)</f>
        <v>#N/A</v>
      </c>
      <c r="G9" s="1845"/>
      <c r="H9" s="347"/>
      <c r="I9" s="3380"/>
      <c r="J9" s="349"/>
      <c r="K9" s="350"/>
      <c r="L9" s="356" t="s">
        <v>1402</v>
      </c>
      <c r="M9" s="357" t="e">
        <f ca="1">INDIRECT("'数据-取费表'!ab"&amp;$G$1)</f>
        <v>#N/A</v>
      </c>
    </row>
    <row r="10" spans="1:37" ht="18" customHeight="1">
      <c r="A10" s="1287" t="s">
        <v>1035</v>
      </c>
      <c r="B10" s="1817" t="s">
        <v>1403</v>
      </c>
      <c r="C10" s="359">
        <f ca="1">ROUND(IF(F10="押一",C6/12*F11,IF(F10="押二",C6/12*2*F11,IF(F10="押三",C6/12*3*F11,C11*F11))),0)</f>
        <v>0</v>
      </c>
      <c r="D10" s="1818" t="s">
        <v>3020</v>
      </c>
      <c r="E10" s="356" t="s">
        <v>1404</v>
      </c>
      <c r="F10" s="1362"/>
      <c r="G10" s="1845"/>
      <c r="H10" s="1287" t="s">
        <v>1035</v>
      </c>
      <c r="I10" s="1817" t="s">
        <v>1403</v>
      </c>
      <c r="J10" s="344">
        <f ca="1">ROUND(IF(M10="押一",J6/12*M11,IF(M10="押二",J6/12*2*M11,IF(M10="押三",J6/12*3*M11,J11*M11))),0)</f>
        <v>0</v>
      </c>
      <c r="K10" s="1829" t="s">
        <v>3022</v>
      </c>
      <c r="L10" s="356" t="s">
        <v>1404</v>
      </c>
      <c r="M10" s="1362"/>
    </row>
    <row r="11" spans="1:37" ht="18" customHeight="1">
      <c r="A11" s="351"/>
      <c r="B11" s="1819" t="s">
        <v>1596</v>
      </c>
      <c r="C11" s="1174"/>
      <c r="D11" s="350"/>
      <c r="E11" s="356" t="s">
        <v>1406</v>
      </c>
      <c r="F11" s="357">
        <f ca="1">'数据-取费表'!B39</f>
        <v>1.4999999999999999E-2</v>
      </c>
      <c r="G11" s="1845"/>
      <c r="H11" s="1295"/>
      <c r="I11" s="1819" t="s">
        <v>1597</v>
      </c>
      <c r="J11" s="1174"/>
      <c r="K11" s="746"/>
      <c r="L11" s="356" t="s">
        <v>1406</v>
      </c>
      <c r="M11" s="1052">
        <f ca="1">'数据-取费表'!B39</f>
        <v>1.4999999999999999E-2</v>
      </c>
    </row>
    <row r="12" spans="1:37" ht="18" customHeight="1" thickBot="1">
      <c r="A12" s="1329" t="s">
        <v>1071</v>
      </c>
      <c r="B12" s="1821" t="s">
        <v>1407</v>
      </c>
      <c r="C12" s="1330"/>
      <c r="D12" s="1331"/>
      <c r="E12" s="1336"/>
      <c r="F12" s="1332"/>
      <c r="G12" s="1845"/>
      <c r="H12" s="1329" t="s">
        <v>1071</v>
      </c>
      <c r="I12" s="1821" t="s">
        <v>1407</v>
      </c>
      <c r="J12" s="1330"/>
      <c r="K12" s="1344"/>
      <c r="L12" s="1336"/>
      <c r="M12" s="1345"/>
    </row>
    <row r="13" spans="1:37" ht="18" customHeight="1" thickTop="1">
      <c r="A13" s="1325">
        <v>2</v>
      </c>
      <c r="B13" s="1326" t="s">
        <v>1408</v>
      </c>
      <c r="C13" s="353" t="e">
        <f ca="1">ROUND(C29*F13,0)</f>
        <v>#N/A</v>
      </c>
      <c r="D13" s="1327" t="s">
        <v>1409</v>
      </c>
      <c r="E13" s="1327" t="s">
        <v>1410</v>
      </c>
      <c r="F13" s="1328" t="e">
        <f ca="1">INDIRECT("'数据-取费表'!y"&amp;$G$1)</f>
        <v>#N/A</v>
      </c>
      <c r="G13" s="1845"/>
      <c r="H13" s="1325">
        <v>2</v>
      </c>
      <c r="I13" s="1326" t="s">
        <v>1408</v>
      </c>
      <c r="J13" s="1286" t="e">
        <f ca="1">ROUND(J14*J15,0)</f>
        <v>#N/A</v>
      </c>
      <c r="K13" s="1333" t="s">
        <v>1409</v>
      </c>
      <c r="L13" s="1846"/>
      <c r="M13" s="1847"/>
    </row>
    <row r="14" spans="1:37" ht="18" customHeight="1">
      <c r="A14" s="1197" t="s">
        <v>1030</v>
      </c>
      <c r="B14" s="345" t="s">
        <v>1411</v>
      </c>
      <c r="C14" s="361" t="e">
        <f ca="1">ROUND(INDIRECT("'数据-取费表'!l"&amp;$G$1)*F43+'数据-取费表'!L14*INDIRECT("'数据-取费表'!S"&amp;$G$1),0)</f>
        <v>#N/A</v>
      </c>
      <c r="D14" s="1794" t="s">
        <v>1412</v>
      </c>
      <c r="E14" s="1788"/>
      <c r="F14" s="362"/>
      <c r="G14" s="1845"/>
      <c r="H14" s="1197" t="s">
        <v>1031</v>
      </c>
      <c r="I14" s="345" t="s">
        <v>1413</v>
      </c>
      <c r="J14" s="24" t="e">
        <f ca="1">C29</f>
        <v>#N/A</v>
      </c>
      <c r="K14" s="15"/>
      <c r="L14" s="977"/>
      <c r="M14" s="978"/>
    </row>
    <row r="15" spans="1:37" s="1852" customFormat="1" ht="18" customHeight="1" thickBot="1">
      <c r="A15" s="1197" t="s">
        <v>1032</v>
      </c>
      <c r="B15" s="345" t="s">
        <v>1414</v>
      </c>
      <c r="C15" s="24" t="e">
        <f ca="1">ROUND(C14*F15,0)</f>
        <v>#N/A</v>
      </c>
      <c r="D15" s="363" t="s">
        <v>1415</v>
      </c>
      <c r="E15" s="363" t="s">
        <v>1416</v>
      </c>
      <c r="F15" s="364">
        <f>'数据-取费表'!B33</f>
        <v>0.03</v>
      </c>
      <c r="G15" s="1848"/>
      <c r="H15" s="1335" t="s">
        <v>1035</v>
      </c>
      <c r="I15" s="1336" t="s">
        <v>1410</v>
      </c>
      <c r="J15" s="1345" t="e">
        <f ca="1">INDIRECT("'数据-取费表'!ad"&amp;$G$1)</f>
        <v>#N/A</v>
      </c>
      <c r="K15" s="1346"/>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1383</v>
      </c>
      <c r="B16" s="345" t="s">
        <v>1417</v>
      </c>
      <c r="C16" s="24" t="e">
        <f ca="1">ROUND(INDIRECT("'数据-取费表'!l"&amp;$G$1)*F43*F16,0)</f>
        <v>#N/A</v>
      </c>
      <c r="D16" s="345" t="s">
        <v>1415</v>
      </c>
      <c r="E16" s="345" t="s">
        <v>1416</v>
      </c>
      <c r="F16" s="365" t="e">
        <f ca="1">IF(INDIRECT("'数据-取费表'!c"&amp;$G$1)="住宅",'数据-取费表'!B34,0)</f>
        <v>#N/A</v>
      </c>
      <c r="G16" s="1845"/>
      <c r="H16" s="1325" t="s">
        <v>1026</v>
      </c>
      <c r="I16" s="1326" t="s">
        <v>1418</v>
      </c>
      <c r="J16" s="353" t="e">
        <f ca="1">ROUND(J17+J22+J23+J24,0)</f>
        <v>#N/A</v>
      </c>
      <c r="K16" s="1333" t="s">
        <v>1419</v>
      </c>
      <c r="L16" s="1334"/>
      <c r="M16" s="1290"/>
    </row>
    <row r="17" spans="1:37" s="1852" customFormat="1" ht="18" customHeight="1">
      <c r="A17" s="1197" t="s">
        <v>1384</v>
      </c>
      <c r="B17" s="345" t="s">
        <v>1420</v>
      </c>
      <c r="C17" s="24" t="e">
        <f ca="1">ROUND(F17*(F43+INDIRECT("'数据-取费表'!S"&amp;$G$1)),0)</f>
        <v>#N/A</v>
      </c>
      <c r="D17" s="345" t="s">
        <v>1421</v>
      </c>
      <c r="E17" s="345" t="s">
        <v>1422</v>
      </c>
      <c r="F17" s="26">
        <f>'数据-取费表'!B35</f>
        <v>200</v>
      </c>
      <c r="G17" s="1848"/>
      <c r="H17" s="1197" t="s">
        <v>1031</v>
      </c>
      <c r="I17" s="345" t="s">
        <v>1423</v>
      </c>
      <c r="J17" s="24" t="e">
        <f ca="1">ROUND(IF(项目基本情况!B11="自然人",J6*M17/(1+'数据-取费表'!C42),J18+J19+J20),0)</f>
        <v>#N/A</v>
      </c>
      <c r="K17" s="1794" t="s">
        <v>1424</v>
      </c>
      <c r="L17" s="1792" t="s">
        <v>1425</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1385</v>
      </c>
      <c r="B18" s="345" t="s">
        <v>1426</v>
      </c>
      <c r="C18" s="24" t="e">
        <f ca="1">ROUND(C14*F18,0)</f>
        <v>#N/A</v>
      </c>
      <c r="D18" s="345" t="s">
        <v>1415</v>
      </c>
      <c r="E18" s="345" t="s">
        <v>1416</v>
      </c>
      <c r="F18" s="365">
        <f>'数据-取费表'!B36</f>
        <v>1.4999999999999999E-2</v>
      </c>
      <c r="G18" s="1848"/>
      <c r="H18" s="1197" t="s">
        <v>1030</v>
      </c>
      <c r="I18" s="345" t="s">
        <v>1427</v>
      </c>
      <c r="J18" s="24" t="e">
        <f ca="1">ROUND(J6*M18/(1+'数据-取费表'!C42),0)</f>
        <v>#N/A</v>
      </c>
      <c r="K18" s="1792" t="s">
        <v>1428</v>
      </c>
      <c r="L18" s="345" t="s">
        <v>1416</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1031</v>
      </c>
      <c r="B19" s="345" t="s">
        <v>1429</v>
      </c>
      <c r="C19" s="24" t="e">
        <f ca="1">SUM(C14:C18)</f>
        <v>#N/A</v>
      </c>
      <c r="D19" s="138" t="s">
        <v>1430</v>
      </c>
      <c r="E19" s="1812"/>
      <c r="F19" s="26"/>
      <c r="G19" s="1845"/>
      <c r="H19" s="1197" t="s">
        <v>1032</v>
      </c>
      <c r="I19" s="345" t="s">
        <v>1431</v>
      </c>
      <c r="J19" s="24" t="e">
        <f ca="1">IF(K19="按租金收入计税",ROUND(J6*M19/(1+'数据-取费表'!C42),0),ROUND(C29*M19*0.7,0))</f>
        <v>#N/A</v>
      </c>
      <c r="K19" s="1822" t="s">
        <v>1432</v>
      </c>
      <c r="L19" s="345" t="s">
        <v>1416</v>
      </c>
      <c r="M19" s="365">
        <f>IF(K19="按租金收入计税",'数据-取费表'!B51,'数据-取费表'!B50)</f>
        <v>1.2E-2</v>
      </c>
    </row>
    <row r="20" spans="1:37" s="1852" customFormat="1" ht="18" customHeight="1">
      <c r="A20" s="1197" t="s">
        <v>1035</v>
      </c>
      <c r="B20" s="345" t="s">
        <v>1433</v>
      </c>
      <c r="C20" s="24" t="e">
        <f ca="1">ROUND(C19*F20,0)</f>
        <v>#N/A</v>
      </c>
      <c r="D20" s="367" t="s">
        <v>1434</v>
      </c>
      <c r="E20" s="345" t="s">
        <v>1416</v>
      </c>
      <c r="F20" s="365">
        <f>'数据-取费表'!B37</f>
        <v>0.03</v>
      </c>
      <c r="G20" s="1848"/>
      <c r="H20" s="1197" t="s">
        <v>1383</v>
      </c>
      <c r="I20" s="162" t="s">
        <v>1435</v>
      </c>
      <c r="J20" s="25" t="e">
        <f ca="1">ROUND(M20*M21,0)</f>
        <v>#N/A</v>
      </c>
      <c r="K20" s="368" t="s">
        <v>1436</v>
      </c>
      <c r="L20" s="345" t="s">
        <v>1437</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1071</v>
      </c>
      <c r="B21" s="345" t="s">
        <v>1438</v>
      </c>
      <c r="C21" s="24" t="s">
        <v>1</v>
      </c>
      <c r="D21" s="367" t="s">
        <v>1439</v>
      </c>
      <c r="E21" s="345" t="s">
        <v>1440</v>
      </c>
      <c r="F21" s="365">
        <f>'数据-取费表'!B38</f>
        <v>0.03</v>
      </c>
      <c r="G21" s="1848"/>
      <c r="H21" s="370"/>
      <c r="I21" s="354"/>
      <c r="J21" s="29"/>
      <c r="K21" s="371"/>
      <c r="L21" s="345" t="s">
        <v>1441</v>
      </c>
      <c r="M21" s="346" t="e">
        <f ca="1">INDIRECT("'数据-取费表'!r"&amp;$G$1)</f>
        <v>#N/A</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1386</v>
      </c>
      <c r="B22" s="345" t="s">
        <v>1442</v>
      </c>
      <c r="C22" s="24"/>
      <c r="D22" s="138" t="str">
        <f>IF(F23&lt;=1,"单利计息。","复利计息。")&amp;"建造成本、管理费用、销售费用产生的利息。"</f>
        <v>复利计息。建造成本、管理费用、销售费用产生的利息。</v>
      </c>
      <c r="E22" s="1812"/>
      <c r="F22" s="26"/>
      <c r="G22" s="1845"/>
      <c r="H22" s="1197" t="s">
        <v>1035</v>
      </c>
      <c r="I22" s="345" t="s">
        <v>1443</v>
      </c>
      <c r="J22" s="24" t="e">
        <f ca="1">ROUND(J14*M22,0)</f>
        <v>#N/A</v>
      </c>
      <c r="K22" s="1792" t="s">
        <v>1444</v>
      </c>
      <c r="L22" s="345" t="s">
        <v>1416</v>
      </c>
      <c r="M22" s="372" t="e">
        <f ca="1">INDIRECT("'数据-取费表'!Ak"&amp;$G$1)</f>
        <v>#N/A</v>
      </c>
    </row>
    <row r="23" spans="1:37" s="1852" customFormat="1" ht="18" customHeight="1">
      <c r="A23" s="1197" t="s">
        <v>1030</v>
      </c>
      <c r="B23" s="345" t="s">
        <v>1445</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1446</v>
      </c>
      <c r="F23" s="369">
        <f>'数据-取费表'!B20</f>
        <v>2</v>
      </c>
      <c r="G23" s="1848"/>
      <c r="H23" s="1197" t="s">
        <v>1071</v>
      </c>
      <c r="I23" s="345" t="s">
        <v>1447</v>
      </c>
      <c r="J23" s="24" t="e">
        <f ca="1">ROUND(J13*M23,0)</f>
        <v>#N/A</v>
      </c>
      <c r="K23" s="1792" t="s">
        <v>1448</v>
      </c>
      <c r="L23" s="345" t="s">
        <v>1449</v>
      </c>
      <c r="M23" s="374" t="e">
        <f ca="1">INDIRECT("'数据-取费表'!Al"&amp;$G$1)</f>
        <v>#N/A</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1450</v>
      </c>
      <c r="B24" s="345" t="s">
        <v>1451</v>
      </c>
      <c r="C24" s="24">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848"/>
      <c r="H24" s="1335" t="s">
        <v>1387</v>
      </c>
      <c r="I24" s="1336" t="s">
        <v>1433</v>
      </c>
      <c r="J24" s="1337" t="e">
        <f ca="1">ROUND(J5*M24,0)</f>
        <v>#N/A</v>
      </c>
      <c r="K24" s="1338" t="s">
        <v>1453</v>
      </c>
      <c r="L24" s="1336" t="s">
        <v>1449</v>
      </c>
      <c r="M24" s="1332" t="e">
        <f ca="1">INDIRECT("'数据-取费表'!Am"&amp;$G$1)</f>
        <v>#N/A</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7" t="s">
        <v>1454</v>
      </c>
      <c r="B25" s="345" t="s">
        <v>1455</v>
      </c>
      <c r="C25" s="24"/>
      <c r="D25" s="138" t="s">
        <v>1456</v>
      </c>
      <c r="E25" s="1812"/>
      <c r="F25" s="26"/>
      <c r="G25" s="1845"/>
      <c r="H25" s="1325" t="s">
        <v>1027</v>
      </c>
      <c r="I25" s="1340" t="s">
        <v>1457</v>
      </c>
      <c r="J25" s="353" t="e">
        <f ca="1">J5-J16</f>
        <v>#N/A</v>
      </c>
      <c r="K25" s="1341" t="s">
        <v>1458</v>
      </c>
      <c r="L25" s="1342"/>
      <c r="M25" s="1343"/>
    </row>
    <row r="26" spans="1:37" ht="18" customHeight="1">
      <c r="A26" s="1197" t="s">
        <v>1030</v>
      </c>
      <c r="B26" s="345" t="s">
        <v>1459</v>
      </c>
      <c r="C26" s="24" t="e">
        <f ca="1">ROUND((C19+C20)*F26,0)</f>
        <v>#N/A</v>
      </c>
      <c r="D26" s="367" t="s">
        <v>1460</v>
      </c>
      <c r="E26" s="356" t="s">
        <v>1461</v>
      </c>
      <c r="F26" s="355" t="e">
        <f ca="1">INDIRECT("'数据-取费表'!q"&amp;$G$1)</f>
        <v>#N/A</v>
      </c>
      <c r="G26" s="1845"/>
      <c r="H26" s="342" t="s">
        <v>1028</v>
      </c>
      <c r="I26" s="343" t="s">
        <v>1462</v>
      </c>
      <c r="J26" s="344" t="e">
        <f ca="1">IF(J5&lt;&gt;0,ROUND(J25*(1-((1+M28)/(1+M26))^M27)/(M26-M28),0),0)</f>
        <v>#N/A</v>
      </c>
      <c r="K26" s="368" t="s">
        <v>1463</v>
      </c>
      <c r="L26" s="345" t="s">
        <v>1464</v>
      </c>
      <c r="M26" s="355" t="e">
        <f ca="1">INDIRECT("'数据-取费表'!I"&amp;$G$1)</f>
        <v>#N/A</v>
      </c>
    </row>
    <row r="27" spans="1:37" ht="18" customHeight="1">
      <c r="A27" s="1197" t="s">
        <v>1032</v>
      </c>
      <c r="B27" s="345" t="s">
        <v>1465</v>
      </c>
      <c r="C27" s="24" t="e">
        <f ca="1">ROUND(F21*F26,4)</f>
        <v>#N/A</v>
      </c>
      <c r="D27" s="367" t="s">
        <v>1466</v>
      </c>
      <c r="E27" s="363"/>
      <c r="F27" s="364"/>
      <c r="G27" s="1845"/>
      <c r="H27" s="347"/>
      <c r="I27" s="348"/>
      <c r="J27" s="349"/>
      <c r="K27" s="376" t="s">
        <v>1467</v>
      </c>
      <c r="L27" s="345" t="s">
        <v>1468</v>
      </c>
      <c r="M27" s="377" t="e">
        <f ca="1">INDIRECT("'数据-取费表'!ag"&amp;$G$1)</f>
        <v>#N/A</v>
      </c>
    </row>
    <row r="28" spans="1:37" s="1852" customFormat="1" ht="18" customHeight="1">
      <c r="A28" s="1197" t="s">
        <v>1033</v>
      </c>
      <c r="B28" s="345" t="s">
        <v>1469</v>
      </c>
      <c r="C28" s="24">
        <f>ROUND(F28/(1+'数据-取费表'!C42),4)</f>
        <v>5.2400000000000002E-2</v>
      </c>
      <c r="D28" s="367" t="s">
        <v>1470</v>
      </c>
      <c r="E28" s="345" t="s">
        <v>1416</v>
      </c>
      <c r="F28" s="365">
        <f>'数据-取费表'!B41</f>
        <v>5.5000000000000007E-2</v>
      </c>
      <c r="G28" s="1848"/>
      <c r="H28" s="351"/>
      <c r="I28" s="352"/>
      <c r="J28" s="353"/>
      <c r="K28" s="371"/>
      <c r="L28" s="345" t="s">
        <v>1471</v>
      </c>
      <c r="M28" s="355" t="e">
        <f ca="1">INDIRECT("'数据-取费表'!aa"&amp;$G$1)</f>
        <v>#N/A</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5" t="s">
        <v>1034</v>
      </c>
      <c r="B29" s="1336" t="s">
        <v>1472</v>
      </c>
      <c r="C29" s="1337" t="e">
        <f ca="1">ROUND((C19+C20+C23+C26)/(1-F21-C24-C27-C28),0)</f>
        <v>#N/A</v>
      </c>
      <c r="D29" s="1338"/>
      <c r="E29" s="1336"/>
      <c r="F29" s="1339"/>
      <c r="G29" s="1848"/>
      <c r="H29" s="378" t="s">
        <v>1029</v>
      </c>
      <c r="I29" s="379" t="s">
        <v>1473</v>
      </c>
      <c r="J29" s="380" t="e">
        <f ca="1">ROUND(J26/(1+F40)^F41,0)</f>
        <v>#N/A</v>
      </c>
      <c r="K29" s="381" t="s">
        <v>1474</v>
      </c>
      <c r="L29" s="382"/>
      <c r="M29" s="383" t="e">
        <f ca="1">INDIRECT("'数据-取费表'!k"&amp;$G$1)</f>
        <v>#N/A</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5" t="s">
        <v>1026</v>
      </c>
      <c r="B30" s="1326" t="s">
        <v>1418</v>
      </c>
      <c r="C30" s="353" t="e">
        <f ca="1">ROUND(C31+C36+C37+C38,0)</f>
        <v>#N/A</v>
      </c>
      <c r="D30" s="1333" t="s">
        <v>1419</v>
      </c>
      <c r="E30" s="1334"/>
      <c r="F30" s="1290"/>
      <c r="G30" s="1845"/>
      <c r="H30" s="743"/>
      <c r="I30" s="744"/>
      <c r="J30" s="745"/>
      <c r="K30" s="746"/>
      <c r="L30" s="747"/>
      <c r="M30" s="748"/>
    </row>
    <row r="31" spans="1:37" ht="18" customHeight="1">
      <c r="A31" s="1197" t="s">
        <v>1031</v>
      </c>
      <c r="B31" s="345" t="s">
        <v>1423</v>
      </c>
      <c r="C31" s="24" t="e">
        <f ca="1">ROUND(IF(项目基本情况!B11="自然人",C6*F31/(1+'数据-取费表'!C42),C32+C33+C34),0)</f>
        <v>#N/A</v>
      </c>
      <c r="D31" s="1794" t="s">
        <v>1424</v>
      </c>
      <c r="E31" s="1792" t="s">
        <v>1475</v>
      </c>
      <c r="F31" s="366" t="str">
        <f ca="1">IF(项目基本情况!B11="企业","",IF(INDIRECT("'数据-取费表'!c"&amp;$G$1)="住宅",5%,IF(F6*F7*F8/12/(1+'数据-取费表'!C42)&gt;20000,12%,7%)))</f>
        <v/>
      </c>
      <c r="G31" s="1845"/>
      <c r="H31" s="743"/>
      <c r="I31" s="744"/>
      <c r="J31" s="745"/>
      <c r="K31" s="746"/>
      <c r="L31" s="747"/>
      <c r="M31" s="748"/>
    </row>
    <row r="32" spans="1:37" ht="18" customHeight="1">
      <c r="A32" s="1197" t="s">
        <v>1030</v>
      </c>
      <c r="B32" s="345" t="s">
        <v>1427</v>
      </c>
      <c r="C32" s="24" t="e">
        <f ca="1">IF(项目基本情况!B11="自然人","——",ROUND(C6*F32/(1+'数据-取费表'!C42),0))</f>
        <v>#N/A</v>
      </c>
      <c r="D32" s="1792" t="s">
        <v>1428</v>
      </c>
      <c r="E32" s="345" t="s">
        <v>1416</v>
      </c>
      <c r="F32" s="375">
        <f>'数据-取费表'!B41</f>
        <v>5.5000000000000007E-2</v>
      </c>
      <c r="G32" s="1845"/>
      <c r="H32" s="743"/>
      <c r="I32" s="744"/>
      <c r="J32" s="745"/>
      <c r="K32" s="746"/>
      <c r="L32" s="747"/>
      <c r="M32" s="748"/>
    </row>
    <row r="33" spans="1:18" ht="18" customHeight="1">
      <c r="A33" s="1197" t="s">
        <v>1032</v>
      </c>
      <c r="B33" s="345" t="s">
        <v>1431</v>
      </c>
      <c r="C33" s="24" t="e">
        <f ca="1">IF(项目基本情况!B11="自然人","——",IF(D33="按租金收入计税",ROUND(C6*F33/(1+'数据-取费表'!C42),0),IF(D33="按房产原值计税",ROUND(C29*F33*0.7,0),INDIRECT("'数据-取费表'!Aj"&amp;$G$1))))</f>
        <v>#N/A</v>
      </c>
      <c r="D33" s="1822" t="s">
        <v>1432</v>
      </c>
      <c r="E33" s="345" t="s">
        <v>1416</v>
      </c>
      <c r="F33" s="365">
        <f>IF(D33="按票据","——",IF(D33="按租金收入计税",'数据-取费表'!B51,'数据-取费表'!B50))</f>
        <v>1.2E-2</v>
      </c>
      <c r="G33" s="1845"/>
      <c r="H33" s="1853"/>
      <c r="I33" s="1854"/>
      <c r="J33" s="1855"/>
      <c r="K33" s="1856"/>
      <c r="L33" s="1853"/>
      <c r="M33" s="1853"/>
    </row>
    <row r="34" spans="1:18" ht="18" customHeight="1">
      <c r="A34" s="1287" t="s">
        <v>1383</v>
      </c>
      <c r="B34" s="162" t="s">
        <v>1435</v>
      </c>
      <c r="C34" s="25" t="e">
        <f ca="1">IF(项目基本情况!B11="自然人","——",ROUND(F34*F35,))</f>
        <v>#N/A</v>
      </c>
      <c r="D34" s="368" t="s">
        <v>1436</v>
      </c>
      <c r="E34" s="345" t="s">
        <v>1437</v>
      </c>
      <c r="F34" s="369">
        <f>'数据-取费表'!B52</f>
        <v>1.5</v>
      </c>
      <c r="G34" s="1845"/>
      <c r="H34" s="743"/>
      <c r="I34" s="1854"/>
      <c r="J34" s="1855"/>
      <c r="K34" s="1857"/>
      <c r="L34" s="1858"/>
      <c r="M34" s="1858"/>
    </row>
    <row r="35" spans="1:18" ht="18" customHeight="1">
      <c r="A35" s="1349"/>
      <c r="B35" s="1347"/>
      <c r="C35" s="29"/>
      <c r="D35" s="371"/>
      <c r="E35" s="345" t="s">
        <v>1441</v>
      </c>
      <c r="F35" s="346" t="e">
        <f ca="1">INDIRECT("'数据-取费表'!r"&amp;$G$1)</f>
        <v>#N/A</v>
      </c>
      <c r="G35" s="1845"/>
      <c r="H35" s="743"/>
      <c r="I35" s="1854"/>
      <c r="J35" s="1855"/>
      <c r="K35" s="1856"/>
      <c r="L35" s="1853"/>
      <c r="M35" s="1853"/>
    </row>
    <row r="36" spans="1:18" ht="18" customHeight="1">
      <c r="A36" s="1348" t="s">
        <v>1035</v>
      </c>
      <c r="B36" s="345" t="s">
        <v>1443</v>
      </c>
      <c r="C36" s="24" t="e">
        <f ca="1">ROUND(C29*F36,0)</f>
        <v>#N/A</v>
      </c>
      <c r="D36" s="1792" t="s">
        <v>1476</v>
      </c>
      <c r="E36" s="345" t="s">
        <v>1416</v>
      </c>
      <c r="F36" s="372" t="e">
        <f ca="1">INDIRECT("'数据-取费表'!Ak"&amp;$G$1)</f>
        <v>#N/A</v>
      </c>
      <c r="G36" s="1845"/>
      <c r="H36" s="1853"/>
      <c r="I36" s="1854"/>
      <c r="J36" s="1855"/>
      <c r="K36" s="749"/>
      <c r="L36" s="1853"/>
      <c r="M36" s="1853"/>
    </row>
    <row r="37" spans="1:18" ht="18" customHeight="1">
      <c r="A37" s="1197" t="s">
        <v>1071</v>
      </c>
      <c r="B37" s="345" t="s">
        <v>1447</v>
      </c>
      <c r="C37" s="24" t="e">
        <f ca="1">ROUND(C13*F37,0)</f>
        <v>#N/A</v>
      </c>
      <c r="D37" s="1792" t="s">
        <v>1448</v>
      </c>
      <c r="E37" s="345" t="s">
        <v>1449</v>
      </c>
      <c r="F37" s="374" t="e">
        <f ca="1">INDIRECT("'数据-取费表'!Al"&amp;$G$1)</f>
        <v>#N/A</v>
      </c>
      <c r="G37" s="1845"/>
      <c r="H37" s="1853"/>
      <c r="I37" s="1854"/>
      <c r="J37" s="1855"/>
      <c r="K37" s="749"/>
      <c r="L37" s="1853"/>
      <c r="M37" s="1853"/>
    </row>
    <row r="38" spans="1:18" ht="18" customHeight="1" thickBot="1">
      <c r="A38" s="1335" t="s">
        <v>1387</v>
      </c>
      <c r="B38" s="1336" t="s">
        <v>1433</v>
      </c>
      <c r="C38" s="1337" t="e">
        <f ca="1">ROUND(C5*F38,1)</f>
        <v>#N/A</v>
      </c>
      <c r="D38" s="1338" t="s">
        <v>1453</v>
      </c>
      <c r="E38" s="1336" t="s">
        <v>1449</v>
      </c>
      <c r="F38" s="1332" t="e">
        <f ca="1">INDIRECT("'数据-取费表'!Am"&amp;$G$1)</f>
        <v>#N/A</v>
      </c>
      <c r="G38" s="1845"/>
      <c r="H38" s="1853"/>
      <c r="I38" s="1854"/>
      <c r="J38" s="1855"/>
      <c r="K38" s="1859"/>
      <c r="L38" s="1853"/>
      <c r="M38" s="1853"/>
    </row>
    <row r="39" spans="1:18" ht="24.6" customHeight="1" thickTop="1">
      <c r="A39" s="1325" t="s">
        <v>1027</v>
      </c>
      <c r="B39" s="1340" t="s">
        <v>1477</v>
      </c>
      <c r="C39" s="353" t="e">
        <f ca="1">C5-C30</f>
        <v>#N/A</v>
      </c>
      <c r="D39" s="1341" t="s">
        <v>1478</v>
      </c>
      <c r="E39" s="1342"/>
      <c r="F39" s="1343"/>
      <c r="G39" s="1845"/>
      <c r="H39" s="1853"/>
      <c r="I39" s="1854"/>
      <c r="J39" s="1855"/>
      <c r="K39" s="1859"/>
      <c r="L39" s="1853"/>
      <c r="M39" s="1853"/>
    </row>
    <row r="40" spans="1:18" ht="18" customHeight="1">
      <c r="A40" s="342" t="s">
        <v>1028</v>
      </c>
      <c r="B40" s="343" t="s">
        <v>1479</v>
      </c>
      <c r="C40" s="344" t="e">
        <f ca="1">ROUND(C39*(1-((1+F42)/(1+F40))^F41)/(F40-F42),0)</f>
        <v>#N/A</v>
      </c>
      <c r="D40" s="368" t="s">
        <v>1463</v>
      </c>
      <c r="E40" s="345" t="s">
        <v>1464</v>
      </c>
      <c r="F40" s="355" t="e">
        <f ca="1">INDIRECT("'数据-取费表'!I"&amp;$G$1)</f>
        <v>#N/A</v>
      </c>
      <c r="G40" s="1845"/>
      <c r="H40" s="1833"/>
      <c r="I40" s="1854"/>
      <c r="J40" s="1855"/>
      <c r="K40" s="1859"/>
      <c r="L40" s="1833"/>
      <c r="M40" s="1833"/>
    </row>
    <row r="41" spans="1:18" ht="18" customHeight="1">
      <c r="A41" s="347"/>
      <c r="B41" s="348"/>
      <c r="C41" s="349"/>
      <c r="D41" s="376" t="s">
        <v>1480</v>
      </c>
      <c r="E41" s="345" t="s">
        <v>1468</v>
      </c>
      <c r="F41" s="377" t="e">
        <f ca="1">IF(INDIRECT("'数据-取费表'!af"&amp;$G$1)=0,INDIRECT("'数据-取费表'!ae"&amp;$G$1),INDIRECT("'数据-取费表'!af"&amp;$G$1))</f>
        <v>#N/A</v>
      </c>
      <c r="G41" s="1845"/>
      <c r="H41" s="730"/>
      <c r="I41" s="1854"/>
      <c r="J41" s="1855"/>
      <c r="K41" s="749"/>
      <c r="L41" s="730"/>
      <c r="M41" s="730"/>
    </row>
    <row r="42" spans="1:18" ht="18" customHeight="1">
      <c r="A42" s="351"/>
      <c r="B42" s="352"/>
      <c r="C42" s="353"/>
      <c r="D42" s="371"/>
      <c r="E42" s="345" t="s">
        <v>1471</v>
      </c>
      <c r="F42" s="355" t="e">
        <f ca="1">INDIRECT("'数据-取费表'!v"&amp;$G$1)</f>
        <v>#N/A</v>
      </c>
      <c r="G42" s="1845"/>
      <c r="H42" s="730"/>
      <c r="I42" s="1854"/>
      <c r="J42" s="1855"/>
      <c r="K42" s="749"/>
      <c r="L42" s="730"/>
      <c r="M42" s="730"/>
    </row>
    <row r="43" spans="1:18" ht="18" customHeight="1" thickBot="1">
      <c r="A43" s="378" t="s">
        <v>1029</v>
      </c>
      <c r="B43" s="379" t="s">
        <v>1481</v>
      </c>
      <c r="C43" s="380" t="e">
        <f ca="1">ROUND(C40/F43,0)</f>
        <v>#N/A</v>
      </c>
      <c r="D43" s="381" t="s">
        <v>1482</v>
      </c>
      <c r="E43" s="382" t="s">
        <v>1483</v>
      </c>
      <c r="F43" s="383" t="e">
        <f ca="1">INDIRECT("'数据-取费表'!k"&amp;$G$1)</f>
        <v>#N/A</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932" t="e">
        <f ca="1">C68-C40</f>
        <v>#N/A</v>
      </c>
      <c r="D45" s="1933" t="s">
        <v>1598</v>
      </c>
      <c r="E45" s="1860"/>
      <c r="F45" s="1860"/>
      <c r="O45" s="1863" t="s">
        <v>1513</v>
      </c>
      <c r="P45" s="1833"/>
      <c r="Q45" s="1833"/>
      <c r="R45" s="1833"/>
    </row>
    <row r="46" spans="1:18" s="1836" customFormat="1" ht="13.5" thickBot="1">
      <c r="A46" s="1864" t="s">
        <v>1514</v>
      </c>
      <c r="C46" s="1865" t="e">
        <f ca="1">ROUND(C45/10000,0)</f>
        <v>#N/A</v>
      </c>
      <c r="D46" s="1866" t="str">
        <f>C2</f>
        <v>万元</v>
      </c>
      <c r="I46" s="1867" t="s">
        <v>1515</v>
      </c>
      <c r="J46" s="1868"/>
      <c r="K46" s="1869"/>
      <c r="L46" s="1870" t="e">
        <f ca="1">IF(M47="住宅",0,IF(L48&gt;J51,L60,J60))</f>
        <v>#N/A</v>
      </c>
      <c r="O46" s="1871" t="s">
        <v>1516</v>
      </c>
      <c r="P46" s="1872" t="s">
        <v>1517</v>
      </c>
      <c r="Q46" s="1873" t="s">
        <v>1518</v>
      </c>
      <c r="R46" s="1873" t="s">
        <v>1519</v>
      </c>
    </row>
    <row r="47" spans="1:18" s="1836" customFormat="1" ht="13.5" thickBot="1">
      <c r="A47" s="1161" t="s">
        <v>1390</v>
      </c>
      <c r="B47" s="1193" t="s">
        <v>1391</v>
      </c>
      <c r="C47" s="1193" t="s">
        <v>1392</v>
      </c>
      <c r="D47" s="1193" t="s">
        <v>1393</v>
      </c>
      <c r="E47" s="1275" t="s">
        <v>1394</v>
      </c>
      <c r="F47" s="1276"/>
      <c r="G47" s="790"/>
      <c r="I47" s="1874" t="s">
        <v>1520</v>
      </c>
      <c r="J47" s="1875"/>
      <c r="K47" s="1876" t="s">
        <v>1521</v>
      </c>
      <c r="L47" s="1877" t="e">
        <f ca="1">INDIRECT("'数据-取费表'!d"&amp;$G$1)</f>
        <v>#N/A</v>
      </c>
      <c r="M47" s="1832" t="str">
        <f>IF(ISNUMBER(FIND("住宅",C1)),"住宅","非住宅")</f>
        <v>非住宅</v>
      </c>
      <c r="O47" s="1878" t="s">
        <v>1036</v>
      </c>
      <c r="P47" s="1879" t="s">
        <v>1522</v>
      </c>
      <c r="Q47" s="1880" t="e">
        <f ca="1">C40+J29</f>
        <v>#N/A</v>
      </c>
      <c r="R47" s="1880" t="s">
        <v>1523</v>
      </c>
    </row>
    <row r="48" spans="1:18" s="1836" customFormat="1" ht="28.5" thickBot="1">
      <c r="A48" s="1356" t="s">
        <v>1131</v>
      </c>
      <c r="B48" s="343" t="s">
        <v>1395</v>
      </c>
      <c r="C48" s="1811" t="e">
        <f ca="1">C49+C53+C55</f>
        <v>#N/A</v>
      </c>
      <c r="D48" s="1358"/>
      <c r="E48" s="1359"/>
      <c r="F48" s="1177"/>
      <c r="G48" s="790"/>
      <c r="H48" s="791"/>
      <c r="I48" s="1881" t="s">
        <v>1524</v>
      </c>
      <c r="J48" s="1882"/>
      <c r="K48" s="1883" t="s">
        <v>1525</v>
      </c>
      <c r="L48" s="1884" t="e">
        <f ca="1">INDIRECT("'数据-取费表'!f"&amp;$G$1)</f>
        <v>#N/A</v>
      </c>
      <c r="O48" s="1878" t="s">
        <v>1037</v>
      </c>
      <c r="P48" s="1879" t="s">
        <v>1526</v>
      </c>
      <c r="Q48" s="1880" t="e">
        <f ca="1">J60</f>
        <v>#N/A</v>
      </c>
      <c r="R48" s="1880" t="s">
        <v>1527</v>
      </c>
    </row>
    <row r="49" spans="1:18" s="1836" customFormat="1" ht="13.5" thickBot="1">
      <c r="A49" s="1190" t="s">
        <v>1132</v>
      </c>
      <c r="B49" s="1823" t="s">
        <v>1484</v>
      </c>
      <c r="C49" s="1360" t="e">
        <f ca="1">ROUND(F49*F51*F50*(1-F52),0)</f>
        <v>#N/A</v>
      </c>
      <c r="D49" s="1272" t="s">
        <v>1398</v>
      </c>
      <c r="E49" s="1824" t="s">
        <v>1485</v>
      </c>
      <c r="F49" s="1277"/>
      <c r="G49" s="1885"/>
      <c r="H49" s="791"/>
      <c r="I49" s="1881" t="s">
        <v>1528</v>
      </c>
      <c r="J49" s="1886"/>
      <c r="K49" s="1883" t="s">
        <v>1529</v>
      </c>
      <c r="L49" s="1887"/>
      <c r="O49" s="1888" t="s">
        <v>1038</v>
      </c>
      <c r="P49" s="1879" t="s">
        <v>1530</v>
      </c>
      <c r="Q49" s="1880" t="e">
        <f ca="1">C29</f>
        <v>#N/A</v>
      </c>
      <c r="R49" s="1880" t="s">
        <v>1523</v>
      </c>
    </row>
    <row r="50" spans="1:18" s="1836" customFormat="1" ht="13.5" thickBot="1">
      <c r="A50" s="1191"/>
      <c r="B50" s="1194"/>
      <c r="C50" s="1195"/>
      <c r="D50" s="1168"/>
      <c r="E50" s="1273" t="s">
        <v>1400</v>
      </c>
      <c r="F50" s="1274" t="e">
        <f ca="1">F7</f>
        <v>#N/A</v>
      </c>
      <c r="H50" s="791"/>
      <c r="I50" s="1881" t="s">
        <v>1531</v>
      </c>
      <c r="J50" s="1889">
        <f>SUMPRODUCT((I63:I65=J47)*(J62:L62=J48)*(J63:L65))</f>
        <v>0</v>
      </c>
      <c r="K50" s="1883" t="s">
        <v>1532</v>
      </c>
      <c r="L50" s="1887"/>
      <c r="M50" s="1890"/>
      <c r="O50" s="1888" t="s">
        <v>1039</v>
      </c>
      <c r="P50" s="1879" t="s">
        <v>1533</v>
      </c>
      <c r="Q50" s="1891" t="e">
        <f ca="1">J58</f>
        <v>#N/A</v>
      </c>
      <c r="R50" s="1880"/>
    </row>
    <row r="51" spans="1:18" s="1836" customFormat="1" ht="13.5" thickBot="1">
      <c r="A51" s="1192"/>
      <c r="B51" s="1194"/>
      <c r="C51" s="1195"/>
      <c r="D51" s="1168"/>
      <c r="E51" s="1196" t="s">
        <v>1401</v>
      </c>
      <c r="F51" s="346" t="e">
        <f ca="1">F8</f>
        <v>#N/A</v>
      </c>
      <c r="I51" s="1892" t="s">
        <v>1534</v>
      </c>
      <c r="J51" s="1893">
        <f>IF(J49="",J50,J49+J50-YEAR('数据-取费表'!B2))</f>
        <v>0</v>
      </c>
      <c r="K51" s="1894" t="s">
        <v>1535</v>
      </c>
      <c r="L51" s="1895" t="e">
        <f ca="1">ROUND(-PV(INDIRECT("'数据-取费表'!h"&amp;$G$1),L48,(C39-C13*C76),0),0)</f>
        <v>#N/A</v>
      </c>
      <c r="M51" s="1896"/>
      <c r="O51" s="1888" t="s">
        <v>1040</v>
      </c>
      <c r="P51" s="1879" t="s">
        <v>1536</v>
      </c>
      <c r="Q51" s="1891">
        <f>J52</f>
        <v>0</v>
      </c>
      <c r="R51" s="1880"/>
    </row>
    <row r="52" spans="1:18" s="1836" customFormat="1" ht="13.5" thickBot="1">
      <c r="A52" s="1192"/>
      <c r="B52" s="1194"/>
      <c r="C52" s="1195"/>
      <c r="D52" s="1168"/>
      <c r="E52" s="1196" t="s">
        <v>1402</v>
      </c>
      <c r="F52" s="1271"/>
      <c r="I52" s="1897" t="s">
        <v>1537</v>
      </c>
      <c r="J52" s="1898"/>
      <c r="K52" s="1897" t="s">
        <v>1538</v>
      </c>
      <c r="L52" s="1898"/>
      <c r="O52" s="1888" t="s">
        <v>1041</v>
      </c>
      <c r="P52" s="1879" t="s">
        <v>1539</v>
      </c>
      <c r="Q52" s="1880" t="e">
        <f ca="1">J53</f>
        <v>#N/A</v>
      </c>
      <c r="R52" s="1880" t="s">
        <v>1540</v>
      </c>
    </row>
    <row r="53" spans="1:18" s="1836" customFormat="1" ht="30.75" customHeight="1" thickBot="1">
      <c r="A53" s="1357" t="s">
        <v>1133</v>
      </c>
      <c r="B53" s="367" t="s">
        <v>1403</v>
      </c>
      <c r="C53" s="359">
        <f ca="1">ROUND(IF(F53="押一",C49/12*F11,IF(F53="押二",C49/12*2*F11,IF(F53="押三",C49/12*3*F11,C54*F11))),0)</f>
        <v>0</v>
      </c>
      <c r="D53" s="1818" t="s">
        <v>3023</v>
      </c>
      <c r="E53" s="356" t="s">
        <v>1404</v>
      </c>
      <c r="F53" s="1362"/>
      <c r="I53" s="1899" t="s">
        <v>1541</v>
      </c>
      <c r="J53" s="2934" t="e">
        <f ca="1">IF(M47="住宅",IF(D1="——",MAX(J51,L48),MAX(J51,L48-'数据-取费表'!B24)),IF(D1="——",MIN(J51,L48),MIN(J51,L48-'数据-取费表'!B24)))</f>
        <v>#N/A</v>
      </c>
      <c r="K53" s="3376" t="s">
        <v>1542</v>
      </c>
      <c r="L53" s="3377"/>
      <c r="O53" s="1878" t="s">
        <v>1042</v>
      </c>
      <c r="P53" s="1879" t="s">
        <v>1543</v>
      </c>
      <c r="Q53" s="1880" t="e">
        <f ca="1">Q47+Q48</f>
        <v>#N/A</v>
      </c>
      <c r="R53" s="1880" t="s">
        <v>1043</v>
      </c>
    </row>
    <row r="54" spans="1:18" s="1836" customFormat="1" ht="13.5" thickBot="1">
      <c r="A54" s="1190"/>
      <c r="B54" s="1934" t="s">
        <v>1597</v>
      </c>
      <c r="C54" s="1174"/>
      <c r="D54" s="1818"/>
      <c r="E54" s="1826"/>
      <c r="F54" s="1900"/>
      <c r="I54" s="19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2"/>
      <c r="K54" s="1902"/>
      <c r="L54" s="1902"/>
      <c r="M54" s="1885"/>
      <c r="O54" s="1863" t="s">
        <v>1544</v>
      </c>
      <c r="P54" s="1833"/>
      <c r="Q54" s="1833"/>
      <c r="R54" s="1833"/>
    </row>
    <row r="55" spans="1:18" s="1836" customFormat="1" ht="13.5" thickBot="1">
      <c r="A55" s="1329" t="s">
        <v>1071</v>
      </c>
      <c r="B55" s="1821" t="s">
        <v>1407</v>
      </c>
      <c r="C55" s="1330"/>
      <c r="D55" s="1818"/>
      <c r="E55" s="1826"/>
      <c r="F55" s="1900"/>
      <c r="I55" s="1903" t="s">
        <v>1545</v>
      </c>
      <c r="J55" s="1904" t="e">
        <f ca="1">ROUND(IF(J47="钢混",J57/J50,1-(1-2%)*(J50-J57)/J50),3)</f>
        <v>#N/A</v>
      </c>
      <c r="K55" s="1905" t="s">
        <v>1546</v>
      </c>
      <c r="L55" s="1906"/>
      <c r="O55" s="1871" t="s">
        <v>1516</v>
      </c>
      <c r="P55" s="1872" t="s">
        <v>1517</v>
      </c>
      <c r="Q55" s="1873" t="s">
        <v>1518</v>
      </c>
      <c r="R55" s="1873" t="s">
        <v>1519</v>
      </c>
    </row>
    <row r="56" spans="1:18" s="1836" customFormat="1" ht="36" customHeight="1" thickTop="1" thickBot="1">
      <c r="A56" s="1172">
        <v>2</v>
      </c>
      <c r="B56" s="1173" t="s">
        <v>1408</v>
      </c>
      <c r="C56" s="274" t="e">
        <f ca="1">C13</f>
        <v>#N/A</v>
      </c>
      <c r="D56" s="1907"/>
      <c r="E56" s="1908"/>
      <c r="F56" s="1900"/>
      <c r="I56" s="1909" t="s">
        <v>1548</v>
      </c>
      <c r="J56" s="1910"/>
      <c r="K56" s="1881" t="s">
        <v>1549</v>
      </c>
      <c r="L56" s="1884" t="e">
        <f ca="1">IF(L48&lt;J51,"——",L48-J51)</f>
        <v>#N/A</v>
      </c>
      <c r="O56" s="1878" t="s">
        <v>1036</v>
      </c>
      <c r="P56" s="1879" t="s">
        <v>1522</v>
      </c>
      <c r="Q56" s="1880" t="e">
        <f ca="1">C40+J29</f>
        <v>#N/A</v>
      </c>
      <c r="R56" s="1880" t="s">
        <v>1523</v>
      </c>
    </row>
    <row r="57" spans="1:18" s="1836" customFormat="1" ht="24.75" thickBot="1">
      <c r="A57" s="1911"/>
      <c r="B57" s="1165" t="s">
        <v>1472</v>
      </c>
      <c r="C57" s="280" t="e">
        <f ca="1">C29</f>
        <v>#N/A</v>
      </c>
      <c r="D57" s="1912"/>
      <c r="E57" s="1913"/>
      <c r="F57" s="1914"/>
      <c r="I57" s="1915" t="s">
        <v>1550</v>
      </c>
      <c r="J57" s="1916" t="e">
        <f ca="1">IF(OR(M47="住宅",J51&lt;L48,J56="是"),"——",J51-L48)</f>
        <v>#N/A</v>
      </c>
      <c r="K57" s="1881" t="s">
        <v>1599</v>
      </c>
      <c r="L57" s="1884" t="e">
        <f ca="1">IF(L48&lt;J51,"——",IF(L55="比较法",L49,IF(L55="基准地价",L50,L51)))</f>
        <v>#N/A</v>
      </c>
      <c r="O57" s="1878" t="s">
        <v>1037</v>
      </c>
      <c r="P57" s="1879" t="s">
        <v>1600</v>
      </c>
      <c r="Q57" s="1880" t="e">
        <f ca="1">L60</f>
        <v>#N/A</v>
      </c>
      <c r="R57" s="1880" t="s">
        <v>1601</v>
      </c>
    </row>
    <row r="58" spans="1:18" s="1836" customFormat="1" ht="24.75" thickBot="1">
      <c r="A58" s="358" t="s">
        <v>1026</v>
      </c>
      <c r="B58" s="1173" t="s">
        <v>1418</v>
      </c>
      <c r="C58" s="359" t="e">
        <f ca="1">ROUND(C59+C64+C65+C66,0)</f>
        <v>#N/A</v>
      </c>
      <c r="D58" s="1175" t="s">
        <v>1419</v>
      </c>
      <c r="E58" s="1176"/>
      <c r="F58" s="1177"/>
      <c r="I58" s="1915" t="s">
        <v>1554</v>
      </c>
      <c r="J58" s="1917" t="e">
        <f ca="1">IF(J55&lt;0.4,0.4,J55)</f>
        <v>#N/A</v>
      </c>
      <c r="K58" s="1894" t="s">
        <v>1602</v>
      </c>
      <c r="L58" s="1884" t="e">
        <f ca="1">ROUND(POWER(1+L52,L47-L48)*(POWER(1+L52,L48)-1)/(POWER(1+L52,L47)-1),4)</f>
        <v>#N/A</v>
      </c>
      <c r="O58" s="1888" t="s">
        <v>1038</v>
      </c>
      <c r="P58" s="1879" t="s">
        <v>1556</v>
      </c>
      <c r="Q58" s="1880">
        <f>IF(L55="比较法",L49,IF(L55="基准地价",L50,0))</f>
        <v>0</v>
      </c>
      <c r="R58" s="1880" t="s">
        <v>1523</v>
      </c>
    </row>
    <row r="59" spans="1:18" s="1836" customFormat="1" ht="24.75" thickBot="1">
      <c r="A59" s="1197" t="s">
        <v>1031</v>
      </c>
      <c r="B59" s="1165" t="s">
        <v>1423</v>
      </c>
      <c r="C59" s="24" t="e">
        <f ca="1">ROUND(IF(项目基本情况!B11="自然人",C48*F59,C60+C61+C62),0)</f>
        <v>#N/A</v>
      </c>
      <c r="D59" s="1178" t="s">
        <v>1424</v>
      </c>
      <c r="E59" s="1179" t="s">
        <v>1425</v>
      </c>
      <c r="F59" s="366" t="str">
        <f ca="1">IF(项目基本情况!B11="企业","",IF(INDIRECT("'数据-取费表'!c"&amp;$G$1)="住宅",5%,IF(F49*F50*F51/12/(1+'数据-取费表'!C42)&gt;20000,12%,7%)))</f>
        <v/>
      </c>
      <c r="I59" s="1915" t="s">
        <v>1557</v>
      </c>
      <c r="J59" s="1916" t="e">
        <f ca="1">IF(OR(M47="住宅",J51&lt;L48,J56="是"),"——",ROUND(C29*J58,0))</f>
        <v>#N/A</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8" t="s">
        <v>1039</v>
      </c>
      <c r="P59" s="1879" t="s">
        <v>1558</v>
      </c>
      <c r="Q59" s="1891">
        <f>L52</f>
        <v>0</v>
      </c>
      <c r="R59" s="1880"/>
    </row>
    <row r="60" spans="1:18" s="1836" customFormat="1" ht="16.5" thickBot="1">
      <c r="A60" s="1197" t="s">
        <v>1030</v>
      </c>
      <c r="B60" s="1165" t="s">
        <v>1427</v>
      </c>
      <c r="C60" s="24" t="e">
        <f ca="1">IF(项目基本情况!B11="自然人","——",ROUND(C48*F60/(1+'数据-取费表'!C42),0))</f>
        <v>#N/A</v>
      </c>
      <c r="D60" s="1179" t="s">
        <v>1428</v>
      </c>
      <c r="E60" s="1165" t="s">
        <v>1416</v>
      </c>
      <c r="F60" s="375">
        <f t="shared" ref="F60:F66" si="0">F32</f>
        <v>5.5000000000000007E-2</v>
      </c>
      <c r="I60" s="1918" t="s">
        <v>1559</v>
      </c>
      <c r="J60" s="1919" t="e">
        <f ca="1">IF(OR(M47="住宅",J51&lt;L48,J56="是"),"0",ROUND(J59/(1+J52)^J53,0))</f>
        <v>#N/A</v>
      </c>
      <c r="K60" s="1920" t="s">
        <v>1560</v>
      </c>
      <c r="L60" s="1919" t="e">
        <f ca="1">IF(OR(M47="住宅",L48&lt;J51),0,ROUND(L57*(L58/L59-1),0))</f>
        <v>#N/A</v>
      </c>
      <c r="O60" s="1888" t="s">
        <v>1040</v>
      </c>
      <c r="P60" s="1879" t="s">
        <v>1561</v>
      </c>
      <c r="Q60" s="1880" t="e">
        <f ca="1">L58</f>
        <v>#N/A</v>
      </c>
      <c r="R60" s="1880" t="s">
        <v>1562</v>
      </c>
    </row>
    <row r="61" spans="1:18" s="1836" customFormat="1" ht="13.5" thickBot="1">
      <c r="A61" s="1197" t="s">
        <v>1486</v>
      </c>
      <c r="B61" s="1165" t="s">
        <v>1487</v>
      </c>
      <c r="C61" s="24" t="e">
        <f ca="1">IF(项目基本情况!B11="自然人","——",IF(D61="按租金收入计税",ROUND(C48*F61,0),IF(D61="按房产原值计税",ROUND(C57*F61*0.7,0),INDIRECT("'数据-取费表'!Aj"&amp;$G$1))))</f>
        <v>#N/A</v>
      </c>
      <c r="D61" s="1822" t="s">
        <v>1432</v>
      </c>
      <c r="E61" s="1165" t="s">
        <v>1488</v>
      </c>
      <c r="F61" s="365">
        <f t="shared" si="0"/>
        <v>1.2E-2</v>
      </c>
      <c r="I61" s="1921"/>
      <c r="J61" s="1921"/>
      <c r="K61" s="1921"/>
      <c r="L61" s="1921"/>
      <c r="O61" s="1888" t="s">
        <v>1041</v>
      </c>
      <c r="P61" s="1879" t="str">
        <f>K59</f>
        <v>建设期及建筑物耐用年限下的土地年期修正系数Kn</v>
      </c>
      <c r="Q61" s="1880" t="e">
        <f ca="1">L59</f>
        <v>#N/A</v>
      </c>
      <c r="R61" s="1880" t="s">
        <v>1563</v>
      </c>
    </row>
    <row r="62" spans="1:18" s="1836" customFormat="1" ht="13.5" thickBot="1">
      <c r="A62" s="1197" t="s">
        <v>1489</v>
      </c>
      <c r="B62" s="1164" t="s">
        <v>1490</v>
      </c>
      <c r="C62" s="25" t="e">
        <f ca="1">IF(项目基本情况!B11="自然人","——",ROUND(F62*F63,0))</f>
        <v>#N/A</v>
      </c>
      <c r="D62" s="1180" t="s">
        <v>1491</v>
      </c>
      <c r="E62" s="1165" t="s">
        <v>1492</v>
      </c>
      <c r="F62" s="369">
        <f t="shared" si="0"/>
        <v>1.5</v>
      </c>
      <c r="I62" s="1922" t="s">
        <v>1564</v>
      </c>
      <c r="J62" s="1923" t="s">
        <v>1565</v>
      </c>
      <c r="K62" s="1923" t="s">
        <v>1566</v>
      </c>
      <c r="L62" s="1923" t="s">
        <v>1567</v>
      </c>
      <c r="M62" s="1924" t="s">
        <v>1568</v>
      </c>
      <c r="O62" s="1878" t="s">
        <v>1042</v>
      </c>
      <c r="P62" s="1879" t="s">
        <v>1569</v>
      </c>
      <c r="Q62" s="1880" t="e">
        <f ca="1">Q56+Q57</f>
        <v>#N/A</v>
      </c>
      <c r="R62" s="1880" t="s">
        <v>1043</v>
      </c>
    </row>
    <row r="63" spans="1:18" s="1836" customFormat="1" ht="13.5" thickBot="1">
      <c r="A63" s="370"/>
      <c r="B63" s="1171"/>
      <c r="C63" s="29"/>
      <c r="D63" s="1181"/>
      <c r="E63" s="1165" t="s">
        <v>1493</v>
      </c>
      <c r="F63" s="346" t="e">
        <f t="shared" ca="1" si="0"/>
        <v>#N/A</v>
      </c>
      <c r="I63" s="1922" t="s">
        <v>1570</v>
      </c>
      <c r="J63" s="1923">
        <v>70</v>
      </c>
      <c r="K63" s="1923">
        <v>50</v>
      </c>
      <c r="L63" s="1923">
        <v>80</v>
      </c>
      <c r="M63" s="1925">
        <v>0.02</v>
      </c>
      <c r="O63" s="1863" t="s">
        <v>1571</v>
      </c>
      <c r="P63" s="1833"/>
      <c r="Q63" s="1833"/>
      <c r="R63" s="1833"/>
    </row>
    <row r="64" spans="1:18" s="1836" customFormat="1" ht="13.5" thickBot="1">
      <c r="A64" s="1197" t="s">
        <v>1494</v>
      </c>
      <c r="B64" s="1165" t="s">
        <v>1495</v>
      </c>
      <c r="C64" s="24" t="e">
        <f ca="1">ROUND(C57*F64,0)</f>
        <v>#N/A</v>
      </c>
      <c r="D64" s="1179" t="s">
        <v>1496</v>
      </c>
      <c r="E64" s="1165" t="s">
        <v>1488</v>
      </c>
      <c r="F64" s="372" t="e">
        <f t="shared" ca="1" si="0"/>
        <v>#N/A</v>
      </c>
      <c r="I64" s="1922" t="s">
        <v>1572</v>
      </c>
      <c r="J64" s="1923">
        <v>50</v>
      </c>
      <c r="K64" s="1923">
        <v>35</v>
      </c>
      <c r="L64" s="1923">
        <v>60</v>
      </c>
      <c r="M64" s="1924">
        <v>0</v>
      </c>
      <c r="O64" s="1871" t="s">
        <v>1516</v>
      </c>
      <c r="P64" s="1872" t="s">
        <v>1517</v>
      </c>
      <c r="Q64" s="1873" t="s">
        <v>1518</v>
      </c>
      <c r="R64" s="1873" t="s">
        <v>1519</v>
      </c>
    </row>
    <row r="65" spans="1:18" s="1836" customFormat="1" ht="13.5" thickBot="1">
      <c r="A65" s="1197" t="s">
        <v>1497</v>
      </c>
      <c r="B65" s="1165" t="s">
        <v>1447</v>
      </c>
      <c r="C65" s="24" t="e">
        <f ca="1">ROUND(C56*F65,0)</f>
        <v>#N/A</v>
      </c>
      <c r="D65" s="1179" t="s">
        <v>1448</v>
      </c>
      <c r="E65" s="1165" t="s">
        <v>1449</v>
      </c>
      <c r="F65" s="374" t="e">
        <f t="shared" ca="1" si="0"/>
        <v>#N/A</v>
      </c>
      <c r="I65" s="1922" t="s">
        <v>1573</v>
      </c>
      <c r="J65" s="1923">
        <v>40</v>
      </c>
      <c r="K65" s="1923">
        <v>30</v>
      </c>
      <c r="L65" s="1923">
        <v>50</v>
      </c>
      <c r="M65" s="1925">
        <v>0.02</v>
      </c>
      <c r="O65" s="1878" t="s">
        <v>1036</v>
      </c>
      <c r="P65" s="1879" t="s">
        <v>1574</v>
      </c>
      <c r="Q65" s="1880" t="e">
        <f ca="1">C40+J29</f>
        <v>#N/A</v>
      </c>
      <c r="R65" s="1880" t="s">
        <v>1523</v>
      </c>
    </row>
    <row r="66" spans="1:18" s="1836" customFormat="1" ht="16.5" thickBot="1">
      <c r="A66" s="1197" t="s">
        <v>1498</v>
      </c>
      <c r="B66" s="1165" t="s">
        <v>1433</v>
      </c>
      <c r="C66" s="24" t="e">
        <f ca="1">ROUND(C48*F66,0)</f>
        <v>#N/A</v>
      </c>
      <c r="D66" s="1179" t="s">
        <v>1499</v>
      </c>
      <c r="E66" s="1165" t="s">
        <v>1416</v>
      </c>
      <c r="F66" s="355" t="e">
        <f t="shared" ca="1" si="0"/>
        <v>#N/A</v>
      </c>
      <c r="O66" s="1878" t="s">
        <v>1037</v>
      </c>
      <c r="P66" s="1879" t="s">
        <v>1552</v>
      </c>
      <c r="Q66" s="1880" t="e">
        <f ca="1">L60</f>
        <v>#N/A</v>
      </c>
      <c r="R66" s="1880" t="s">
        <v>1575</v>
      </c>
    </row>
    <row r="67" spans="1:18" s="1836" customFormat="1" ht="16.5" thickBot="1">
      <c r="A67" s="1172" t="s">
        <v>1027</v>
      </c>
      <c r="B67" s="1182" t="s">
        <v>1457</v>
      </c>
      <c r="C67" s="359" t="e">
        <f ca="1">C48-C58</f>
        <v>#N/A</v>
      </c>
      <c r="D67" s="1178" t="s">
        <v>1458</v>
      </c>
      <c r="E67" s="1183"/>
      <c r="F67" s="1184"/>
      <c r="O67" s="1888" t="s">
        <v>1038</v>
      </c>
      <c r="P67" s="1879" t="s">
        <v>1556</v>
      </c>
      <c r="Q67" s="1926" t="e">
        <f ca="1">L51</f>
        <v>#N/A</v>
      </c>
      <c r="R67" s="1880" t="s">
        <v>1576</v>
      </c>
    </row>
    <row r="68" spans="1:18" s="1836" customFormat="1" ht="16.5" thickBot="1">
      <c r="A68" s="1162" t="s">
        <v>1028</v>
      </c>
      <c r="B68" s="1163" t="s">
        <v>1479</v>
      </c>
      <c r="C68" s="344" t="e">
        <f ca="1">ROUND(C67*(1-((1+F70)/(1+F68))^F69)/(F68-F70),0)</f>
        <v>#N/A</v>
      </c>
      <c r="D68" s="1180" t="s">
        <v>1463</v>
      </c>
      <c r="E68" s="1165" t="s">
        <v>1464</v>
      </c>
      <c r="F68" s="355" t="e">
        <f ca="1">F40</f>
        <v>#N/A</v>
      </c>
      <c r="O68" s="1888" t="s">
        <v>1039</v>
      </c>
      <c r="P68" s="1927" t="s">
        <v>1577</v>
      </c>
      <c r="Q68" s="1880" t="e">
        <f ca="1">ROUND(Q69-Q70*Q71,0)</f>
        <v>#N/A</v>
      </c>
      <c r="R68" s="1880" t="s">
        <v>1047</v>
      </c>
    </row>
    <row r="69" spans="1:18" s="1836" customFormat="1" ht="13.5" thickBot="1">
      <c r="A69" s="1166"/>
      <c r="B69" s="1167"/>
      <c r="C69" s="349"/>
      <c r="D69" s="1185" t="s">
        <v>1467</v>
      </c>
      <c r="E69" s="1165" t="s">
        <v>1468</v>
      </c>
      <c r="F69" s="377" t="e">
        <f ca="1">F41</f>
        <v>#N/A</v>
      </c>
      <c r="O69" s="1888" t="s">
        <v>1044</v>
      </c>
      <c r="P69" s="1927" t="s">
        <v>1578</v>
      </c>
      <c r="Q69" s="1880" t="e">
        <f ca="1">C39</f>
        <v>#N/A</v>
      </c>
      <c r="R69" s="1880" t="s">
        <v>1523</v>
      </c>
    </row>
    <row r="70" spans="1:18" s="1836" customFormat="1" ht="13.5" thickBot="1">
      <c r="A70" s="1169"/>
      <c r="B70" s="1170"/>
      <c r="C70" s="353"/>
      <c r="D70" s="1181"/>
      <c r="E70" s="1165" t="s">
        <v>1471</v>
      </c>
      <c r="F70" s="1271" t="e">
        <f ca="1">F42</f>
        <v>#N/A</v>
      </c>
      <c r="O70" s="1888" t="s">
        <v>1045</v>
      </c>
      <c r="P70" s="1927" t="s">
        <v>1579</v>
      </c>
      <c r="Q70" s="1880" t="e">
        <f ca="1">C13</f>
        <v>#N/A</v>
      </c>
      <c r="R70" s="1880" t="s">
        <v>1523</v>
      </c>
    </row>
    <row r="71" spans="1:18" s="1836" customFormat="1" ht="13.5" thickBot="1">
      <c r="A71" s="1186" t="s">
        <v>1029</v>
      </c>
      <c r="B71" s="1187" t="s">
        <v>1481</v>
      </c>
      <c r="C71" s="380" t="e">
        <f ca="1">ROUND(C68/F71,0)</f>
        <v>#N/A</v>
      </c>
      <c r="D71" s="1188" t="s">
        <v>1482</v>
      </c>
      <c r="E71" s="1189" t="s">
        <v>1483</v>
      </c>
      <c r="F71" s="383" t="e">
        <f ca="1">F43</f>
        <v>#N/A</v>
      </c>
      <c r="O71" s="1888" t="s">
        <v>1046</v>
      </c>
      <c r="P71" s="1927" t="s">
        <v>1580</v>
      </c>
      <c r="Q71" s="1891" t="e">
        <f ca="1">C76</f>
        <v>#N/A</v>
      </c>
      <c r="R71" s="1880"/>
    </row>
    <row r="72" spans="1:18" s="1836" customFormat="1" ht="13.5" thickBot="1">
      <c r="B72" s="794"/>
      <c r="C72" s="794"/>
      <c r="O72" s="1888" t="s">
        <v>1040</v>
      </c>
      <c r="P72" s="1879" t="s">
        <v>1558</v>
      </c>
      <c r="Q72" s="1891">
        <f>L52</f>
        <v>0</v>
      </c>
      <c r="R72" s="1880"/>
    </row>
    <row r="73" spans="1:18" ht="16.5" thickBot="1">
      <c r="A73" s="1836"/>
      <c r="B73" s="794"/>
      <c r="C73" s="794"/>
      <c r="D73" s="1836"/>
      <c r="E73" s="1836"/>
      <c r="F73" s="1836"/>
      <c r="O73" s="1888" t="s">
        <v>1041</v>
      </c>
      <c r="P73" s="1879" t="s">
        <v>1561</v>
      </c>
      <c r="Q73" s="1880" t="e">
        <f ca="1">L58</f>
        <v>#N/A</v>
      </c>
      <c r="R73" s="1880" t="s">
        <v>1562</v>
      </c>
    </row>
    <row r="74" spans="1:18" ht="13.5" thickBot="1">
      <c r="A74" s="1836"/>
      <c r="B74" s="315" t="s">
        <v>1581</v>
      </c>
      <c r="C74" s="1929"/>
      <c r="D74" s="1836"/>
      <c r="E74" s="1836"/>
      <c r="F74" s="1836"/>
      <c r="O74" s="1888" t="s">
        <v>1048</v>
      </c>
      <c r="P74" s="1879" t="str">
        <f>K59</f>
        <v>建设期及建筑物耐用年限下的土地年期修正系数Kn</v>
      </c>
      <c r="Q74" s="1880" t="e">
        <f ca="1">L59</f>
        <v>#N/A</v>
      </c>
      <c r="R74" s="1880" t="s">
        <v>1563</v>
      </c>
    </row>
    <row r="75" spans="1:18" ht="13.5" thickBot="1">
      <c r="A75" s="1836"/>
      <c r="B75" s="384" t="s">
        <v>1500</v>
      </c>
      <c r="C75" s="385" t="e">
        <f ca="1">ROUND(C13*C76,0)</f>
        <v>#N/A</v>
      </c>
      <c r="D75" s="1836"/>
      <c r="E75" s="1836"/>
      <c r="F75" s="1836"/>
      <c r="K75" s="1862"/>
      <c r="L75" s="1836"/>
      <c r="O75" s="1878" t="s">
        <v>1042</v>
      </c>
      <c r="P75" s="1879" t="s">
        <v>1543</v>
      </c>
      <c r="Q75" s="1880" t="e">
        <f ca="1">Q65+Q66</f>
        <v>#N/A</v>
      </c>
      <c r="R75" s="1880" t="s">
        <v>1043</v>
      </c>
    </row>
    <row r="76" spans="1:18">
      <c r="B76" s="386" t="s">
        <v>1501</v>
      </c>
      <c r="C76" s="387" t="e">
        <f ca="1">INDIRECT("'数据-取费表'!j"&amp;$G$1)</f>
        <v>#N/A</v>
      </c>
      <c r="I76" s="1836"/>
      <c r="J76" s="1836"/>
      <c r="K76" s="1862"/>
      <c r="L76" s="1836"/>
    </row>
    <row r="77" spans="1:18">
      <c r="B77" s="388" t="s">
        <v>1502</v>
      </c>
      <c r="C77" s="389"/>
      <c r="I77" s="1836"/>
      <c r="J77" s="1836"/>
      <c r="K77" s="1862"/>
      <c r="L77" s="1836"/>
    </row>
    <row r="78" spans="1:18">
      <c r="B78" s="312" t="s">
        <v>1503</v>
      </c>
      <c r="C78" s="390"/>
    </row>
    <row r="79" spans="1:18">
      <c r="B79" s="384" t="s">
        <v>1504</v>
      </c>
      <c r="C79" s="316" t="e">
        <f ca="1">1-C80</f>
        <v>#N/A</v>
      </c>
    </row>
    <row r="80" spans="1:18">
      <c r="B80" s="384" t="s">
        <v>1505</v>
      </c>
      <c r="C80" s="316" t="e">
        <f ca="1">ROUND(C75/C39,3)</f>
        <v>#N/A</v>
      </c>
    </row>
    <row r="81" spans="2:3">
      <c r="B81" s="312" t="s">
        <v>1506</v>
      </c>
      <c r="C81" s="280"/>
    </row>
    <row r="82" spans="2:3">
      <c r="B82" s="315" t="s">
        <v>1507</v>
      </c>
      <c r="C82" s="317" t="e">
        <f ca="1">1-C83</f>
        <v>#N/A</v>
      </c>
    </row>
    <row r="83" spans="2:3">
      <c r="B83" s="315" t="s">
        <v>1508</v>
      </c>
      <c r="C83" s="316"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4" zoomScale="90" zoomScaleNormal="93" zoomScaleSheetLayoutView="90" workbookViewId="0">
      <selection activeCell="F3" sqref="F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6.7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1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2689</v>
      </c>
      <c r="B1" s="1613" t="s">
        <v>3080</v>
      </c>
      <c r="C1" s="1614" t="s">
        <v>2512</v>
      </c>
      <c r="D1" s="1615" t="s">
        <v>48</v>
      </c>
      <c r="E1" s="1616"/>
      <c r="F1" s="2568" t="s">
        <v>4542</v>
      </c>
      <c r="G1" s="1617" t="s">
        <v>2625</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6" customFormat="1" ht="28.5" customHeight="1" thickTop="1">
      <c r="A2" s="1611" t="s">
        <v>2312</v>
      </c>
      <c r="B2" s="1414">
        <f>IF(C2="——",IF(B37="元/平方米",ROUND(C39*D3/10000,0),ROUND(F3*C39/10000,0)),IF(B37="元/平方米",ROUND(C39*D3/10000,0),ROUND(F3*C39/10000,0))-D2)</f>
        <v>17510</v>
      </c>
      <c r="C2" s="2570" t="s">
        <v>70</v>
      </c>
      <c r="D2" s="1120" t="e">
        <f ca="1">SUMIF(INDIRECT("'"&amp;F2&amp;"'"&amp;"!A:A"),"承租人权益价值",INDIRECT("'"&amp;F2&amp;"'"&amp;"!c:c"))</f>
        <v>#REF!</v>
      </c>
      <c r="E2" s="2571" t="s">
        <v>2313</v>
      </c>
      <c r="F2" s="2572"/>
      <c r="G2" s="1121"/>
      <c r="H2" s="1121"/>
      <c r="I2" s="1121"/>
      <c r="J2" s="1121"/>
      <c r="K2" s="1123"/>
      <c r="L2" s="1124"/>
      <c r="M2" s="1125"/>
      <c r="N2" s="1125"/>
      <c r="O2" s="1125"/>
      <c r="P2" s="1415"/>
      <c r="Q2" s="766"/>
      <c r="R2" s="766"/>
      <c r="S2" s="766"/>
      <c r="T2" s="766"/>
      <c r="U2" s="766"/>
      <c r="V2" s="766"/>
      <c r="W2" s="766"/>
      <c r="X2" s="766"/>
      <c r="Y2" s="766"/>
      <c r="Z2" s="766"/>
      <c r="AA2" s="766"/>
      <c r="AB2" s="766"/>
      <c r="AC2" s="767"/>
    </row>
    <row r="3" spans="1:29" s="396" customFormat="1" ht="28.5" customHeight="1" thickBot="1">
      <c r="A3" s="245" t="s">
        <v>2314</v>
      </c>
      <c r="B3" s="607">
        <f>IF(AND(C2="——",B37="元/平方米"),C39,ROUND(B2*10000/D3,0))</f>
        <v>8083</v>
      </c>
      <c r="C3" s="398" t="s">
        <v>2626</v>
      </c>
      <c r="D3" s="397">
        <f>SUMIF('数据-汇总表'!$C19:$C33,D1,'数据-汇总表'!$E19:$E33)</f>
        <v>21662.76</v>
      </c>
      <c r="E3" s="398" t="s">
        <v>2690</v>
      </c>
      <c r="F3" s="397">
        <f>SUMIF('数据-取费表'!A5:A15,D1,'数据-取费表'!AH5:AH15)</f>
        <v>476</v>
      </c>
      <c r="G3" s="1121"/>
      <c r="H3" s="1121"/>
      <c r="I3" s="1121"/>
      <c r="J3" s="1121"/>
      <c r="K3" s="1123"/>
      <c r="L3" s="1124"/>
      <c r="M3" s="1125"/>
      <c r="N3" s="1125"/>
      <c r="O3" s="1125"/>
      <c r="P3" s="1415"/>
      <c r="Q3" s="766"/>
      <c r="R3" s="766"/>
      <c r="S3" s="766"/>
      <c r="T3" s="766"/>
      <c r="U3" s="766"/>
      <c r="V3" s="766"/>
      <c r="W3" s="766"/>
      <c r="X3" s="766"/>
      <c r="Y3" s="766"/>
      <c r="Z3" s="766"/>
      <c r="AA3" s="766"/>
      <c r="AB3" s="784"/>
      <c r="AC3" s="780"/>
    </row>
    <row r="4" spans="1:29" ht="15">
      <c r="A4" s="399" t="s">
        <v>2627</v>
      </c>
      <c r="B4" s="400"/>
      <c r="C4" s="3337" t="s">
        <v>2628</v>
      </c>
      <c r="D4" s="3350"/>
      <c r="E4" s="3351" t="s">
        <v>2629</v>
      </c>
      <c r="F4" s="3352"/>
      <c r="G4" s="3337" t="s">
        <v>2630</v>
      </c>
      <c r="H4" s="3350"/>
      <c r="I4" s="3337" t="s">
        <v>2631</v>
      </c>
      <c r="J4" s="3350"/>
      <c r="K4" s="608" t="s">
        <v>2632</v>
      </c>
      <c r="L4" s="1126"/>
      <c r="M4" s="1127"/>
      <c r="N4" s="1127"/>
      <c r="O4" s="1127"/>
      <c r="P4" s="3353" t="s">
        <v>2633</v>
      </c>
      <c r="Q4" s="3354"/>
      <c r="R4" s="3359" t="s">
        <v>2629</v>
      </c>
      <c r="S4" s="3360"/>
      <c r="T4" s="3359" t="s">
        <v>2630</v>
      </c>
      <c r="U4" s="3360"/>
      <c r="V4" s="3346" t="s">
        <v>2631</v>
      </c>
      <c r="W4" s="3346"/>
      <c r="X4" s="1807"/>
      <c r="Y4" s="3359" t="s">
        <v>2633</v>
      </c>
      <c r="Z4" s="3360"/>
      <c r="AA4" s="3347" t="s">
        <v>2629</v>
      </c>
      <c r="AB4" s="3348" t="s">
        <v>2630</v>
      </c>
      <c r="AC4" s="3347" t="s">
        <v>2631</v>
      </c>
    </row>
    <row r="5" spans="1:29" ht="15">
      <c r="A5" s="402"/>
      <c r="B5" s="403"/>
      <c r="C5" s="3367" t="s">
        <v>2524</v>
      </c>
      <c r="D5" s="3368"/>
      <c r="E5" s="3374" t="str">
        <f>车库案例!A2</f>
        <v>建邦·顺颐府</v>
      </c>
      <c r="F5" s="3375"/>
      <c r="G5" s="3367" t="str">
        <f>车库案例!A7</f>
        <v>诺德阅墅</v>
      </c>
      <c r="H5" s="3368"/>
      <c r="I5" s="3367" t="str">
        <f>车库案例!A22</f>
        <v>京基鹭府</v>
      </c>
      <c r="J5" s="3368"/>
      <c r="K5" s="608"/>
      <c r="L5" s="1126"/>
      <c r="M5" s="1127"/>
      <c r="N5" s="1127"/>
      <c r="O5" s="1127"/>
      <c r="P5" s="3355"/>
      <c r="Q5" s="3356"/>
      <c r="R5" s="3361"/>
      <c r="S5" s="3362"/>
      <c r="T5" s="3361"/>
      <c r="U5" s="3362"/>
      <c r="V5" s="3346"/>
      <c r="W5" s="3346"/>
      <c r="X5" s="1807"/>
      <c r="Y5" s="3361"/>
      <c r="Z5" s="3362"/>
      <c r="AA5" s="3348"/>
      <c r="AB5" s="3348"/>
      <c r="AC5" s="3348"/>
    </row>
    <row r="6" spans="1:29" ht="15.75" thickBot="1">
      <c r="A6" s="404"/>
      <c r="B6" s="405"/>
      <c r="C6" s="3365" t="s">
        <v>2528</v>
      </c>
      <c r="D6" s="3366"/>
      <c r="E6" s="3372" t="s">
        <v>2528</v>
      </c>
      <c r="F6" s="3373"/>
      <c r="G6" s="3365" t="s">
        <v>2528</v>
      </c>
      <c r="H6" s="3366"/>
      <c r="I6" s="3365" t="s">
        <v>2528</v>
      </c>
      <c r="J6" s="3366"/>
      <c r="K6" s="608" t="s">
        <v>2529</v>
      </c>
      <c r="L6" s="1126"/>
      <c r="M6" s="1127"/>
      <c r="N6" s="1127"/>
      <c r="O6" s="1127"/>
      <c r="P6" s="3357"/>
      <c r="Q6" s="3358"/>
      <c r="R6" s="3361"/>
      <c r="S6" s="3362"/>
      <c r="T6" s="3363"/>
      <c r="U6" s="3364"/>
      <c r="V6" s="3346"/>
      <c r="W6" s="3346"/>
      <c r="X6" s="1807"/>
      <c r="Y6" s="3363"/>
      <c r="Z6" s="3364"/>
      <c r="AA6" s="3349"/>
      <c r="AB6" s="3349"/>
      <c r="AC6" s="3349"/>
    </row>
    <row r="7" spans="1:29" s="115" customFormat="1" ht="15.75" thickBot="1">
      <c r="A7" s="406" t="s">
        <v>2530</v>
      </c>
      <c r="B7" s="407"/>
      <c r="C7" s="408">
        <f>'数据-取费表'!B2</f>
        <v>43878</v>
      </c>
      <c r="D7" s="409">
        <v>100</v>
      </c>
      <c r="E7" s="410">
        <f>车库案例!A4</f>
        <v>43850</v>
      </c>
      <c r="F7" s="411">
        <f>SUMIF(48:48,YEAR(E7)&amp;"-"&amp;MONTH(E7),49:49)</f>
        <v>100</v>
      </c>
      <c r="G7" s="410">
        <f>车库案例!A9</f>
        <v>43825</v>
      </c>
      <c r="H7" s="409">
        <f>SUMIF(48:48,YEAR(G7)&amp;"-"&amp;MONTH(G7),49:49)</f>
        <v>100</v>
      </c>
      <c r="I7" s="410">
        <f>车库案例!A24</f>
        <v>43781</v>
      </c>
      <c r="J7" s="409">
        <f>SUMIF(48:48,YEAR(I7)&amp;"-"&amp;MONTH(I7),49:49)</f>
        <v>100</v>
      </c>
      <c r="K7" s="609"/>
      <c r="L7" s="1128"/>
      <c r="M7" s="1129"/>
      <c r="N7" s="1129"/>
      <c r="O7" s="1129"/>
      <c r="P7" s="3369" t="s">
        <v>2531</v>
      </c>
      <c r="Q7" s="3371"/>
      <c r="R7" s="768" t="s">
        <v>17</v>
      </c>
      <c r="S7" s="769">
        <f t="shared" ref="S7:S14" si="0">F7</f>
        <v>100</v>
      </c>
      <c r="T7" s="768" t="s">
        <v>17</v>
      </c>
      <c r="U7" s="769">
        <f t="shared" ref="U7:U14" si="1">H7</f>
        <v>100</v>
      </c>
      <c r="V7" s="768" t="s">
        <v>17</v>
      </c>
      <c r="W7" s="769">
        <f t="shared" ref="W7:W14" si="2">J7</f>
        <v>100</v>
      </c>
      <c r="X7" s="770"/>
      <c r="Y7" s="3369" t="s">
        <v>2531</v>
      </c>
      <c r="Z7" s="3370"/>
      <c r="AA7" s="771">
        <f>D7/F7</f>
        <v>1</v>
      </c>
      <c r="AB7" s="771">
        <f>D7/H7</f>
        <v>1</v>
      </c>
      <c r="AC7" s="771">
        <f>D7/J7</f>
        <v>1</v>
      </c>
    </row>
    <row r="8" spans="1:29" s="115" customFormat="1" ht="15.75" thickBot="1">
      <c r="A8" s="406" t="s">
        <v>2532</v>
      </c>
      <c r="B8" s="407"/>
      <c r="C8" s="412" t="s">
        <v>2634</v>
      </c>
      <c r="D8" s="409">
        <v>100</v>
      </c>
      <c r="E8" s="412" t="s">
        <v>4640</v>
      </c>
      <c r="F8" s="411">
        <f>SUMIF(51:51,E8,52:52)-SUMIF(51:51,C8,52:52)+100</f>
        <v>100</v>
      </c>
      <c r="G8" s="412" t="s">
        <v>4640</v>
      </c>
      <c r="H8" s="409">
        <f>SUMIF(51:51,G8,52:52)-SUMIF(51:51,C8,52:52)+100</f>
        <v>100</v>
      </c>
      <c r="I8" s="412" t="s">
        <v>4640</v>
      </c>
      <c r="J8" s="409">
        <f>SUMIF(51:51,I8,52:52)-SUMIF(51:51,C8,52:52)+100</f>
        <v>100</v>
      </c>
      <c r="K8" s="609"/>
      <c r="L8" s="1128"/>
      <c r="M8" s="1129"/>
      <c r="N8" s="1129"/>
      <c r="O8" s="1129"/>
      <c r="P8" s="3369" t="s">
        <v>2534</v>
      </c>
      <c r="Q8" s="3370"/>
      <c r="R8" s="768" t="s">
        <v>17</v>
      </c>
      <c r="S8" s="769">
        <f t="shared" si="0"/>
        <v>100</v>
      </c>
      <c r="T8" s="768" t="s">
        <v>17</v>
      </c>
      <c r="U8" s="769">
        <f t="shared" si="1"/>
        <v>100</v>
      </c>
      <c r="V8" s="768" t="s">
        <v>17</v>
      </c>
      <c r="W8" s="769">
        <f t="shared" si="2"/>
        <v>100</v>
      </c>
      <c r="X8" s="770"/>
      <c r="Y8" s="3369" t="s">
        <v>2534</v>
      </c>
      <c r="Z8" s="3370"/>
      <c r="AA8" s="771">
        <f t="shared" ref="AA8:AA36" si="3">D8/F8</f>
        <v>1</v>
      </c>
      <c r="AB8" s="771">
        <f t="shared" ref="AB8:AB36" si="4">D8/H8</f>
        <v>1</v>
      </c>
      <c r="AC8" s="771">
        <f t="shared" ref="AC8:AC36" si="5">D8/J8</f>
        <v>1</v>
      </c>
    </row>
    <row r="9" spans="1:29" s="115" customFormat="1">
      <c r="A9" s="67" t="s">
        <v>2535</v>
      </c>
      <c r="B9" s="638" t="s">
        <v>2536</v>
      </c>
      <c r="C9" s="3095" t="s">
        <v>4689</v>
      </c>
      <c r="D9" s="133">
        <v>100</v>
      </c>
      <c r="E9" s="417" t="s">
        <v>3190</v>
      </c>
      <c r="F9" s="133">
        <f>SUMIF(53:53,E9,54:54)-SUMIF(53:53,C9,54:54)+100</f>
        <v>100</v>
      </c>
      <c r="G9" s="415" t="s">
        <v>3190</v>
      </c>
      <c r="H9" s="133">
        <f>SUMIF(53:53,G9,54:54)-SUMIF(53:53,C9,54:54)+100</f>
        <v>100</v>
      </c>
      <c r="I9" s="415" t="s">
        <v>3190</v>
      </c>
      <c r="J9" s="133">
        <f>SUMIF(53:53,I9,54:54)-SUMIF(53:53,C9,54:54)+100</f>
        <v>100</v>
      </c>
      <c r="K9" s="609"/>
      <c r="L9" s="1128"/>
      <c r="M9" s="1129"/>
      <c r="N9" s="1129"/>
      <c r="O9" s="1129"/>
      <c r="P9" s="3340" t="s">
        <v>2537</v>
      </c>
      <c r="Q9" s="1789" t="str">
        <f t="shared" ref="Q9:Q14" si="6">B9</f>
        <v>用途</v>
      </c>
      <c r="R9" s="768" t="s">
        <v>17</v>
      </c>
      <c r="S9" s="769">
        <f t="shared" si="0"/>
        <v>100</v>
      </c>
      <c r="T9" s="768" t="s">
        <v>17</v>
      </c>
      <c r="U9" s="769">
        <f t="shared" si="1"/>
        <v>100</v>
      </c>
      <c r="V9" s="768" t="s">
        <v>17</v>
      </c>
      <c r="W9" s="769">
        <f t="shared" si="2"/>
        <v>100</v>
      </c>
      <c r="X9" s="770"/>
      <c r="Y9" s="3168" t="s">
        <v>2538</v>
      </c>
      <c r="Z9" s="55" t="str">
        <f t="shared" ref="Z9:Z14" si="7">Q9</f>
        <v>用途</v>
      </c>
      <c r="AA9" s="771">
        <f t="shared" si="3"/>
        <v>1</v>
      </c>
      <c r="AB9" s="771">
        <f t="shared" si="4"/>
        <v>1</v>
      </c>
      <c r="AC9" s="771">
        <f t="shared" si="5"/>
        <v>1</v>
      </c>
    </row>
    <row r="10" spans="1:29" s="425" customFormat="1" ht="27.75" thickBot="1">
      <c r="A10" s="639"/>
      <c r="B10" s="640" t="s">
        <v>2539</v>
      </c>
      <c r="C10" s="421" t="s">
        <v>4690</v>
      </c>
      <c r="D10" s="134">
        <v>100</v>
      </c>
      <c r="E10" s="421" t="s">
        <v>4690</v>
      </c>
      <c r="F10" s="134">
        <f>SUMIF(55:55,E10,56:56)-SUMIF(55:55,C10,56:56)+100</f>
        <v>100</v>
      </c>
      <c r="G10" s="421" t="s">
        <v>4690</v>
      </c>
      <c r="H10" s="134">
        <f>SUMIF(55:55,G10,56:56)-SUMIF(55:55,C10,56:56)+100</f>
        <v>100</v>
      </c>
      <c r="I10" s="421" t="s">
        <v>4690</v>
      </c>
      <c r="J10" s="134">
        <f>SUMIF(55:55,I10,56:56)-SUMIF(55:55,C10,56:56)+100</f>
        <v>100</v>
      </c>
      <c r="K10" s="610">
        <v>3</v>
      </c>
      <c r="L10" s="1131"/>
      <c r="M10" s="1132"/>
      <c r="N10" s="1132"/>
      <c r="O10" s="1132"/>
      <c r="P10" s="3340"/>
      <c r="Q10" s="1789" t="str">
        <f t="shared" si="6"/>
        <v>土地使用年限（年）</v>
      </c>
      <c r="R10" s="768" t="s">
        <v>17</v>
      </c>
      <c r="S10" s="769">
        <f t="shared" si="0"/>
        <v>100</v>
      </c>
      <c r="T10" s="768" t="s">
        <v>17</v>
      </c>
      <c r="U10" s="769">
        <f t="shared" si="1"/>
        <v>100</v>
      </c>
      <c r="V10" s="768" t="s">
        <v>17</v>
      </c>
      <c r="W10" s="769">
        <f t="shared" si="2"/>
        <v>100</v>
      </c>
      <c r="X10" s="770"/>
      <c r="Y10" s="3168"/>
      <c r="Z10" s="55" t="str">
        <f t="shared" si="7"/>
        <v>土地使用年限（年）</v>
      </c>
      <c r="AA10" s="771">
        <f t="shared" si="3"/>
        <v>1</v>
      </c>
      <c r="AB10" s="771">
        <f t="shared" si="4"/>
        <v>1</v>
      </c>
      <c r="AC10" s="771">
        <f t="shared" si="5"/>
        <v>1</v>
      </c>
    </row>
    <row r="11" spans="1:29" ht="15" hidden="1">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4"/>
      <c r="M11" s="1127"/>
      <c r="N11" s="1127"/>
      <c r="O11" s="1127"/>
      <c r="P11" s="3340"/>
      <c r="Q11" s="1789">
        <f t="shared" si="6"/>
        <v>111</v>
      </c>
      <c r="R11" s="768" t="s">
        <v>17</v>
      </c>
      <c r="S11" s="769">
        <f t="shared" si="0"/>
        <v>100</v>
      </c>
      <c r="T11" s="768" t="s">
        <v>17</v>
      </c>
      <c r="U11" s="769">
        <f t="shared" si="1"/>
        <v>100</v>
      </c>
      <c r="V11" s="768" t="s">
        <v>17</v>
      </c>
      <c r="W11" s="769">
        <f t="shared" si="2"/>
        <v>100</v>
      </c>
      <c r="X11" s="770"/>
      <c r="Y11" s="3168"/>
      <c r="Z11" s="55">
        <f t="shared" si="7"/>
        <v>111</v>
      </c>
      <c r="AA11" s="771">
        <f t="shared" si="3"/>
        <v>1</v>
      </c>
      <c r="AB11" s="771">
        <f t="shared" si="4"/>
        <v>1</v>
      </c>
      <c r="AC11" s="771">
        <f t="shared" si="5"/>
        <v>1</v>
      </c>
    </row>
    <row r="12" spans="1:29" s="115" customFormat="1" ht="15" hidden="1">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8"/>
      <c r="M12" s="1129"/>
      <c r="N12" s="1129"/>
      <c r="O12" s="1129"/>
      <c r="P12" s="3340"/>
      <c r="Q12" s="1789">
        <f t="shared" si="6"/>
        <v>111</v>
      </c>
      <c r="R12" s="768" t="s">
        <v>17</v>
      </c>
      <c r="S12" s="769">
        <f t="shared" si="0"/>
        <v>100</v>
      </c>
      <c r="T12" s="768" t="s">
        <v>17</v>
      </c>
      <c r="U12" s="769">
        <f t="shared" si="1"/>
        <v>100</v>
      </c>
      <c r="V12" s="768" t="s">
        <v>17</v>
      </c>
      <c r="W12" s="769">
        <f t="shared" si="2"/>
        <v>100</v>
      </c>
      <c r="X12" s="770"/>
      <c r="Y12" s="3168"/>
      <c r="Z12" s="55">
        <f t="shared" si="7"/>
        <v>111</v>
      </c>
      <c r="AA12" s="771">
        <f>D12/F12</f>
        <v>1</v>
      </c>
      <c r="AB12" s="771">
        <f>D12/H12</f>
        <v>1</v>
      </c>
      <c r="AC12" s="771">
        <f>D12/J12</f>
        <v>1</v>
      </c>
    </row>
    <row r="13" spans="1:29" ht="15.75" hidden="1"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6"/>
      <c r="M13" s="1127"/>
      <c r="N13" s="1127"/>
      <c r="O13" s="1127"/>
      <c r="P13" s="3340"/>
      <c r="Q13" s="1789">
        <f t="shared" si="6"/>
        <v>111</v>
      </c>
      <c r="R13" s="768" t="s">
        <v>17</v>
      </c>
      <c r="S13" s="769">
        <f t="shared" si="0"/>
        <v>100</v>
      </c>
      <c r="T13" s="768" t="s">
        <v>17</v>
      </c>
      <c r="U13" s="769">
        <f t="shared" si="1"/>
        <v>100</v>
      </c>
      <c r="V13" s="768" t="s">
        <v>17</v>
      </c>
      <c r="W13" s="769">
        <f t="shared" si="2"/>
        <v>100</v>
      </c>
      <c r="X13" s="770"/>
      <c r="Y13" s="3168"/>
      <c r="Z13" s="55">
        <f t="shared" si="7"/>
        <v>111</v>
      </c>
      <c r="AA13" s="771">
        <f t="shared" si="3"/>
        <v>1</v>
      </c>
      <c r="AB13" s="771">
        <f t="shared" si="4"/>
        <v>1</v>
      </c>
      <c r="AC13" s="771">
        <f t="shared" si="5"/>
        <v>1</v>
      </c>
    </row>
    <row r="14" spans="1:29" ht="15">
      <c r="A14" s="399" t="s">
        <v>2541</v>
      </c>
      <c r="B14" s="627" t="s">
        <v>2691</v>
      </c>
      <c r="C14" s="2677" t="str">
        <f>IF(B1="工业",估价对象房地状况!G4,估价对象房地状况!C6)</f>
        <v>一般</v>
      </c>
      <c r="D14" s="439">
        <v>100</v>
      </c>
      <c r="E14" s="440"/>
      <c r="F14" s="441">
        <f>SUMIF(63:63,E15,64:64)-SUMIF(63:63,C15,64:64)+100</f>
        <v>100</v>
      </c>
      <c r="G14" s="442"/>
      <c r="H14" s="439">
        <f>SUMIF(63:63,G15,64:64)-SUMIF(63:63,C15,64:64)+100</f>
        <v>100</v>
      </c>
      <c r="I14" s="440"/>
      <c r="J14" s="439">
        <f>SUMIF(63:63,I15,64:64)-SUMIF(63:63,C15,64:64)+100</f>
        <v>100</v>
      </c>
      <c r="K14" s="612">
        <v>3</v>
      </c>
      <c r="L14" s="1136"/>
      <c r="M14" s="1127"/>
      <c r="N14" s="1127"/>
      <c r="O14" s="1127"/>
      <c r="P14" s="3342" t="s">
        <v>2542</v>
      </c>
      <c r="Q14" s="1804" t="str">
        <f t="shared" si="6"/>
        <v>交通便捷度</v>
      </c>
      <c r="R14" s="772" t="s">
        <v>17</v>
      </c>
      <c r="S14" s="773">
        <f t="shared" si="0"/>
        <v>100</v>
      </c>
      <c r="T14" s="772" t="s">
        <v>17</v>
      </c>
      <c r="U14" s="773">
        <f t="shared" si="1"/>
        <v>100</v>
      </c>
      <c r="V14" s="772" t="s">
        <v>17</v>
      </c>
      <c r="W14" s="773">
        <f t="shared" si="2"/>
        <v>100</v>
      </c>
      <c r="X14" s="1807"/>
      <c r="Y14" s="3342" t="s">
        <v>2542</v>
      </c>
      <c r="Z14" s="1808" t="str">
        <f t="shared" si="7"/>
        <v>交通便捷度</v>
      </c>
      <c r="AA14" s="1805">
        <f t="shared" si="3"/>
        <v>1</v>
      </c>
      <c r="AB14" s="1805">
        <f t="shared" si="4"/>
        <v>1</v>
      </c>
      <c r="AC14" s="1805">
        <f t="shared" si="5"/>
        <v>1</v>
      </c>
    </row>
    <row r="15" spans="1:29" ht="15">
      <c r="A15" s="402"/>
      <c r="B15" s="645"/>
      <c r="C15" s="445" t="s">
        <v>4649</v>
      </c>
      <c r="D15" s="446"/>
      <c r="E15" s="445" t="s">
        <v>4649</v>
      </c>
      <c r="F15" s="447"/>
      <c r="G15" s="445" t="s">
        <v>4649</v>
      </c>
      <c r="H15" s="448"/>
      <c r="I15" s="445" t="s">
        <v>4649</v>
      </c>
      <c r="J15" s="446"/>
      <c r="K15" s="613"/>
      <c r="L15" s="1136"/>
      <c r="M15" s="1127"/>
      <c r="N15" s="1127"/>
      <c r="O15" s="1127"/>
      <c r="P15" s="3343"/>
      <c r="Q15" s="1804"/>
      <c r="R15" s="772"/>
      <c r="S15" s="773"/>
      <c r="T15" s="772"/>
      <c r="U15" s="773"/>
      <c r="V15" s="772"/>
      <c r="W15" s="773"/>
      <c r="X15" s="1807"/>
      <c r="Y15" s="3343"/>
      <c r="Z15" s="1808"/>
      <c r="AA15" s="1805">
        <v>1</v>
      </c>
      <c r="AB15" s="1805">
        <v>1</v>
      </c>
      <c r="AC15" s="1805">
        <v>1</v>
      </c>
    </row>
    <row r="16" spans="1:29" ht="15">
      <c r="A16" s="402"/>
      <c r="B16" s="629" t="s">
        <v>2670</v>
      </c>
      <c r="C16" s="2591" t="str">
        <f>IF(B1="工业",估价对象房地状况!G5,估价对象房地状况!C7)</f>
        <v>一般</v>
      </c>
      <c r="D16" s="453">
        <v>100</v>
      </c>
      <c r="E16" s="455"/>
      <c r="F16" s="456">
        <f>SUMIF(65:65,E17,66:66)-SUMIF(65:65,C17,66:66)+100</f>
        <v>103</v>
      </c>
      <c r="G16" s="457"/>
      <c r="H16" s="453">
        <f>SUMIF(65:65,G17,66:66)-SUMIF(65:65,C17,66:66)+100</f>
        <v>103</v>
      </c>
      <c r="I16" s="455"/>
      <c r="J16" s="453">
        <f>SUMIF(65:65,I17,66:66)-SUMIF(65:65,C17,66:66)+100</f>
        <v>100</v>
      </c>
      <c r="K16" s="612">
        <v>3</v>
      </c>
      <c r="L16" s="1136"/>
      <c r="M16" s="1127"/>
      <c r="N16" s="1127"/>
      <c r="O16" s="1127"/>
      <c r="P16" s="3343"/>
      <c r="Q16" s="1804" t="str">
        <f>B16</f>
        <v>公共配套设施</v>
      </c>
      <c r="R16" s="772" t="s">
        <v>17</v>
      </c>
      <c r="S16" s="773">
        <f>F16</f>
        <v>103</v>
      </c>
      <c r="T16" s="772" t="s">
        <v>17</v>
      </c>
      <c r="U16" s="773">
        <f>H16</f>
        <v>103</v>
      </c>
      <c r="V16" s="772" t="s">
        <v>17</v>
      </c>
      <c r="W16" s="773">
        <f>J16</f>
        <v>100</v>
      </c>
      <c r="X16" s="1807"/>
      <c r="Y16" s="3343"/>
      <c r="Z16" s="1808" t="str">
        <f>Q16</f>
        <v>公共配套设施</v>
      </c>
      <c r="AA16" s="1805">
        <f t="shared" si="3"/>
        <v>0.970873786407767</v>
      </c>
      <c r="AB16" s="1805">
        <f t="shared" si="4"/>
        <v>0.970873786407767</v>
      </c>
      <c r="AC16" s="1805">
        <f t="shared" si="5"/>
        <v>1</v>
      </c>
    </row>
    <row r="17" spans="1:29" ht="15">
      <c r="A17" s="402"/>
      <c r="B17" s="630"/>
      <c r="C17" s="2592" t="s">
        <v>4649</v>
      </c>
      <c r="D17" s="446"/>
      <c r="E17" s="445" t="s">
        <v>4646</v>
      </c>
      <c r="F17" s="447"/>
      <c r="G17" s="445" t="s">
        <v>4646</v>
      </c>
      <c r="H17" s="446"/>
      <c r="I17" s="445" t="s">
        <v>4649</v>
      </c>
      <c r="J17" s="446"/>
      <c r="K17" s="613"/>
      <c r="L17" s="1136"/>
      <c r="M17" s="1127"/>
      <c r="N17" s="1127"/>
      <c r="O17" s="1127"/>
      <c r="P17" s="3343"/>
      <c r="Q17" s="1804"/>
      <c r="R17" s="772"/>
      <c r="S17" s="773"/>
      <c r="T17" s="772"/>
      <c r="U17" s="773"/>
      <c r="V17" s="772"/>
      <c r="W17" s="773"/>
      <c r="X17" s="1807"/>
      <c r="Y17" s="3343"/>
      <c r="Z17" s="1808"/>
      <c r="AA17" s="1805">
        <v>1</v>
      </c>
      <c r="AB17" s="1805">
        <v>1</v>
      </c>
      <c r="AC17" s="1805">
        <v>1</v>
      </c>
    </row>
    <row r="18" spans="1:29" ht="15">
      <c r="A18" s="402"/>
      <c r="B18" s="631" t="s">
        <v>2671</v>
      </c>
      <c r="C18" s="2591" t="str">
        <f>IF(B1="工业",估价对象房地状况!G6,估价对象房地状况!C8)</f>
        <v>七通</v>
      </c>
      <c r="D18" s="448">
        <v>100</v>
      </c>
      <c r="E18" s="450"/>
      <c r="F18" s="456">
        <f>SUMIF(67:67,E19,68:68)-SUMIF(67:67,C19,68:68)+100</f>
        <v>100</v>
      </c>
      <c r="G18" s="452"/>
      <c r="H18" s="453">
        <f>SUMIF(67:67,G19,68:68)-SUMIF(67:67,C19,68:68)+100</f>
        <v>100</v>
      </c>
      <c r="I18" s="450"/>
      <c r="J18" s="453">
        <f>SUMIF(67:67,I19,68:68)-SUMIF(67:67,C19,68:68)+100</f>
        <v>100</v>
      </c>
      <c r="K18" s="612">
        <v>2</v>
      </c>
      <c r="L18" s="1136"/>
      <c r="M18" s="1127"/>
      <c r="N18" s="1127"/>
      <c r="O18" s="1127"/>
      <c r="P18" s="3343"/>
      <c r="Q18" s="1804" t="str">
        <f>B18</f>
        <v>基础设施水平</v>
      </c>
      <c r="R18" s="772" t="s">
        <v>17</v>
      </c>
      <c r="S18" s="773">
        <f>F18</f>
        <v>100</v>
      </c>
      <c r="T18" s="772" t="s">
        <v>17</v>
      </c>
      <c r="U18" s="773">
        <f>H18</f>
        <v>100</v>
      </c>
      <c r="V18" s="772" t="s">
        <v>17</v>
      </c>
      <c r="W18" s="773">
        <f>J18</f>
        <v>100</v>
      </c>
      <c r="X18" s="1807"/>
      <c r="Y18" s="3343"/>
      <c r="Z18" s="1808" t="str">
        <f>Q18</f>
        <v>基础设施水平</v>
      </c>
      <c r="AA18" s="1805">
        <f t="shared" ref="AA18" si="8">D18/F18</f>
        <v>1</v>
      </c>
      <c r="AB18" s="1805">
        <f t="shared" ref="AB18" si="9">D18/H18</f>
        <v>1</v>
      </c>
      <c r="AC18" s="1805">
        <f t="shared" ref="AC18" si="10">D18/J18</f>
        <v>1</v>
      </c>
    </row>
    <row r="19" spans="1:29" ht="15">
      <c r="A19" s="402"/>
      <c r="B19" s="631"/>
      <c r="C19" s="2592" t="s">
        <v>4653</v>
      </c>
      <c r="D19" s="448"/>
      <c r="E19" s="2592" t="s">
        <v>4653</v>
      </c>
      <c r="F19" s="451"/>
      <c r="G19" s="2592" t="s">
        <v>4653</v>
      </c>
      <c r="H19" s="446"/>
      <c r="I19" s="2592" t="s">
        <v>4653</v>
      </c>
      <c r="J19" s="446"/>
      <c r="K19" s="1379"/>
      <c r="L19" s="1136"/>
      <c r="M19" s="1127"/>
      <c r="N19" s="1127"/>
      <c r="O19" s="1127"/>
      <c r="P19" s="3343"/>
      <c r="Q19" s="1804"/>
      <c r="R19" s="772"/>
      <c r="S19" s="773"/>
      <c r="T19" s="772"/>
      <c r="U19" s="773"/>
      <c r="V19" s="772"/>
      <c r="W19" s="773"/>
      <c r="X19" s="1807"/>
      <c r="Y19" s="3343"/>
      <c r="Z19" s="1808"/>
      <c r="AA19" s="1805">
        <v>1</v>
      </c>
      <c r="AB19" s="1805">
        <v>1</v>
      </c>
      <c r="AC19" s="1805">
        <v>1</v>
      </c>
    </row>
    <row r="20" spans="1:29" ht="15">
      <c r="A20" s="402"/>
      <c r="B20" s="629" t="s">
        <v>2692</v>
      </c>
      <c r="C20" s="2591" t="str">
        <f>IF(B1="工业",估价对象房地状况!G7,估价对象房地状况!C9)</f>
        <v>一般</v>
      </c>
      <c r="D20" s="453">
        <v>100</v>
      </c>
      <c r="E20" s="455"/>
      <c r="F20" s="456">
        <f>SUMIF(69:69,E21,70:70)-SUMIF(69:69,C21,70:70)+100</f>
        <v>100</v>
      </c>
      <c r="G20" s="457"/>
      <c r="H20" s="448">
        <f>SUMIF(69:69,G21,70:70)-SUMIF(69:69,C21,70:70)+100</f>
        <v>100</v>
      </c>
      <c r="I20" s="450"/>
      <c r="J20" s="448">
        <f>SUMIF(69:69,I21,70:70)-SUMIF(69:69,C21,70:70)+100</f>
        <v>100</v>
      </c>
      <c r="K20" s="612">
        <v>2</v>
      </c>
      <c r="L20" s="1136"/>
      <c r="M20" s="1127"/>
      <c r="N20" s="1127"/>
      <c r="O20" s="1127"/>
      <c r="P20" s="3343"/>
      <c r="Q20" s="1804" t="str">
        <f>B20</f>
        <v>自然及人文环境</v>
      </c>
      <c r="R20" s="772" t="s">
        <v>17</v>
      </c>
      <c r="S20" s="773">
        <f>F20</f>
        <v>100</v>
      </c>
      <c r="T20" s="772" t="s">
        <v>17</v>
      </c>
      <c r="U20" s="773">
        <f>H20</f>
        <v>100</v>
      </c>
      <c r="V20" s="772" t="s">
        <v>17</v>
      </c>
      <c r="W20" s="773">
        <f>J20</f>
        <v>100</v>
      </c>
      <c r="X20" s="1807"/>
      <c r="Y20" s="3343"/>
      <c r="Z20" s="1808" t="str">
        <f>Q20</f>
        <v>自然及人文环境</v>
      </c>
      <c r="AA20" s="1805">
        <f t="shared" si="3"/>
        <v>1</v>
      </c>
      <c r="AB20" s="1805">
        <f t="shared" si="4"/>
        <v>1</v>
      </c>
      <c r="AC20" s="1805">
        <f t="shared" si="5"/>
        <v>1</v>
      </c>
    </row>
    <row r="21" spans="1:29" ht="15">
      <c r="A21" s="402"/>
      <c r="B21" s="630"/>
      <c r="C21" s="445" t="s">
        <v>4649</v>
      </c>
      <c r="D21" s="446"/>
      <c r="E21" s="445" t="s">
        <v>4649</v>
      </c>
      <c r="F21" s="447"/>
      <c r="G21" s="445" t="s">
        <v>4649</v>
      </c>
      <c r="H21" s="446"/>
      <c r="I21" s="445" t="s">
        <v>4649</v>
      </c>
      <c r="J21" s="446"/>
      <c r="K21" s="613"/>
      <c r="L21" s="1136"/>
      <c r="M21" s="1127"/>
      <c r="N21" s="1127"/>
      <c r="O21" s="1127"/>
      <c r="P21" s="3343"/>
      <c r="Q21" s="1804"/>
      <c r="R21" s="772"/>
      <c r="S21" s="773"/>
      <c r="T21" s="772"/>
      <c r="U21" s="773"/>
      <c r="V21" s="772"/>
      <c r="W21" s="773"/>
      <c r="X21" s="1807"/>
      <c r="Y21" s="3343"/>
      <c r="Z21" s="1808"/>
      <c r="AA21" s="1805">
        <v>1</v>
      </c>
      <c r="AB21" s="1805">
        <v>1</v>
      </c>
      <c r="AC21" s="1805">
        <v>1</v>
      </c>
    </row>
    <row r="22" spans="1:29" ht="15.75" thickBot="1">
      <c r="A22" s="402"/>
      <c r="B22" s="629" t="s">
        <v>2693</v>
      </c>
      <c r="C22" s="614" t="s">
        <v>3079</v>
      </c>
      <c r="D22" s="448">
        <v>100</v>
      </c>
      <c r="E22" s="614" t="s">
        <v>3079</v>
      </c>
      <c r="F22" s="459">
        <f>SUMIF(71:71,E22,72:72)-SUMIF(71:71,C22,72:72)+100</f>
        <v>100</v>
      </c>
      <c r="G22" s="614" t="s">
        <v>3079</v>
      </c>
      <c r="H22" s="433">
        <f>SUMIF(71:71,G22,72:72)-SUMIF(71:71,C22,72:72)+100</f>
        <v>100</v>
      </c>
      <c r="I22" s="614" t="s">
        <v>3079</v>
      </c>
      <c r="J22" s="433">
        <f>SUMIF(71:71,I22,72:72)-SUMIF(71:71,C22,72:72)+100</f>
        <v>100</v>
      </c>
      <c r="K22" s="610">
        <v>2</v>
      </c>
      <c r="L22" s="1136"/>
      <c r="M22" s="1127"/>
      <c r="N22" s="1127"/>
      <c r="O22" s="1127"/>
      <c r="P22" s="3343"/>
      <c r="Q22" s="1804" t="str">
        <f>B22</f>
        <v>楼层</v>
      </c>
      <c r="R22" s="772" t="s">
        <v>17</v>
      </c>
      <c r="S22" s="773">
        <f>F22</f>
        <v>100</v>
      </c>
      <c r="T22" s="772" t="s">
        <v>17</v>
      </c>
      <c r="U22" s="773">
        <f>H22</f>
        <v>100</v>
      </c>
      <c r="V22" s="772" t="s">
        <v>17</v>
      </c>
      <c r="W22" s="773">
        <f>J22</f>
        <v>100</v>
      </c>
      <c r="X22" s="1807"/>
      <c r="Y22" s="3343"/>
      <c r="Z22" s="1808" t="str">
        <f>Q22</f>
        <v>楼层</v>
      </c>
      <c r="AA22" s="1805">
        <f t="shared" si="3"/>
        <v>1</v>
      </c>
      <c r="AB22" s="1805">
        <f t="shared" si="4"/>
        <v>1</v>
      </c>
      <c r="AC22" s="1805">
        <f t="shared" si="5"/>
        <v>1</v>
      </c>
    </row>
    <row r="23" spans="1:29" ht="15" hidden="1">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6"/>
      <c r="M23" s="1127"/>
      <c r="N23" s="1127"/>
      <c r="O23" s="1127"/>
      <c r="P23" s="3343"/>
      <c r="Q23" s="1804">
        <f>B23</f>
        <v>111</v>
      </c>
      <c r="R23" s="772" t="s">
        <v>17</v>
      </c>
      <c r="S23" s="773">
        <f>F23</f>
        <v>100</v>
      </c>
      <c r="T23" s="772" t="s">
        <v>17</v>
      </c>
      <c r="U23" s="773">
        <f>H23</f>
        <v>100</v>
      </c>
      <c r="V23" s="772" t="s">
        <v>17</v>
      </c>
      <c r="W23" s="773">
        <f>J23</f>
        <v>100</v>
      </c>
      <c r="X23" s="1807"/>
      <c r="Y23" s="3343"/>
      <c r="Z23" s="1808">
        <f>Q23</f>
        <v>111</v>
      </c>
      <c r="AA23" s="1805">
        <f t="shared" si="3"/>
        <v>1</v>
      </c>
      <c r="AB23" s="1805">
        <f t="shared" si="4"/>
        <v>1</v>
      </c>
      <c r="AC23" s="1805">
        <f t="shared" si="5"/>
        <v>1</v>
      </c>
    </row>
    <row r="24" spans="1:29" ht="15" hidden="1">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6"/>
      <c r="M24" s="1127"/>
      <c r="N24" s="1127"/>
      <c r="O24" s="1127"/>
      <c r="P24" s="3343"/>
      <c r="Q24" s="1804">
        <f t="shared" ref="Q24:Q36" si="11">B24</f>
        <v>111</v>
      </c>
      <c r="R24" s="772" t="s">
        <v>17</v>
      </c>
      <c r="S24" s="773">
        <f>F24</f>
        <v>100</v>
      </c>
      <c r="T24" s="772" t="s">
        <v>17</v>
      </c>
      <c r="U24" s="773">
        <f>H24</f>
        <v>100</v>
      </c>
      <c r="V24" s="772" t="s">
        <v>17</v>
      </c>
      <c r="W24" s="773">
        <f>J24</f>
        <v>100</v>
      </c>
      <c r="X24" s="1807"/>
      <c r="Y24" s="3343"/>
      <c r="Z24" s="1808">
        <f>Q24</f>
        <v>111</v>
      </c>
      <c r="AA24" s="1805">
        <f t="shared" si="3"/>
        <v>1</v>
      </c>
      <c r="AB24" s="1805">
        <f t="shared" si="4"/>
        <v>1</v>
      </c>
      <c r="AC24" s="1805">
        <f t="shared" si="5"/>
        <v>1</v>
      </c>
    </row>
    <row r="25" spans="1:29" s="115" customFormat="1" ht="15.75" hidden="1"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8"/>
      <c r="M25" s="1129"/>
      <c r="N25" s="1129"/>
      <c r="O25" s="1129"/>
      <c r="P25" s="3343"/>
      <c r="Q25" s="1789">
        <f t="shared" si="11"/>
        <v>111</v>
      </c>
      <c r="R25" s="768" t="s">
        <v>17</v>
      </c>
      <c r="S25" s="769">
        <f>F25</f>
        <v>100</v>
      </c>
      <c r="T25" s="768" t="s">
        <v>17</v>
      </c>
      <c r="U25" s="769">
        <f>H25</f>
        <v>100</v>
      </c>
      <c r="V25" s="768" t="s">
        <v>17</v>
      </c>
      <c r="W25" s="769">
        <f>J25</f>
        <v>100</v>
      </c>
      <c r="X25" s="770"/>
      <c r="Y25" s="3343"/>
      <c r="Z25" s="55">
        <f>Q25</f>
        <v>111</v>
      </c>
      <c r="AA25" s="1805">
        <f>D25/F25</f>
        <v>1</v>
      </c>
      <c r="AB25" s="1805">
        <f>D25/H25</f>
        <v>1</v>
      </c>
      <c r="AC25" s="1805">
        <f>D25/J25</f>
        <v>1</v>
      </c>
    </row>
    <row r="26" spans="1:29" ht="28.5">
      <c r="A26" s="650" t="s">
        <v>2545</v>
      </c>
      <c r="B26" s="69" t="s">
        <v>2694</v>
      </c>
      <c r="C26" s="2678" t="str">
        <f>B1</f>
        <v>住宅</v>
      </c>
      <c r="D26" s="446">
        <v>100</v>
      </c>
      <c r="E26" s="445" t="s">
        <v>3080</v>
      </c>
      <c r="F26" s="447">
        <f>SUMIF(79:79,E26,80:80)-SUMIF(79:79,C26,80:80)+100</f>
        <v>100</v>
      </c>
      <c r="G26" s="445" t="s">
        <v>3080</v>
      </c>
      <c r="H26" s="446">
        <f>SUMIF(79:79,G26,80:80)-SUMIF(79:79,C26,80:80)+100</f>
        <v>100</v>
      </c>
      <c r="I26" s="445" t="s">
        <v>3080</v>
      </c>
      <c r="J26" s="446">
        <f>SUMIF(79:79,I26,80:80)-SUMIF(79:79,C26,80:80)+100</f>
        <v>100</v>
      </c>
      <c r="K26" s="610">
        <v>5</v>
      </c>
      <c r="L26" s="1136"/>
      <c r="M26" s="1127"/>
      <c r="N26" s="1127"/>
      <c r="O26" s="1127"/>
      <c r="P26" s="3344" t="s">
        <v>2547</v>
      </c>
      <c r="Q26" s="1804" t="str">
        <f t="shared" si="11"/>
        <v>配套类型</v>
      </c>
      <c r="R26" s="772" t="s">
        <v>17</v>
      </c>
      <c r="S26" s="773">
        <f t="shared" ref="S26:S36" si="12">F26</f>
        <v>100</v>
      </c>
      <c r="T26" s="772" t="s">
        <v>17</v>
      </c>
      <c r="U26" s="773">
        <f t="shared" ref="U26:U36" si="13">H26</f>
        <v>100</v>
      </c>
      <c r="V26" s="772" t="s">
        <v>17</v>
      </c>
      <c r="W26" s="773">
        <f t="shared" ref="W26:W36" si="14">J26</f>
        <v>100</v>
      </c>
      <c r="X26" s="1807"/>
      <c r="Y26" s="3345" t="s">
        <v>2547</v>
      </c>
      <c r="Z26" s="1808" t="str">
        <f t="shared" ref="Z26:Z36" si="15">Q26</f>
        <v>配套类型</v>
      </c>
      <c r="AA26" s="1805">
        <f t="shared" si="3"/>
        <v>1</v>
      </c>
      <c r="AB26" s="1805">
        <f t="shared" si="4"/>
        <v>1</v>
      </c>
      <c r="AC26" s="1805">
        <f t="shared" si="5"/>
        <v>1</v>
      </c>
    </row>
    <row r="27" spans="1:29" s="469" customFormat="1" ht="15">
      <c r="A27" s="651"/>
      <c r="B27" s="652" t="s">
        <v>2695</v>
      </c>
      <c r="C27" s="653" t="s">
        <v>4719</v>
      </c>
      <c r="D27" s="134">
        <v>100</v>
      </c>
      <c r="E27" s="653" t="s">
        <v>4720</v>
      </c>
      <c r="F27" s="459">
        <f>SUMIF(81:81,E27,82:82)-SUMIF(81:81,C27,82:82)+100</f>
        <v>100</v>
      </c>
      <c r="G27" s="653" t="s">
        <v>4724</v>
      </c>
      <c r="H27" s="433">
        <f>SUMIF(81:81,G27,82:82)-SUMIF(81:81,C27,82:82)+100</f>
        <v>105</v>
      </c>
      <c r="I27" s="653" t="s">
        <v>4721</v>
      </c>
      <c r="J27" s="433">
        <f>SUMIF(81:81,I27,82:82)-SUMIF(81:81,C27,82:82)+100</f>
        <v>110</v>
      </c>
      <c r="K27" s="611"/>
      <c r="L27" s="1134"/>
      <c r="M27" s="1137"/>
      <c r="N27" s="1137"/>
      <c r="O27" s="1137"/>
      <c r="P27" s="3345"/>
      <c r="Q27" s="774" t="str">
        <f t="shared" si="11"/>
        <v>项目停车位配比</v>
      </c>
      <c r="R27" s="775" t="s">
        <v>17</v>
      </c>
      <c r="S27" s="776">
        <f t="shared" si="12"/>
        <v>100</v>
      </c>
      <c r="T27" s="775" t="s">
        <v>17</v>
      </c>
      <c r="U27" s="776">
        <f t="shared" si="13"/>
        <v>105</v>
      </c>
      <c r="V27" s="775" t="s">
        <v>17</v>
      </c>
      <c r="W27" s="776">
        <f t="shared" si="14"/>
        <v>110</v>
      </c>
      <c r="X27" s="777"/>
      <c r="Y27" s="3345"/>
      <c r="Z27" s="778" t="str">
        <f t="shared" si="15"/>
        <v>项目停车位配比</v>
      </c>
      <c r="AA27" s="1805">
        <f t="shared" si="3"/>
        <v>1</v>
      </c>
      <c r="AB27" s="1805">
        <f t="shared" si="4"/>
        <v>0.95238095238095233</v>
      </c>
      <c r="AC27" s="1805">
        <f t="shared" si="5"/>
        <v>0.90909090909090906</v>
      </c>
    </row>
    <row r="28" spans="1:29" ht="15">
      <c r="A28" s="654"/>
      <c r="B28" s="652" t="s">
        <v>2696</v>
      </c>
      <c r="C28" s="458" t="s">
        <v>4693</v>
      </c>
      <c r="D28" s="433">
        <v>100</v>
      </c>
      <c r="E28" s="458" t="s">
        <v>4693</v>
      </c>
      <c r="F28" s="459">
        <f>SUMIF(83:83,E28,84:84)-SUMIF(83:83,C28,84:84)+100</f>
        <v>100</v>
      </c>
      <c r="G28" s="458" t="s">
        <v>4693</v>
      </c>
      <c r="H28" s="433">
        <f>SUMIF(83:83,G28,84:84)-SUMIF(83:83,C28,84:84)+100</f>
        <v>100</v>
      </c>
      <c r="I28" s="458" t="s">
        <v>4693</v>
      </c>
      <c r="J28" s="433">
        <f>SUMIF(83:83,I28,84:84)-SUMIF(83:83,C28,84:84)+100</f>
        <v>100</v>
      </c>
      <c r="K28" s="610">
        <v>2</v>
      </c>
      <c r="L28" s="1136"/>
      <c r="M28" s="1127"/>
      <c r="N28" s="1127"/>
      <c r="O28" s="1127"/>
      <c r="P28" s="3345"/>
      <c r="Q28" s="1804" t="str">
        <f t="shared" si="11"/>
        <v>公共部分装修</v>
      </c>
      <c r="R28" s="772" t="s">
        <v>17</v>
      </c>
      <c r="S28" s="773">
        <f t="shared" si="12"/>
        <v>100</v>
      </c>
      <c r="T28" s="772" t="s">
        <v>17</v>
      </c>
      <c r="U28" s="773">
        <f t="shared" si="13"/>
        <v>100</v>
      </c>
      <c r="V28" s="772" t="s">
        <v>17</v>
      </c>
      <c r="W28" s="773">
        <f t="shared" si="14"/>
        <v>100</v>
      </c>
      <c r="X28" s="1807"/>
      <c r="Y28" s="3345"/>
      <c r="Z28" s="1808" t="str">
        <f t="shared" si="15"/>
        <v>公共部分装修</v>
      </c>
      <c r="AA28" s="1805">
        <f t="shared" si="3"/>
        <v>1</v>
      </c>
      <c r="AB28" s="1805">
        <f t="shared" si="4"/>
        <v>1</v>
      </c>
      <c r="AC28" s="1805">
        <f t="shared" si="5"/>
        <v>1</v>
      </c>
    </row>
    <row r="29" spans="1:29" ht="15">
      <c r="A29" s="654"/>
      <c r="B29" s="652" t="s">
        <v>2697</v>
      </c>
      <c r="C29" s="472">
        <v>1</v>
      </c>
      <c r="D29" s="433">
        <v>100</v>
      </c>
      <c r="E29" s="472">
        <v>1</v>
      </c>
      <c r="F29" s="459">
        <f>LOOKUP(E29,86:86,87:87)-LOOKUP(C29,86:86,87:87)+100</f>
        <v>100</v>
      </c>
      <c r="G29" s="472">
        <v>1</v>
      </c>
      <c r="H29" s="459">
        <f>LOOKUP(G29,86:86,87:87)-LOOKUP(C29,86:86,87:87)+100</f>
        <v>100</v>
      </c>
      <c r="I29" s="472">
        <v>0.95</v>
      </c>
      <c r="J29" s="433">
        <f>LOOKUP(I29,86:86,87:87)-LOOKUP(C29,86:86,87:87)+100</f>
        <v>100</v>
      </c>
      <c r="K29" s="610">
        <v>2</v>
      </c>
      <c r="L29" s="1136"/>
      <c r="M29" s="1127"/>
      <c r="N29" s="1127"/>
      <c r="O29" s="1127"/>
      <c r="P29" s="3345"/>
      <c r="Q29" s="1804" t="str">
        <f t="shared" si="11"/>
        <v>成新率</v>
      </c>
      <c r="R29" s="772" t="s">
        <v>17</v>
      </c>
      <c r="S29" s="773">
        <f t="shared" si="12"/>
        <v>100</v>
      </c>
      <c r="T29" s="772" t="s">
        <v>17</v>
      </c>
      <c r="U29" s="773">
        <f t="shared" si="13"/>
        <v>100</v>
      </c>
      <c r="V29" s="772" t="s">
        <v>17</v>
      </c>
      <c r="W29" s="773">
        <f t="shared" si="14"/>
        <v>100</v>
      </c>
      <c r="X29" s="1807"/>
      <c r="Y29" s="3345"/>
      <c r="Z29" s="1808" t="str">
        <f t="shared" si="15"/>
        <v>成新率</v>
      </c>
      <c r="AA29" s="1805">
        <f t="shared" si="3"/>
        <v>1</v>
      </c>
      <c r="AB29" s="1805">
        <f t="shared" si="4"/>
        <v>1</v>
      </c>
      <c r="AC29" s="1805">
        <f t="shared" si="5"/>
        <v>1</v>
      </c>
    </row>
    <row r="30" spans="1:29" ht="15">
      <c r="A30" s="654"/>
      <c r="B30" s="652" t="s">
        <v>2698</v>
      </c>
      <c r="C30" s="655" t="s">
        <v>4700</v>
      </c>
      <c r="D30" s="433">
        <v>100</v>
      </c>
      <c r="E30" s="655" t="s">
        <v>4700</v>
      </c>
      <c r="F30" s="459">
        <f>SUMIF(88:88,E30,89:89)-SUMIF(88:88,C30,89:89)+100</f>
        <v>100</v>
      </c>
      <c r="G30" s="655" t="s">
        <v>4700</v>
      </c>
      <c r="H30" s="433">
        <f>SUMIF(88:88,E30,89:89)-SUMIF(88:88,C30,89:89)+100</f>
        <v>100</v>
      </c>
      <c r="I30" s="655" t="s">
        <v>4700</v>
      </c>
      <c r="J30" s="433">
        <f>SUMIF(88:88,E30,89:89)-SUMIF(88:88,C30,89:89)+100</f>
        <v>100</v>
      </c>
      <c r="K30" s="610">
        <v>2</v>
      </c>
      <c r="L30" s="1136"/>
      <c r="M30" s="1127"/>
      <c r="N30" s="1127"/>
      <c r="O30" s="1127"/>
      <c r="P30" s="3345"/>
      <c r="Q30" s="1804" t="str">
        <f t="shared" si="11"/>
        <v>物业等级</v>
      </c>
      <c r="R30" s="772" t="s">
        <v>17</v>
      </c>
      <c r="S30" s="773">
        <f t="shared" si="12"/>
        <v>100</v>
      </c>
      <c r="T30" s="772" t="s">
        <v>17</v>
      </c>
      <c r="U30" s="773">
        <f t="shared" si="13"/>
        <v>100</v>
      </c>
      <c r="V30" s="772" t="s">
        <v>17</v>
      </c>
      <c r="W30" s="773">
        <f t="shared" si="14"/>
        <v>100</v>
      </c>
      <c r="X30" s="1807"/>
      <c r="Y30" s="3345"/>
      <c r="Z30" s="1808" t="str">
        <f t="shared" si="15"/>
        <v>物业等级</v>
      </c>
      <c r="AA30" s="1805">
        <f t="shared" si="3"/>
        <v>1</v>
      </c>
      <c r="AB30" s="1805">
        <f t="shared" si="4"/>
        <v>1</v>
      </c>
      <c r="AC30" s="1805">
        <f t="shared" si="5"/>
        <v>1</v>
      </c>
    </row>
    <row r="31" spans="1:29" s="115" customFormat="1" ht="15">
      <c r="A31" s="656"/>
      <c r="B31" s="652" t="s">
        <v>2699</v>
      </c>
      <c r="C31" s="467">
        <v>45.51</v>
      </c>
      <c r="D31" s="134">
        <v>100</v>
      </c>
      <c r="E31" s="467">
        <f>车库案例!H4</f>
        <v>38</v>
      </c>
      <c r="F31" s="459">
        <f>LOOKUP(E31,91:91,92:92)-LOOKUP(C31,91:91,92:92)+100</f>
        <v>100</v>
      </c>
      <c r="G31" s="467">
        <f>车库案例!H9</f>
        <v>36</v>
      </c>
      <c r="H31" s="433">
        <f>LOOKUP(G31,91:91,92:92)-LOOKUP(C31,91:91,92:92)+100</f>
        <v>100</v>
      </c>
      <c r="I31" s="467">
        <f>车库案例!H24</f>
        <v>53</v>
      </c>
      <c r="J31" s="433">
        <f>LOOKUP(I31,91:91,92:92)-LOOKUP(C31,91:91,92:92)+100</f>
        <v>100</v>
      </c>
      <c r="K31" s="3097">
        <v>0</v>
      </c>
      <c r="L31" s="1128"/>
      <c r="M31" s="1129"/>
      <c r="N31" s="1129"/>
      <c r="O31" s="1129"/>
      <c r="P31" s="3345"/>
      <c r="Q31" s="1789" t="str">
        <f t="shared" si="11"/>
        <v>停车位面积</v>
      </c>
      <c r="R31" s="768" t="s">
        <v>17</v>
      </c>
      <c r="S31" s="769">
        <f t="shared" si="12"/>
        <v>100</v>
      </c>
      <c r="T31" s="768" t="s">
        <v>17</v>
      </c>
      <c r="U31" s="769">
        <f t="shared" si="13"/>
        <v>100</v>
      </c>
      <c r="V31" s="768" t="s">
        <v>17</v>
      </c>
      <c r="W31" s="769">
        <f t="shared" si="14"/>
        <v>100</v>
      </c>
      <c r="X31" s="770"/>
      <c r="Y31" s="3345"/>
      <c r="Z31" s="55" t="str">
        <f t="shared" si="15"/>
        <v>停车位面积</v>
      </c>
      <c r="AA31" s="771">
        <f t="shared" si="3"/>
        <v>1</v>
      </c>
      <c r="AB31" s="771">
        <f t="shared" si="4"/>
        <v>1</v>
      </c>
      <c r="AC31" s="771">
        <f t="shared" si="5"/>
        <v>1</v>
      </c>
    </row>
    <row r="32" spans="1:29" ht="15">
      <c r="A32" s="654"/>
      <c r="B32" s="652" t="s">
        <v>2700</v>
      </c>
      <c r="C32" s="458" t="s">
        <v>4698</v>
      </c>
      <c r="D32" s="433">
        <v>100</v>
      </c>
      <c r="E32" s="458" t="s">
        <v>4698</v>
      </c>
      <c r="F32" s="459">
        <f>SUMIF(93:93,E32,94:94)-SUMIF(93:93,C32,94:94)+100</f>
        <v>100</v>
      </c>
      <c r="G32" s="458" t="s">
        <v>4698</v>
      </c>
      <c r="H32" s="433">
        <f>SUMIF(93:93,G32,94:94)-SUMIF(93:93,C32,94:94)+100</f>
        <v>100</v>
      </c>
      <c r="I32" s="458" t="s">
        <v>4698</v>
      </c>
      <c r="J32" s="433">
        <f>SUMIF(93:93,I32,94:94)-SUMIF(93:93,C32,94:94)+100</f>
        <v>100</v>
      </c>
      <c r="K32" s="610">
        <v>2</v>
      </c>
      <c r="L32" s="1136"/>
      <c r="M32" s="1127"/>
      <c r="N32" s="1127"/>
      <c r="O32" s="1127"/>
      <c r="P32" s="3345" t="s">
        <v>2547</v>
      </c>
      <c r="Q32" s="1804" t="str">
        <f t="shared" si="11"/>
        <v>车位类型</v>
      </c>
      <c r="R32" s="772" t="s">
        <v>17</v>
      </c>
      <c r="S32" s="773">
        <f t="shared" si="12"/>
        <v>100</v>
      </c>
      <c r="T32" s="772" t="s">
        <v>17</v>
      </c>
      <c r="U32" s="773">
        <f t="shared" si="13"/>
        <v>100</v>
      </c>
      <c r="V32" s="772" t="s">
        <v>17</v>
      </c>
      <c r="W32" s="773">
        <f t="shared" si="14"/>
        <v>100</v>
      </c>
      <c r="X32" s="1807"/>
      <c r="Y32" s="3345" t="s">
        <v>2547</v>
      </c>
      <c r="Z32" s="1808" t="str">
        <f t="shared" si="15"/>
        <v>车位类型</v>
      </c>
      <c r="AA32" s="1805">
        <f t="shared" si="3"/>
        <v>1</v>
      </c>
      <c r="AB32" s="1805">
        <f t="shared" si="4"/>
        <v>1</v>
      </c>
      <c r="AC32" s="1805">
        <f t="shared" si="5"/>
        <v>1</v>
      </c>
    </row>
    <row r="33" spans="1:29" ht="15">
      <c r="A33" s="654"/>
      <c r="B33" s="652" t="s">
        <v>2701</v>
      </c>
      <c r="C33" s="458" t="s">
        <v>4433</v>
      </c>
      <c r="D33" s="433">
        <v>100</v>
      </c>
      <c r="E33" s="458" t="s">
        <v>4433</v>
      </c>
      <c r="F33" s="459">
        <f>SUMIF(95:95,E33,96:96)-SUMIF(95:95,C33,96:96)+100</f>
        <v>100</v>
      </c>
      <c r="G33" s="458" t="s">
        <v>4433</v>
      </c>
      <c r="H33" s="433">
        <f>SUMIF(95:95,G33,96:96)-SUMIF(95:95,C33,96:96)+100</f>
        <v>100</v>
      </c>
      <c r="I33" s="458" t="s">
        <v>4433</v>
      </c>
      <c r="J33" s="433">
        <f>SUMIF(95:95,I33,96:96)-SUMIF(95:95,C33,96:96)+100</f>
        <v>100</v>
      </c>
      <c r="K33" s="610">
        <v>2</v>
      </c>
      <c r="L33" s="1136"/>
      <c r="M33" s="1127"/>
      <c r="N33" s="1127"/>
      <c r="O33" s="1127"/>
      <c r="P33" s="3345"/>
      <c r="Q33" s="1804" t="str">
        <f t="shared" si="11"/>
        <v>是否直接入户</v>
      </c>
      <c r="R33" s="772" t="s">
        <v>17</v>
      </c>
      <c r="S33" s="773">
        <f t="shared" si="12"/>
        <v>100</v>
      </c>
      <c r="T33" s="772" t="s">
        <v>17</v>
      </c>
      <c r="U33" s="773">
        <f t="shared" si="13"/>
        <v>100</v>
      </c>
      <c r="V33" s="772" t="s">
        <v>17</v>
      </c>
      <c r="W33" s="773">
        <f t="shared" si="14"/>
        <v>100</v>
      </c>
      <c r="X33" s="1807"/>
      <c r="Y33" s="3345"/>
      <c r="Z33" s="1808" t="str">
        <f t="shared" si="15"/>
        <v>是否直接入户</v>
      </c>
      <c r="AA33" s="1805">
        <f t="shared" si="3"/>
        <v>1</v>
      </c>
      <c r="AB33" s="1805">
        <f t="shared" si="4"/>
        <v>1</v>
      </c>
      <c r="AC33" s="1805">
        <f t="shared" si="5"/>
        <v>1</v>
      </c>
    </row>
    <row r="34" spans="1:29" ht="15">
      <c r="A34" s="654"/>
      <c r="B34" s="3096" t="s">
        <v>4695</v>
      </c>
      <c r="C34" s="3075" t="s">
        <v>4704</v>
      </c>
      <c r="D34" s="433">
        <v>100</v>
      </c>
      <c r="E34" s="3075" t="s">
        <v>4704</v>
      </c>
      <c r="F34" s="459">
        <f>SUMIF(97:97,E34,98:98)-SUMIF(97:97,C34,98:98)+100</f>
        <v>100</v>
      </c>
      <c r="G34" s="3075" t="s">
        <v>4703</v>
      </c>
      <c r="H34" s="433">
        <f>SUMIF(97:97,G34,98:98)-SUMIF(97:97,C34,98:98)+100</f>
        <v>100</v>
      </c>
      <c r="I34" s="3075" t="s">
        <v>4702</v>
      </c>
      <c r="J34" s="433">
        <f>SUMIF(97:97,I34,98:98)-SUMIF(97:97,C34,98:98)+100</f>
        <v>105</v>
      </c>
      <c r="K34" s="611"/>
      <c r="L34" s="1136"/>
      <c r="M34" s="1127"/>
      <c r="N34" s="1127"/>
      <c r="O34" s="1127"/>
      <c r="P34" s="3345"/>
      <c r="Q34" s="1804" t="str">
        <f t="shared" si="11"/>
        <v>期房现房</v>
      </c>
      <c r="R34" s="772" t="s">
        <v>17</v>
      </c>
      <c r="S34" s="773">
        <f t="shared" si="12"/>
        <v>100</v>
      </c>
      <c r="T34" s="772" t="s">
        <v>17</v>
      </c>
      <c r="U34" s="773">
        <f t="shared" si="13"/>
        <v>100</v>
      </c>
      <c r="V34" s="772" t="s">
        <v>17</v>
      </c>
      <c r="W34" s="773">
        <f t="shared" si="14"/>
        <v>105</v>
      </c>
      <c r="X34" s="1807"/>
      <c r="Y34" s="3345"/>
      <c r="Z34" s="1808" t="str">
        <f t="shared" si="15"/>
        <v>期房现房</v>
      </c>
      <c r="AA34" s="1805">
        <f t="shared" si="3"/>
        <v>1</v>
      </c>
      <c r="AB34" s="1805">
        <f t="shared" si="4"/>
        <v>1</v>
      </c>
      <c r="AC34" s="1805">
        <f t="shared" si="5"/>
        <v>0.95238095238095233</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4"/>
      <c r="M35" s="1137"/>
      <c r="N35" s="1137"/>
      <c r="O35" s="1137"/>
      <c r="P35" s="3345"/>
      <c r="Q35" s="774">
        <f t="shared" si="11"/>
        <v>111</v>
      </c>
      <c r="R35" s="775" t="s">
        <v>17</v>
      </c>
      <c r="S35" s="776">
        <f t="shared" si="12"/>
        <v>100</v>
      </c>
      <c r="T35" s="775" t="s">
        <v>17</v>
      </c>
      <c r="U35" s="776">
        <f t="shared" si="13"/>
        <v>100</v>
      </c>
      <c r="V35" s="775" t="s">
        <v>17</v>
      </c>
      <c r="W35" s="776">
        <f t="shared" si="14"/>
        <v>100</v>
      </c>
      <c r="X35" s="777"/>
      <c r="Y35" s="3345"/>
      <c r="Z35" s="778">
        <f t="shared" si="15"/>
        <v>111</v>
      </c>
      <c r="AA35" s="1805">
        <f t="shared" si="3"/>
        <v>1</v>
      </c>
      <c r="AB35" s="1805">
        <f t="shared" si="4"/>
        <v>1</v>
      </c>
      <c r="AC35" s="1805">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6"/>
      <c r="M36" s="1127"/>
      <c r="N36" s="1127"/>
      <c r="O36" s="1127"/>
      <c r="P36" s="3345"/>
      <c r="Q36" s="1804">
        <f t="shared" si="11"/>
        <v>111</v>
      </c>
      <c r="R36" s="772" t="s">
        <v>17</v>
      </c>
      <c r="S36" s="773">
        <f t="shared" si="12"/>
        <v>100</v>
      </c>
      <c r="T36" s="772" t="s">
        <v>17</v>
      </c>
      <c r="U36" s="773">
        <f t="shared" si="13"/>
        <v>100</v>
      </c>
      <c r="V36" s="772" t="s">
        <v>17</v>
      </c>
      <c r="W36" s="773">
        <f t="shared" si="14"/>
        <v>100</v>
      </c>
      <c r="X36" s="1807"/>
      <c r="Y36" s="3345"/>
      <c r="Z36" s="1808">
        <f t="shared" si="15"/>
        <v>111</v>
      </c>
      <c r="AA36" s="1805">
        <f t="shared" si="3"/>
        <v>1</v>
      </c>
      <c r="AB36" s="1805">
        <f t="shared" si="4"/>
        <v>1</v>
      </c>
      <c r="AC36" s="1805">
        <f t="shared" si="5"/>
        <v>1</v>
      </c>
    </row>
    <row r="37" spans="1:29" ht="15">
      <c r="A37" s="477" t="s">
        <v>2702</v>
      </c>
      <c r="B37" s="2679" t="s">
        <v>2703</v>
      </c>
      <c r="C37" s="1403" t="s">
        <v>1</v>
      </c>
      <c r="D37" s="1404"/>
      <c r="E37" s="1405">
        <f>车库案例!H4*10000</f>
        <v>380000</v>
      </c>
      <c r="F37" s="1406"/>
      <c r="G37" s="1407">
        <f>车库案例!I9*10000</f>
        <v>420000</v>
      </c>
      <c r="H37" s="1408"/>
      <c r="I37" s="1405">
        <f>车库案例!I24*10000</f>
        <v>400000</v>
      </c>
      <c r="J37" s="1408"/>
      <c r="K37" s="617"/>
      <c r="L37" s="1139"/>
      <c r="M37" s="1140"/>
      <c r="N37" s="1127"/>
      <c r="O37" s="1140"/>
      <c r="P37" s="3340" t="str">
        <f>A37</f>
        <v>成交单价</v>
      </c>
      <c r="Q37" s="3340"/>
      <c r="R37" s="3381">
        <f>E37</f>
        <v>380000</v>
      </c>
      <c r="S37" s="3381"/>
      <c r="T37" s="3381">
        <f>G37</f>
        <v>420000</v>
      </c>
      <c r="U37" s="3381"/>
      <c r="V37" s="3381">
        <f>I37</f>
        <v>400000</v>
      </c>
      <c r="W37" s="3381"/>
      <c r="X37" s="757"/>
      <c r="Y37" s="779"/>
      <c r="Z37" s="757"/>
      <c r="AA37" s="757"/>
      <c r="AB37" s="757"/>
      <c r="AC37" s="757"/>
    </row>
    <row r="38" spans="1:29" ht="15.75" thickBot="1">
      <c r="A38" s="484" t="s">
        <v>2704</v>
      </c>
      <c r="B38" s="485" t="str">
        <f>B37</f>
        <v>元/车位</v>
      </c>
      <c r="C38" s="1409">
        <f>R39</f>
        <v>367867</v>
      </c>
      <c r="D38" s="1410"/>
      <c r="E38" s="1411">
        <f>R38</f>
        <v>368932</v>
      </c>
      <c r="F38" s="1411"/>
      <c r="G38" s="1409">
        <f>T38</f>
        <v>388350</v>
      </c>
      <c r="H38" s="1410"/>
      <c r="I38" s="1411">
        <f>V38</f>
        <v>346320</v>
      </c>
      <c r="J38" s="1410"/>
      <c r="K38" s="618"/>
      <c r="L38" s="1139"/>
      <c r="M38" s="1140"/>
      <c r="N38" s="1140"/>
      <c r="O38" s="1140"/>
      <c r="P38" s="3340" t="str">
        <f>A38</f>
        <v>比较价值（元/平方米）</v>
      </c>
      <c r="Q38" s="3340"/>
      <c r="R38" s="3381">
        <f>IF(F1="售价",ROUND(PRODUCT(R37,AA7:AA36),0),ROUND(PRODUCT(R37,AA7:AA36),1))</f>
        <v>368932</v>
      </c>
      <c r="S38" s="3381"/>
      <c r="T38" s="3381">
        <f>IF(F1="售价",ROUND(PRODUCT(T37,AB7:AB36),0),ROUND(PRODUCT(T37,AB7:AB36),1))</f>
        <v>388350</v>
      </c>
      <c r="U38" s="3381"/>
      <c r="V38" s="3381">
        <f>IF(F1="售价",ROUND(PRODUCT(V37,AC7:AC36),0),ROUND(PRODUCT(V37,AC7:AC36),1))</f>
        <v>346320</v>
      </c>
      <c r="W38" s="3381"/>
      <c r="X38" s="757"/>
      <c r="Y38" s="757"/>
      <c r="Z38" s="757"/>
      <c r="AA38" s="757"/>
      <c r="AB38" s="757"/>
      <c r="AC38" s="757"/>
    </row>
    <row r="39" spans="1:29" ht="15.75" thickBot="1">
      <c r="A39" s="490" t="s">
        <v>4706</v>
      </c>
      <c r="B39" s="491"/>
      <c r="C39" s="1413">
        <f>R39</f>
        <v>367867</v>
      </c>
      <c r="D39" s="1413"/>
      <c r="E39" s="1413"/>
      <c r="F39" s="1413"/>
      <c r="G39" s="1413"/>
      <c r="H39" s="1413"/>
      <c r="I39" s="1413"/>
      <c r="J39" s="1413"/>
      <c r="K39" s="619"/>
      <c r="L39" s="1139"/>
      <c r="M39" s="1140"/>
      <c r="N39" s="1140"/>
      <c r="O39" s="1140"/>
      <c r="P39" s="3334" t="str">
        <f>A39</f>
        <v>估价对象车库用房的比较价值（楼面单价，元/平方米）</v>
      </c>
      <c r="Q39" s="3335"/>
      <c r="R39" s="3382">
        <f>IF(F1="售价",ROUND(AVERAGE(R38:V38),0),ROUND(AVERAGE(R38:V38),1))</f>
        <v>367867</v>
      </c>
      <c r="S39" s="3382"/>
      <c r="T39" s="3382"/>
      <c r="U39" s="3382"/>
      <c r="V39" s="3382"/>
      <c r="W39" s="3382"/>
      <c r="X39" s="757"/>
      <c r="Y39" s="757"/>
      <c r="Z39" s="757"/>
      <c r="AA39" s="757"/>
      <c r="AB39" s="757"/>
      <c r="AC39" s="757"/>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5" t="s">
        <v>2705</v>
      </c>
      <c r="D42" s="496"/>
      <c r="E42" s="497">
        <f>IF(E37&lt;E38,E38/E37-1,E37/E38-1)</f>
        <v>3.0000108421064153E-2</v>
      </c>
      <c r="F42" s="498" t="str">
        <f>IF(OR(E42&gt;=0.3,E42&lt;=-0.3),"超过30%","")</f>
        <v/>
      </c>
      <c r="G42" s="497">
        <f>IF(G37&lt;G38,G38/G37-1,G37/G38-1)</f>
        <v>8.1498648126689943E-2</v>
      </c>
      <c r="H42" s="498" t="str">
        <f>IF(OR(G42&gt;=0.3,G42&lt;=-0.3),"超过30%","")</f>
        <v/>
      </c>
      <c r="I42" s="497">
        <f>IF(I37&lt;I38,I38/I37-1,I37/I38-1)</f>
        <v>0.15500115500115497</v>
      </c>
      <c r="J42" s="498" t="str">
        <f>IF(OR(I42&gt;=0.3,I42&lt;=-0.3),"超过30%","")</f>
        <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5" t="s">
        <v>2706</v>
      </c>
      <c r="D43" s="499"/>
      <c r="E43" s="497">
        <f>IF(E38&lt;G38,G38/E38-1,E38/G38-1)</f>
        <v>5.2633005540316358E-2</v>
      </c>
      <c r="F43" s="498" t="str">
        <f>IF(OR(E43&gt;=0.2,E43&lt;=-0.2),"超过20%","")</f>
        <v/>
      </c>
      <c r="G43" s="497">
        <f>IF(G38&lt;I38,I38/G38-1,G38/I38-1)</f>
        <v>0.12136174636174646</v>
      </c>
      <c r="H43" s="498" t="str">
        <f>IF(OR(G43&gt;=0.2,G43&lt;=-0.2),"超过20%","")</f>
        <v/>
      </c>
      <c r="I43" s="497">
        <f>IF(I38&lt;E38,E38/I38-1,I38/E38-1)</f>
        <v>6.5292215292215294E-2</v>
      </c>
      <c r="J43" s="498" t="str">
        <f>IF(OR(I43&gt;=0.2,I43&lt;=-0.2),"超过20%","")</f>
        <v/>
      </c>
      <c r="K43" s="1101"/>
      <c r="L43" s="1102"/>
      <c r="M43" s="1140"/>
      <c r="N43" s="1140"/>
      <c r="O43" s="1140"/>
      <c r="P43" s="1416"/>
      <c r="Q43" s="1140"/>
      <c r="R43" s="1140"/>
      <c r="S43" s="1140"/>
      <c r="T43" s="1140"/>
      <c r="U43" s="1140"/>
      <c r="V43" s="1140"/>
      <c r="W43" s="1140"/>
      <c r="X43" s="1140"/>
      <c r="Y43" s="1140"/>
      <c r="Z43" s="1140"/>
      <c r="AA43" s="1140"/>
      <c r="AB43" s="1140"/>
      <c r="AC43" s="1140"/>
    </row>
    <row r="44" spans="1:29" s="500" customFormat="1" ht="13.5" customHeight="1">
      <c r="A44" s="1141"/>
      <c r="B44" s="1141"/>
      <c r="C44" s="495" t="s">
        <v>2707</v>
      </c>
      <c r="D44" s="499"/>
      <c r="E44" s="497">
        <f>IF(E37&lt;G37,G37/E37-1,E37/G37-1)</f>
        <v>0.10526315789473695</v>
      </c>
      <c r="F44" s="498" t="str">
        <f>IF(OR(E44&gt;=0.3,E44&lt;=-0.3),"超过30%","")</f>
        <v/>
      </c>
      <c r="G44" s="497">
        <f>IF(G37&lt;I37,I37/G37-1,G37/I37-1)</f>
        <v>5.0000000000000044E-2</v>
      </c>
      <c r="H44" s="498" t="str">
        <f>IF(OR(G44&gt;=0.3,G44&lt;=-0.3),"超过30%","")</f>
        <v/>
      </c>
      <c r="I44" s="497">
        <f>IF(I37&lt;E37,E37/I37-1,I37/E37-1)</f>
        <v>5.2631578947368363E-2</v>
      </c>
      <c r="J44" s="498" t="str">
        <f>IF(OR(I44&gt;=0.3,I44&lt;=-0.3),"超过30%","")</f>
        <v/>
      </c>
      <c r="K44" s="1144"/>
      <c r="L44" s="1145"/>
      <c r="M44" s="1141"/>
      <c r="N44" s="1141"/>
      <c r="O44" s="1141"/>
      <c r="P44" s="1417"/>
      <c r="Q44" s="1141"/>
      <c r="R44" s="1141"/>
      <c r="S44" s="1141"/>
      <c r="T44" s="1141"/>
      <c r="U44" s="1141"/>
      <c r="V44" s="1141"/>
      <c r="W44" s="1141"/>
      <c r="X44" s="1141"/>
      <c r="Y44" s="1141"/>
      <c r="Z44" s="1141"/>
      <c r="AA44" s="1141"/>
      <c r="AB44" s="1141"/>
      <c r="AC44" s="1141"/>
    </row>
    <row r="45" spans="1:29" s="500"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2708</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6" customFormat="1" ht="15">
      <c r="A48" s="503" t="s">
        <v>2709</v>
      </c>
      <c r="B48" s="504"/>
      <c r="C48" s="1568" t="str">
        <f>YEAR(C7)&amp;"-"&amp;MONTH(C7)</f>
        <v>2020-2</v>
      </c>
      <c r="D48" s="1569">
        <f>EDATE(C48,-1)</f>
        <v>43831</v>
      </c>
      <c r="E48" s="1569">
        <f t="shared" ref="E48:O48" si="16">EDATE(D48,-1)</f>
        <v>43800</v>
      </c>
      <c r="F48" s="1569">
        <f t="shared" si="16"/>
        <v>43770</v>
      </c>
      <c r="G48" s="1569">
        <f t="shared" si="16"/>
        <v>43739</v>
      </c>
      <c r="H48" s="1569">
        <f t="shared" si="16"/>
        <v>43709</v>
      </c>
      <c r="I48" s="1569">
        <f t="shared" si="16"/>
        <v>43678</v>
      </c>
      <c r="J48" s="1569">
        <f t="shared" si="16"/>
        <v>43647</v>
      </c>
      <c r="K48" s="1569">
        <f t="shared" si="16"/>
        <v>43617</v>
      </c>
      <c r="L48" s="1569">
        <f t="shared" si="16"/>
        <v>43586</v>
      </c>
      <c r="M48" s="1569">
        <f t="shared" si="16"/>
        <v>43556</v>
      </c>
      <c r="N48" s="1569">
        <f t="shared" si="16"/>
        <v>43525</v>
      </c>
      <c r="O48" s="1569">
        <f t="shared" si="16"/>
        <v>43497</v>
      </c>
      <c r="P48" s="1434"/>
      <c r="Q48" s="1435"/>
      <c r="R48" s="1435"/>
      <c r="S48" s="1435"/>
      <c r="T48" s="1435"/>
      <c r="U48" s="1435"/>
      <c r="V48" s="1435"/>
      <c r="W48" s="1435"/>
      <c r="X48" s="1435"/>
      <c r="Y48" s="1435"/>
      <c r="Z48" s="1435"/>
      <c r="AA48" s="1435"/>
      <c r="AB48" s="1435"/>
      <c r="AC48" s="1435"/>
    </row>
    <row r="49" spans="1:29" s="115" customFormat="1" ht="15">
      <c r="A49" s="507"/>
      <c r="B49" s="508"/>
      <c r="C49" s="1561">
        <v>100</v>
      </c>
      <c r="D49" s="510">
        <f>C49</f>
        <v>100</v>
      </c>
      <c r="E49" s="510">
        <f t="shared" ref="E49:M49" si="17">D49</f>
        <v>100</v>
      </c>
      <c r="F49" s="510">
        <f t="shared" si="17"/>
        <v>100</v>
      </c>
      <c r="G49" s="510">
        <f t="shared" si="17"/>
        <v>100</v>
      </c>
      <c r="H49" s="510">
        <f t="shared" si="17"/>
        <v>100</v>
      </c>
      <c r="I49" s="510">
        <f t="shared" si="17"/>
        <v>100</v>
      </c>
      <c r="J49" s="510">
        <f t="shared" si="17"/>
        <v>100</v>
      </c>
      <c r="K49" s="510">
        <f t="shared" si="17"/>
        <v>100</v>
      </c>
      <c r="L49" s="510">
        <f t="shared" si="17"/>
        <v>100</v>
      </c>
      <c r="M49" s="510">
        <f t="shared" si="17"/>
        <v>100</v>
      </c>
      <c r="N49" s="510"/>
      <c r="O49" s="511"/>
      <c r="P49" s="1424"/>
      <c r="Q49" s="1423"/>
      <c r="R49" s="1423"/>
      <c r="S49" s="1423"/>
      <c r="T49" s="1423"/>
      <c r="U49" s="1423"/>
      <c r="V49" s="1423"/>
      <c r="W49" s="1423"/>
      <c r="X49" s="1423"/>
      <c r="Y49" s="1423"/>
      <c r="Z49" s="1423"/>
      <c r="AA49" s="1423"/>
      <c r="AB49" s="1423"/>
      <c r="AC49" s="1423"/>
    </row>
    <row r="50" spans="1:29" s="115" customFormat="1" ht="15.75" thickBot="1">
      <c r="A50" s="513" t="s">
        <v>2567</v>
      </c>
      <c r="B50" s="514"/>
      <c r="C50" s="515"/>
      <c r="D50" s="516"/>
      <c r="E50" s="516"/>
      <c r="F50" s="516"/>
      <c r="G50" s="516"/>
      <c r="H50" s="516"/>
      <c r="I50" s="516"/>
      <c r="J50" s="516"/>
      <c r="K50" s="516"/>
      <c r="L50" s="516"/>
      <c r="M50" s="517"/>
      <c r="N50" s="516"/>
      <c r="O50" s="517"/>
      <c r="P50" s="1424"/>
      <c r="Q50" s="1419"/>
      <c r="R50" s="1423"/>
      <c r="S50" s="1423"/>
      <c r="T50" s="1423"/>
      <c r="U50" s="1423"/>
      <c r="V50" s="1423"/>
      <c r="W50" s="1423"/>
      <c r="X50" s="1423"/>
      <c r="Y50" s="1423"/>
      <c r="Z50" s="1423"/>
      <c r="AA50" s="1423"/>
      <c r="AB50" s="1423"/>
      <c r="AC50" s="1423"/>
    </row>
    <row r="51" spans="1:29" s="115" customFormat="1" ht="15">
      <c r="A51" s="519" t="s">
        <v>2532</v>
      </c>
      <c r="B51" s="508"/>
      <c r="C51" s="520" t="s">
        <v>2634</v>
      </c>
      <c r="D51" s="521"/>
      <c r="E51" s="521"/>
      <c r="F51" s="521"/>
      <c r="G51" s="521"/>
      <c r="H51" s="521"/>
      <c r="I51" s="521"/>
      <c r="J51" s="521"/>
      <c r="K51" s="521"/>
      <c r="L51" s="522"/>
      <c r="M51" s="523"/>
      <c r="N51" s="1147"/>
      <c r="O51" s="1147"/>
      <c r="P51" s="1422"/>
      <c r="Q51" s="1419"/>
      <c r="R51" s="1423"/>
      <c r="S51" s="1423"/>
      <c r="T51" s="1423"/>
      <c r="U51" s="1423"/>
      <c r="V51" s="1423"/>
      <c r="W51" s="1423"/>
      <c r="X51" s="1423"/>
      <c r="Y51" s="1423"/>
      <c r="Z51" s="1423"/>
      <c r="AA51" s="1423"/>
      <c r="AB51" s="1423"/>
      <c r="AC51" s="1423"/>
    </row>
    <row r="52" spans="1:29" s="115" customFormat="1" ht="15.75" thickBot="1">
      <c r="A52" s="519"/>
      <c r="B52" s="508"/>
      <c r="C52" s="637">
        <v>100</v>
      </c>
      <c r="D52" s="510"/>
      <c r="E52" s="510"/>
      <c r="F52" s="510"/>
      <c r="G52" s="510"/>
      <c r="H52" s="510"/>
      <c r="I52" s="510"/>
      <c r="J52" s="510"/>
      <c r="K52" s="510"/>
      <c r="L52" s="510"/>
      <c r="M52" s="512"/>
      <c r="N52" s="1147"/>
      <c r="O52" s="1147"/>
      <c r="P52" s="1424"/>
      <c r="Q52" s="1419"/>
      <c r="R52" s="1423"/>
      <c r="S52" s="1423"/>
      <c r="T52" s="1423"/>
      <c r="U52" s="1423"/>
      <c r="V52" s="1423"/>
      <c r="W52" s="1423"/>
      <c r="X52" s="1423"/>
      <c r="Y52" s="1423"/>
      <c r="Z52" s="1423"/>
      <c r="AA52" s="1423"/>
      <c r="AB52" s="1423"/>
      <c r="AC52" s="1423"/>
    </row>
    <row r="53" spans="1:29">
      <c r="A53" s="525" t="s">
        <v>2570</v>
      </c>
      <c r="B53" s="526" t="s">
        <v>2536</v>
      </c>
      <c r="C53" s="527" t="str">
        <f>C9</f>
        <v>车库</v>
      </c>
      <c r="D53" s="528"/>
      <c r="E53" s="528"/>
      <c r="F53" s="528"/>
      <c r="G53" s="528"/>
      <c r="H53" s="528"/>
      <c r="I53" s="528"/>
      <c r="J53" s="528"/>
      <c r="K53" s="529"/>
      <c r="L53" s="530"/>
      <c r="M53" s="531"/>
      <c r="N53" s="1148"/>
      <c r="O53" s="1148"/>
      <c r="P53" s="1425"/>
      <c r="Q53" s="1419"/>
      <c r="R53" s="1140"/>
      <c r="S53" s="1140"/>
      <c r="T53" s="1140"/>
      <c r="U53" s="1140"/>
      <c r="V53" s="1140"/>
      <c r="W53" s="1140"/>
      <c r="X53" s="1140"/>
      <c r="Y53" s="1140"/>
      <c r="Z53" s="1140"/>
      <c r="AA53" s="1140"/>
      <c r="AB53" s="1140"/>
      <c r="AC53" s="1140"/>
    </row>
    <row r="54" spans="1:29" ht="15.75" thickBot="1">
      <c r="A54" s="532"/>
      <c r="B54" s="533"/>
      <c r="C54" s="534">
        <v>100</v>
      </c>
      <c r="D54" s="534"/>
      <c r="E54" s="534"/>
      <c r="F54" s="534"/>
      <c r="G54" s="534"/>
      <c r="H54" s="534"/>
      <c r="I54" s="534"/>
      <c r="J54" s="534"/>
      <c r="K54" s="534"/>
      <c r="L54" s="534"/>
      <c r="M54" s="535"/>
      <c r="N54" s="1149"/>
      <c r="O54" s="1149"/>
      <c r="P54" s="1425"/>
      <c r="Q54" s="1419"/>
      <c r="R54" s="1140"/>
      <c r="S54" s="1140"/>
      <c r="T54" s="1140"/>
      <c r="U54" s="1140"/>
      <c r="V54" s="1140"/>
      <c r="W54" s="1140"/>
      <c r="X54" s="1140"/>
      <c r="Y54" s="1140"/>
      <c r="Z54" s="1140"/>
      <c r="AA54" s="1140"/>
      <c r="AB54" s="1140"/>
      <c r="AC54" s="1140"/>
    </row>
    <row r="55" spans="1:29" ht="27.75" thickTop="1">
      <c r="A55" s="532"/>
      <c r="B55" s="536" t="s">
        <v>2539</v>
      </c>
      <c r="C55" s="537" t="s">
        <v>2571</v>
      </c>
      <c r="D55" s="537" t="s">
        <v>2572</v>
      </c>
      <c r="E55" s="537" t="s">
        <v>2573</v>
      </c>
      <c r="F55" s="537" t="s">
        <v>2574</v>
      </c>
      <c r="G55" s="537" t="s">
        <v>2575</v>
      </c>
      <c r="H55" s="537" t="s">
        <v>2576</v>
      </c>
      <c r="I55" s="537" t="s">
        <v>2577</v>
      </c>
      <c r="J55" s="537"/>
      <c r="K55" s="538"/>
      <c r="L55" s="539"/>
      <c r="M55" s="540"/>
      <c r="N55" s="1148"/>
      <c r="O55" s="1148"/>
      <c r="P55" s="1425"/>
      <c r="Q55" s="1419"/>
      <c r="R55" s="1140"/>
      <c r="S55" s="1140"/>
      <c r="T55" s="1140"/>
      <c r="U55" s="1140"/>
      <c r="V55" s="1140"/>
      <c r="W55" s="1140"/>
      <c r="X55" s="1140"/>
      <c r="Y55" s="1140"/>
      <c r="Z55" s="1140"/>
      <c r="AA55" s="1140"/>
      <c r="AB55" s="1140"/>
      <c r="AC55" s="1140"/>
    </row>
    <row r="56" spans="1:29" ht="15.75" thickBot="1">
      <c r="A56" s="532"/>
      <c r="B56" s="541"/>
      <c r="C56" s="542" t="s">
        <v>24</v>
      </c>
      <c r="D56" s="542" t="s">
        <v>25</v>
      </c>
      <c r="E56" s="542">
        <v>100</v>
      </c>
      <c r="F56" s="542">
        <f>E56-$K10</f>
        <v>97</v>
      </c>
      <c r="G56" s="542">
        <f>F56-$K10</f>
        <v>94</v>
      </c>
      <c r="H56" s="542">
        <f>G56-$K10</f>
        <v>91</v>
      </c>
      <c r="I56" s="542">
        <f>H56-$K10</f>
        <v>88</v>
      </c>
      <c r="J56" s="542"/>
      <c r="K56" s="542"/>
      <c r="L56" s="542"/>
      <c r="M56" s="543"/>
      <c r="N56" s="1149"/>
      <c r="O56" s="1149"/>
      <c r="P56" s="1425"/>
      <c r="Q56" s="1419"/>
      <c r="R56" s="1140"/>
      <c r="S56" s="1140"/>
      <c r="T56" s="1140"/>
      <c r="U56" s="1140"/>
      <c r="V56" s="1140"/>
      <c r="W56" s="1140"/>
      <c r="X56" s="1140"/>
      <c r="Y56" s="1140"/>
      <c r="Z56" s="1140"/>
      <c r="AA56" s="1140"/>
      <c r="AB56" s="1140"/>
      <c r="AC56" s="1140"/>
    </row>
    <row r="57" spans="1:29" ht="15.75" hidden="1" thickTop="1">
      <c r="A57" s="532"/>
      <c r="B57" s="658">
        <f>B11</f>
        <v>111</v>
      </c>
      <c r="C57" s="547"/>
      <c r="D57" s="547"/>
      <c r="E57" s="547"/>
      <c r="F57" s="547"/>
      <c r="G57" s="547"/>
      <c r="H57" s="547"/>
      <c r="I57" s="547"/>
      <c r="J57" s="547"/>
      <c r="K57" s="548"/>
      <c r="L57" s="549"/>
      <c r="M57" s="550"/>
      <c r="N57" s="1148"/>
      <c r="O57" s="1148"/>
      <c r="P57" s="1425"/>
      <c r="Q57" s="1419"/>
      <c r="R57" s="1140"/>
      <c r="S57" s="1140"/>
      <c r="T57" s="1140"/>
      <c r="U57" s="1140"/>
      <c r="V57" s="1140"/>
      <c r="W57" s="1140"/>
      <c r="X57" s="1140"/>
      <c r="Y57" s="1140"/>
      <c r="Z57" s="1140"/>
      <c r="AA57" s="1140"/>
      <c r="AB57" s="1140"/>
      <c r="AC57" s="1140"/>
    </row>
    <row r="58" spans="1:29" ht="15.75" hidden="1" thickBot="1">
      <c r="A58" s="532"/>
      <c r="B58" s="533"/>
      <c r="C58" s="558"/>
      <c r="D58" s="534"/>
      <c r="E58" s="534"/>
      <c r="F58" s="534"/>
      <c r="G58" s="534"/>
      <c r="H58" s="534"/>
      <c r="I58" s="534"/>
      <c r="J58" s="534"/>
      <c r="K58" s="534"/>
      <c r="L58" s="534"/>
      <c r="M58" s="535"/>
      <c r="N58" s="1149"/>
      <c r="O58" s="1149"/>
      <c r="P58" s="1425"/>
      <c r="Q58" s="1419"/>
      <c r="R58" s="1140"/>
      <c r="S58" s="1140"/>
      <c r="T58" s="1140"/>
      <c r="U58" s="1140"/>
      <c r="V58" s="1140"/>
      <c r="W58" s="1140"/>
      <c r="X58" s="1140"/>
      <c r="Y58" s="1140"/>
      <c r="Z58" s="1140"/>
      <c r="AA58" s="1140"/>
      <c r="AB58" s="1140"/>
      <c r="AC58" s="1140"/>
    </row>
    <row r="59" spans="1:29" s="469" customFormat="1" ht="15.75" hidden="1" thickTop="1">
      <c r="A59" s="551"/>
      <c r="B59" s="536">
        <f>B12</f>
        <v>111</v>
      </c>
      <c r="C59" s="547"/>
      <c r="D59" s="547"/>
      <c r="E59" s="547"/>
      <c r="F59" s="547"/>
      <c r="G59" s="552"/>
      <c r="H59" s="553"/>
      <c r="I59" s="553"/>
      <c r="J59" s="553"/>
      <c r="K59" s="553"/>
      <c r="L59" s="554"/>
      <c r="M59" s="555"/>
      <c r="N59" s="1150"/>
      <c r="O59" s="1150"/>
      <c r="P59" s="1426"/>
      <c r="Q59" s="1427"/>
      <c r="R59" s="1428"/>
      <c r="S59" s="1428"/>
      <c r="T59" s="1428"/>
      <c r="U59" s="1428"/>
      <c r="V59" s="1428"/>
      <c r="W59" s="1428"/>
      <c r="X59" s="1428"/>
      <c r="Y59" s="1428"/>
      <c r="Z59" s="1428"/>
      <c r="AA59" s="1428"/>
      <c r="AB59" s="1428"/>
      <c r="AC59" s="1428"/>
    </row>
    <row r="60" spans="1:29" s="469" customFormat="1" ht="15.75" hidden="1" thickBot="1">
      <c r="A60" s="551"/>
      <c r="B60" s="541"/>
      <c r="C60" s="558"/>
      <c r="D60" s="534"/>
      <c r="E60" s="534"/>
      <c r="F60" s="534"/>
      <c r="G60" s="534"/>
      <c r="H60" s="534"/>
      <c r="I60" s="534"/>
      <c r="J60" s="534"/>
      <c r="K60" s="534"/>
      <c r="L60" s="534"/>
      <c r="M60" s="535"/>
      <c r="N60" s="1149"/>
      <c r="O60" s="1149"/>
      <c r="P60" s="1426"/>
      <c r="Q60" s="1427"/>
      <c r="R60" s="1428"/>
      <c r="S60" s="1428"/>
      <c r="T60" s="1428"/>
      <c r="U60" s="1428"/>
      <c r="V60" s="1428"/>
      <c r="W60" s="1428"/>
      <c r="X60" s="1428"/>
      <c r="Y60" s="1428"/>
      <c r="Z60" s="1428"/>
      <c r="AA60" s="1428"/>
      <c r="AB60" s="1428"/>
      <c r="AC60" s="1428"/>
    </row>
    <row r="61" spans="1:29" s="469" customFormat="1" ht="15.75" hidden="1" thickTop="1">
      <c r="A61" s="551"/>
      <c r="B61" s="536">
        <f>B13</f>
        <v>111</v>
      </c>
      <c r="C61" s="552"/>
      <c r="D61" s="552"/>
      <c r="E61" s="552"/>
      <c r="F61" s="552"/>
      <c r="G61" s="552"/>
      <c r="H61" s="553"/>
      <c r="I61" s="553"/>
      <c r="J61" s="553"/>
      <c r="K61" s="553"/>
      <c r="L61" s="554"/>
      <c r="M61" s="555"/>
      <c r="N61" s="1150"/>
      <c r="O61" s="1150"/>
      <c r="P61" s="1429"/>
      <c r="Q61" s="1430"/>
      <c r="R61" s="1428"/>
      <c r="S61" s="1428"/>
      <c r="T61" s="1428"/>
      <c r="U61" s="1428"/>
      <c r="V61" s="1428"/>
      <c r="W61" s="1428"/>
      <c r="X61" s="1428"/>
      <c r="Y61" s="1428"/>
      <c r="Z61" s="1428"/>
      <c r="AA61" s="1428"/>
      <c r="AB61" s="1428"/>
      <c r="AC61" s="1428"/>
    </row>
    <row r="62" spans="1:29" s="469" customFormat="1" ht="15.75" hidden="1" thickBot="1">
      <c r="A62" s="551"/>
      <c r="B62" s="541"/>
      <c r="C62" s="558"/>
      <c r="D62" s="558"/>
      <c r="E62" s="558"/>
      <c r="F62" s="558"/>
      <c r="G62" s="558"/>
      <c r="H62" s="560"/>
      <c r="I62" s="560"/>
      <c r="J62" s="560"/>
      <c r="K62" s="560"/>
      <c r="L62" s="560"/>
      <c r="M62" s="561"/>
      <c r="N62" s="1150"/>
      <c r="O62" s="1150"/>
      <c r="P62" s="1426"/>
      <c r="Q62" s="1427"/>
      <c r="R62" s="1428"/>
      <c r="S62" s="1428"/>
      <c r="T62" s="1428"/>
      <c r="U62" s="1428"/>
      <c r="V62" s="1428"/>
      <c r="W62" s="1428"/>
      <c r="X62" s="1428"/>
      <c r="Y62" s="1428"/>
      <c r="Z62" s="1428"/>
      <c r="AA62" s="1428"/>
      <c r="AB62" s="1428"/>
      <c r="AC62" s="1428"/>
    </row>
    <row r="63" spans="1:29" ht="15" thickTop="1">
      <c r="A63" s="525" t="s">
        <v>2541</v>
      </c>
      <c r="B63" s="526" t="s">
        <v>2584</v>
      </c>
      <c r="C63" s="571" t="s">
        <v>2579</v>
      </c>
      <c r="D63" s="571" t="s">
        <v>2580</v>
      </c>
      <c r="E63" s="571" t="s">
        <v>2581</v>
      </c>
      <c r="F63" s="571" t="s">
        <v>2582</v>
      </c>
      <c r="G63" s="571" t="s">
        <v>2583</v>
      </c>
      <c r="H63" s="527"/>
      <c r="I63" s="527"/>
      <c r="J63" s="527"/>
      <c r="K63" s="572"/>
      <c r="L63" s="573"/>
      <c r="M63" s="574"/>
      <c r="N63" s="1148"/>
      <c r="O63" s="1148"/>
      <c r="P63" s="1431"/>
      <c r="Q63" s="1419"/>
      <c r="R63" s="1140"/>
      <c r="S63" s="1140"/>
      <c r="T63" s="1140"/>
      <c r="U63" s="1140"/>
      <c r="V63" s="1140"/>
      <c r="W63" s="1140"/>
      <c r="X63" s="1140"/>
      <c r="Y63" s="1140"/>
      <c r="Z63" s="1140"/>
      <c r="AA63" s="1140"/>
      <c r="AB63" s="1140"/>
      <c r="AC63" s="1140"/>
    </row>
    <row r="64" spans="1:29" ht="15.75" thickBot="1">
      <c r="A64" s="532"/>
      <c r="B64" s="541"/>
      <c r="C64" s="542">
        <v>100</v>
      </c>
      <c r="D64" s="542">
        <f>C64-$K14</f>
        <v>97</v>
      </c>
      <c r="E64" s="542">
        <f>D64-$K14</f>
        <v>94</v>
      </c>
      <c r="F64" s="542">
        <f>E64-$K14</f>
        <v>91</v>
      </c>
      <c r="G64" s="542">
        <f>F64-$K14</f>
        <v>88</v>
      </c>
      <c r="H64" s="542"/>
      <c r="I64" s="542"/>
      <c r="J64" s="542"/>
      <c r="K64" s="542"/>
      <c r="L64" s="542"/>
      <c r="M64" s="543"/>
      <c r="N64" s="1149"/>
      <c r="O64" s="1149"/>
      <c r="P64" s="1425"/>
      <c r="Q64" s="1419"/>
      <c r="R64" s="1140"/>
      <c r="S64" s="1140"/>
      <c r="T64" s="1140"/>
      <c r="U64" s="1140"/>
      <c r="V64" s="1140"/>
      <c r="W64" s="1140"/>
      <c r="X64" s="1140"/>
      <c r="Y64" s="1140"/>
      <c r="Z64" s="1140"/>
      <c r="AA64" s="1140"/>
      <c r="AB64" s="1140"/>
      <c r="AC64" s="1140"/>
    </row>
    <row r="65" spans="1:29" ht="15.75" thickTop="1">
      <c r="A65" s="532"/>
      <c r="B65" s="536" t="s">
        <v>2585</v>
      </c>
      <c r="C65" s="576" t="s">
        <v>2579</v>
      </c>
      <c r="D65" s="576" t="s">
        <v>2580</v>
      </c>
      <c r="E65" s="576" t="s">
        <v>2581</v>
      </c>
      <c r="F65" s="576" t="s">
        <v>2582</v>
      </c>
      <c r="G65" s="576" t="s">
        <v>2583</v>
      </c>
      <c r="H65" s="537"/>
      <c r="I65" s="537"/>
      <c r="J65" s="537"/>
      <c r="K65" s="538"/>
      <c r="L65" s="539"/>
      <c r="M65" s="540"/>
      <c r="N65" s="1148"/>
      <c r="O65" s="1148"/>
      <c r="P65" s="1425"/>
      <c r="Q65" s="1419"/>
      <c r="R65" s="1140"/>
      <c r="S65" s="1140"/>
      <c r="T65" s="1140"/>
      <c r="U65" s="1140"/>
      <c r="V65" s="1140"/>
      <c r="W65" s="1140"/>
      <c r="X65" s="1140"/>
      <c r="Y65" s="1140"/>
      <c r="Z65" s="1140"/>
      <c r="AA65" s="1140"/>
      <c r="AB65" s="1140"/>
      <c r="AC65" s="1140"/>
    </row>
    <row r="66" spans="1:29" ht="15.75" thickBot="1">
      <c r="A66" s="532"/>
      <c r="B66" s="541"/>
      <c r="C66" s="542">
        <v>100</v>
      </c>
      <c r="D66" s="542">
        <f>C66-$K16</f>
        <v>97</v>
      </c>
      <c r="E66" s="542">
        <f>D66-$K16</f>
        <v>94</v>
      </c>
      <c r="F66" s="542">
        <f>E66-$K16</f>
        <v>91</v>
      </c>
      <c r="G66" s="542">
        <f>F66-$K16</f>
        <v>88</v>
      </c>
      <c r="H66" s="542"/>
      <c r="I66" s="542"/>
      <c r="J66" s="542"/>
      <c r="K66" s="542"/>
      <c r="L66" s="542"/>
      <c r="M66" s="543"/>
      <c r="N66" s="1149"/>
      <c r="O66" s="1149"/>
      <c r="P66" s="1425"/>
      <c r="Q66" s="1419"/>
      <c r="R66" s="1140"/>
      <c r="S66" s="1140"/>
      <c r="T66" s="1140"/>
      <c r="U66" s="1140"/>
      <c r="V66" s="1140"/>
      <c r="W66" s="1140"/>
      <c r="X66" s="1140"/>
      <c r="Y66" s="1140"/>
      <c r="Z66" s="1140"/>
      <c r="AA66" s="1140"/>
      <c r="AB66" s="1140"/>
      <c r="AC66" s="1140"/>
    </row>
    <row r="67" spans="1:29" ht="15.75" thickTop="1">
      <c r="A67" s="532"/>
      <c r="B67" s="544" t="s">
        <v>2671</v>
      </c>
      <c r="C67" s="658" t="s">
        <v>2657</v>
      </c>
      <c r="D67" s="658" t="s">
        <v>2658</v>
      </c>
      <c r="E67" s="658" t="s">
        <v>2659</v>
      </c>
      <c r="F67" s="658" t="s">
        <v>2660</v>
      </c>
      <c r="G67" s="658" t="s">
        <v>2661</v>
      </c>
      <c r="H67" s="537"/>
      <c r="I67" s="537"/>
      <c r="J67" s="537"/>
      <c r="K67" s="537"/>
      <c r="L67" s="537"/>
      <c r="M67" s="1378"/>
      <c r="N67" s="1149"/>
      <c r="O67" s="1149"/>
      <c r="P67" s="1425"/>
      <c r="Q67" s="1419"/>
      <c r="R67" s="1140"/>
      <c r="S67" s="1140"/>
      <c r="T67" s="1140"/>
      <c r="U67" s="1140"/>
      <c r="V67" s="1140"/>
      <c r="W67" s="1140"/>
      <c r="X67" s="1140"/>
      <c r="Y67" s="1140"/>
      <c r="Z67" s="1140"/>
      <c r="AA67" s="1140"/>
      <c r="AB67" s="1140"/>
      <c r="AC67" s="1140"/>
    </row>
    <row r="68" spans="1:29" ht="15.75" thickBot="1">
      <c r="A68" s="532"/>
      <c r="B68" s="544"/>
      <c r="C68" s="542">
        <v>100</v>
      </c>
      <c r="D68" s="542">
        <f>C68-$K18</f>
        <v>98</v>
      </c>
      <c r="E68" s="542">
        <f>D68-$K18</f>
        <v>96</v>
      </c>
      <c r="F68" s="542">
        <f>E68-$K18</f>
        <v>94</v>
      </c>
      <c r="G68" s="542">
        <f>F68-$K18</f>
        <v>92</v>
      </c>
      <c r="H68" s="658"/>
      <c r="I68" s="658"/>
      <c r="J68" s="658"/>
      <c r="K68" s="658"/>
      <c r="L68" s="658"/>
      <c r="M68" s="448"/>
      <c r="N68" s="1149"/>
      <c r="O68" s="1149"/>
      <c r="P68" s="1425"/>
      <c r="Q68" s="1419"/>
      <c r="R68" s="1140"/>
      <c r="S68" s="1140"/>
      <c r="T68" s="1140"/>
      <c r="U68" s="1140"/>
      <c r="V68" s="1140"/>
      <c r="W68" s="1140"/>
      <c r="X68" s="1140"/>
      <c r="Y68" s="1140"/>
      <c r="Z68" s="1140"/>
      <c r="AA68" s="1140"/>
      <c r="AB68" s="1140"/>
      <c r="AC68" s="1140"/>
    </row>
    <row r="69" spans="1:29" ht="15.75" thickTop="1">
      <c r="A69" s="532"/>
      <c r="B69" s="536" t="s">
        <v>2591</v>
      </c>
      <c r="C69" s="576" t="s">
        <v>2579</v>
      </c>
      <c r="D69" s="576" t="s">
        <v>2580</v>
      </c>
      <c r="E69" s="576" t="s">
        <v>2581</v>
      </c>
      <c r="F69" s="576" t="s">
        <v>2582</v>
      </c>
      <c r="G69" s="576" t="s">
        <v>2583</v>
      </c>
      <c r="H69" s="537"/>
      <c r="I69" s="537"/>
      <c r="J69" s="537"/>
      <c r="K69" s="538"/>
      <c r="L69" s="539"/>
      <c r="M69" s="540"/>
      <c r="N69" s="1148"/>
      <c r="O69" s="1148"/>
      <c r="P69" s="1425"/>
      <c r="Q69" s="1419"/>
      <c r="R69" s="1140"/>
      <c r="S69" s="1140"/>
      <c r="T69" s="1140"/>
      <c r="U69" s="1140"/>
      <c r="V69" s="1140"/>
      <c r="W69" s="1140"/>
      <c r="X69" s="1140"/>
      <c r="Y69" s="1140"/>
      <c r="Z69" s="1140"/>
      <c r="AA69" s="1140"/>
      <c r="AB69" s="1140"/>
      <c r="AC69" s="1140"/>
    </row>
    <row r="70" spans="1:29" ht="15.75" thickBot="1">
      <c r="A70" s="532"/>
      <c r="B70" s="541"/>
      <c r="C70" s="542">
        <v>100</v>
      </c>
      <c r="D70" s="542">
        <f>C70-$K20</f>
        <v>98</v>
      </c>
      <c r="E70" s="542">
        <f>D70-$K20</f>
        <v>96</v>
      </c>
      <c r="F70" s="542">
        <f>E70-$K20</f>
        <v>94</v>
      </c>
      <c r="G70" s="542">
        <f>F70-$K20</f>
        <v>92</v>
      </c>
      <c r="H70" s="542"/>
      <c r="I70" s="542"/>
      <c r="J70" s="542"/>
      <c r="K70" s="542"/>
      <c r="L70" s="542"/>
      <c r="M70" s="543"/>
      <c r="N70" s="1149"/>
      <c r="O70" s="1149"/>
      <c r="P70" s="1425"/>
      <c r="Q70" s="1419"/>
      <c r="R70" s="1140"/>
      <c r="S70" s="1140"/>
      <c r="T70" s="1140"/>
      <c r="U70" s="1140"/>
      <c r="V70" s="1140"/>
      <c r="W70" s="1140"/>
      <c r="X70" s="1140"/>
      <c r="Y70" s="1140"/>
      <c r="Z70" s="1140"/>
      <c r="AA70" s="1140"/>
      <c r="AB70" s="1140"/>
      <c r="AC70" s="1140"/>
    </row>
    <row r="71" spans="1:29" ht="15.75" thickTop="1">
      <c r="A71" s="532"/>
      <c r="B71" s="536" t="s">
        <v>2710</v>
      </c>
      <c r="C71" s="3072" t="s">
        <v>4691</v>
      </c>
      <c r="D71" s="552"/>
      <c r="E71" s="552"/>
      <c r="F71" s="552"/>
      <c r="G71" s="552"/>
      <c r="H71" s="581"/>
      <c r="I71" s="581"/>
      <c r="J71" s="581"/>
      <c r="K71" s="582"/>
      <c r="L71" s="583"/>
      <c r="M71" s="584"/>
      <c r="N71" s="1148"/>
      <c r="O71" s="1148"/>
      <c r="P71" s="1425"/>
      <c r="Q71" s="1419"/>
      <c r="R71" s="1140"/>
      <c r="S71" s="1140"/>
      <c r="T71" s="1140"/>
      <c r="U71" s="1140"/>
      <c r="V71" s="1140"/>
      <c r="W71" s="1140"/>
      <c r="X71" s="1140"/>
      <c r="Y71" s="1140"/>
      <c r="Z71" s="1140"/>
      <c r="AA71" s="1140"/>
      <c r="AB71" s="1140"/>
      <c r="AC71" s="1140"/>
    </row>
    <row r="72" spans="1:29" ht="15.75" thickBot="1">
      <c r="A72" s="532"/>
      <c r="B72" s="541"/>
      <c r="C72" s="542">
        <v>100</v>
      </c>
      <c r="D72" s="542">
        <f>C72-$K22</f>
        <v>98</v>
      </c>
      <c r="E72" s="542">
        <f>D72-$K22</f>
        <v>96</v>
      </c>
      <c r="F72" s="542">
        <f>E72-$K22</f>
        <v>94</v>
      </c>
      <c r="G72" s="542">
        <f>F72-$K22</f>
        <v>92</v>
      </c>
      <c r="H72" s="542"/>
      <c r="I72" s="542"/>
      <c r="J72" s="542"/>
      <c r="K72" s="542"/>
      <c r="L72" s="542"/>
      <c r="M72" s="543"/>
      <c r="N72" s="1149"/>
      <c r="O72" s="1149"/>
      <c r="P72" s="1425"/>
      <c r="Q72" s="1419"/>
      <c r="R72" s="1140"/>
      <c r="S72" s="1140"/>
      <c r="T72" s="1140"/>
      <c r="U72" s="1140"/>
      <c r="V72" s="1140"/>
      <c r="W72" s="1140"/>
      <c r="X72" s="1140"/>
      <c r="Y72" s="1140"/>
      <c r="Z72" s="1140"/>
      <c r="AA72" s="1140"/>
      <c r="AB72" s="1140"/>
      <c r="AC72" s="1140"/>
    </row>
    <row r="73" spans="1:29" s="115" customFormat="1" ht="15.75" thickTop="1">
      <c r="A73" s="577"/>
      <c r="B73" s="536">
        <f>B23</f>
        <v>111</v>
      </c>
      <c r="C73" s="547"/>
      <c r="D73" s="547"/>
      <c r="E73" s="547"/>
      <c r="F73" s="547"/>
      <c r="G73" s="552"/>
      <c r="H73" s="552"/>
      <c r="I73" s="552"/>
      <c r="J73" s="552"/>
      <c r="K73" s="552"/>
      <c r="L73" s="578"/>
      <c r="M73" s="579"/>
      <c r="N73" s="1147"/>
      <c r="O73" s="1147"/>
      <c r="P73" s="1425"/>
      <c r="Q73" s="1419"/>
      <c r="R73" s="1423"/>
      <c r="S73" s="1423"/>
      <c r="T73" s="1423"/>
      <c r="U73" s="1423"/>
      <c r="V73" s="1423"/>
      <c r="W73" s="1423"/>
      <c r="X73" s="1423"/>
      <c r="Y73" s="1423"/>
      <c r="Z73" s="1423"/>
      <c r="AA73" s="1423"/>
      <c r="AB73" s="1423"/>
      <c r="AC73" s="1423"/>
    </row>
    <row r="74" spans="1:29" s="115" customFormat="1" ht="15.75" thickBot="1">
      <c r="A74" s="577"/>
      <c r="B74" s="541"/>
      <c r="C74" s="558"/>
      <c r="D74" s="534"/>
      <c r="E74" s="534"/>
      <c r="F74" s="534"/>
      <c r="G74" s="534"/>
      <c r="H74" s="534"/>
      <c r="I74" s="534"/>
      <c r="J74" s="534"/>
      <c r="K74" s="534"/>
      <c r="L74" s="534"/>
      <c r="M74" s="535"/>
      <c r="N74" s="1149"/>
      <c r="O74" s="1149"/>
      <c r="P74" s="1425"/>
      <c r="Q74" s="1419"/>
      <c r="R74" s="1423"/>
      <c r="S74" s="1423"/>
      <c r="T74" s="1423"/>
      <c r="U74" s="1423"/>
      <c r="V74" s="1423"/>
      <c r="W74" s="1423"/>
      <c r="X74" s="1423"/>
      <c r="Y74" s="1423"/>
      <c r="Z74" s="1423"/>
      <c r="AA74" s="1423"/>
      <c r="AB74" s="1423"/>
      <c r="AC74" s="1423"/>
    </row>
    <row r="75" spans="1:29" s="115" customFormat="1" ht="15.75" thickTop="1">
      <c r="A75" s="577"/>
      <c r="B75" s="536">
        <f>B24</f>
        <v>111</v>
      </c>
      <c r="C75" s="547"/>
      <c r="D75" s="547"/>
      <c r="E75" s="547"/>
      <c r="F75" s="547"/>
      <c r="G75" s="552"/>
      <c r="H75" s="552"/>
      <c r="I75" s="552"/>
      <c r="J75" s="552"/>
      <c r="K75" s="552"/>
      <c r="L75" s="552"/>
      <c r="M75" s="579"/>
      <c r="N75" s="1147"/>
      <c r="O75" s="1147"/>
      <c r="P75" s="1425"/>
      <c r="Q75" s="1419"/>
      <c r="R75" s="1423"/>
      <c r="S75" s="1423"/>
      <c r="T75" s="1423"/>
      <c r="U75" s="1423"/>
      <c r="V75" s="1423"/>
      <c r="W75" s="1423"/>
      <c r="X75" s="1423"/>
      <c r="Y75" s="1423"/>
      <c r="Z75" s="1423"/>
      <c r="AA75" s="1423"/>
      <c r="AB75" s="1423"/>
      <c r="AC75" s="1423"/>
    </row>
    <row r="76" spans="1:29" s="115" customFormat="1" ht="15.75" thickBot="1">
      <c r="A76" s="577"/>
      <c r="B76" s="541"/>
      <c r="C76" s="558"/>
      <c r="D76" s="534"/>
      <c r="E76" s="534"/>
      <c r="F76" s="534"/>
      <c r="G76" s="534"/>
      <c r="H76" s="534"/>
      <c r="I76" s="534"/>
      <c r="J76" s="534"/>
      <c r="K76" s="534"/>
      <c r="L76" s="534"/>
      <c r="M76" s="535"/>
      <c r="N76" s="1149"/>
      <c r="O76" s="1149"/>
      <c r="P76" s="1425"/>
      <c r="Q76" s="1419"/>
      <c r="R76" s="1423"/>
      <c r="S76" s="1423"/>
      <c r="T76" s="1423"/>
      <c r="U76" s="1423"/>
      <c r="V76" s="1423"/>
      <c r="W76" s="1423"/>
      <c r="X76" s="1423"/>
      <c r="Y76" s="1423"/>
      <c r="Z76" s="1423"/>
      <c r="AA76" s="1423"/>
      <c r="AB76" s="1423"/>
      <c r="AC76" s="1423"/>
    </row>
    <row r="77" spans="1:29" s="469" customFormat="1" ht="15.75" thickTop="1">
      <c r="A77" s="551"/>
      <c r="B77" s="536">
        <f>B25</f>
        <v>111</v>
      </c>
      <c r="C77" s="552"/>
      <c r="D77" s="552"/>
      <c r="E77" s="552"/>
      <c r="F77" s="552"/>
      <c r="G77" s="552"/>
      <c r="H77" s="553"/>
      <c r="I77" s="553"/>
      <c r="J77" s="553"/>
      <c r="K77" s="553"/>
      <c r="L77" s="554"/>
      <c r="M77" s="555"/>
      <c r="N77" s="1150"/>
      <c r="O77" s="1150"/>
      <c r="P77" s="1426"/>
      <c r="Q77" s="1427"/>
      <c r="R77" s="1428"/>
      <c r="S77" s="1428"/>
      <c r="T77" s="1428"/>
      <c r="U77" s="1428"/>
      <c r="V77" s="1428"/>
      <c r="W77" s="1428"/>
      <c r="X77" s="1428"/>
      <c r="Y77" s="1428"/>
      <c r="Z77" s="1428"/>
      <c r="AA77" s="1428"/>
      <c r="AB77" s="1428"/>
      <c r="AC77" s="1428"/>
    </row>
    <row r="78" spans="1:29" s="469" customFormat="1" ht="15.75" thickBot="1">
      <c r="A78" s="551"/>
      <c r="B78" s="541"/>
      <c r="C78" s="558"/>
      <c r="D78" s="558"/>
      <c r="E78" s="558"/>
      <c r="F78" s="558"/>
      <c r="G78" s="534"/>
      <c r="H78" s="534"/>
      <c r="I78" s="534"/>
      <c r="J78" s="534"/>
      <c r="K78" s="534"/>
      <c r="L78" s="534"/>
      <c r="M78" s="535"/>
      <c r="N78" s="1150"/>
      <c r="O78" s="1150"/>
      <c r="P78" s="1426"/>
      <c r="Q78" s="1427"/>
      <c r="R78" s="1428"/>
      <c r="S78" s="1428"/>
      <c r="T78" s="1428"/>
      <c r="U78" s="1428"/>
      <c r="V78" s="1428"/>
      <c r="W78" s="1428"/>
      <c r="X78" s="1428"/>
      <c r="Y78" s="1428"/>
      <c r="Z78" s="1428"/>
      <c r="AA78" s="1428"/>
      <c r="AB78" s="1428"/>
      <c r="AC78" s="1428"/>
    </row>
    <row r="79" spans="1:29" ht="27.75" thickTop="1">
      <c r="A79" s="525" t="s">
        <v>2545</v>
      </c>
      <c r="B79" s="526" t="s">
        <v>2711</v>
      </c>
      <c r="C79" s="527" t="str">
        <f>C26</f>
        <v>住宅</v>
      </c>
      <c r="D79" s="528"/>
      <c r="E79" s="528"/>
      <c r="F79" s="528"/>
      <c r="G79" s="528"/>
      <c r="H79" s="528"/>
      <c r="I79" s="528"/>
      <c r="J79" s="528"/>
      <c r="K79" s="529"/>
      <c r="L79" s="530"/>
      <c r="M79" s="531"/>
      <c r="N79" s="1148"/>
      <c r="O79" s="1148"/>
      <c r="P79" s="1425"/>
      <c r="Q79" s="1419"/>
      <c r="R79" s="1140"/>
      <c r="S79" s="1140"/>
      <c r="T79" s="1140"/>
      <c r="U79" s="1140"/>
      <c r="V79" s="1140"/>
      <c r="W79" s="1140"/>
      <c r="X79" s="1140"/>
      <c r="Y79" s="1140"/>
      <c r="Z79" s="1140"/>
      <c r="AA79" s="1140"/>
      <c r="AB79" s="1140"/>
      <c r="AC79" s="1140"/>
    </row>
    <row r="80" spans="1:29" ht="15.75" thickBot="1">
      <c r="A80" s="532"/>
      <c r="B80" s="541"/>
      <c r="C80" s="542">
        <v>100</v>
      </c>
      <c r="D80" s="542">
        <f t="shared" ref="D80:M80" si="18">C80-$K26</f>
        <v>95</v>
      </c>
      <c r="E80" s="542">
        <f t="shared" si="18"/>
        <v>90</v>
      </c>
      <c r="F80" s="542">
        <f t="shared" si="18"/>
        <v>85</v>
      </c>
      <c r="G80" s="542">
        <f t="shared" si="18"/>
        <v>80</v>
      </c>
      <c r="H80" s="542">
        <f t="shared" si="18"/>
        <v>75</v>
      </c>
      <c r="I80" s="542">
        <f t="shared" si="18"/>
        <v>70</v>
      </c>
      <c r="J80" s="542">
        <f t="shared" si="18"/>
        <v>65</v>
      </c>
      <c r="K80" s="542">
        <f t="shared" si="18"/>
        <v>60</v>
      </c>
      <c r="L80" s="542">
        <f t="shared" si="18"/>
        <v>55</v>
      </c>
      <c r="M80" s="543">
        <f t="shared" si="18"/>
        <v>50</v>
      </c>
      <c r="N80" s="1149"/>
      <c r="O80" s="1149"/>
      <c r="P80" s="1425"/>
      <c r="Q80" s="1419"/>
      <c r="R80" s="1140"/>
      <c r="S80" s="1140"/>
      <c r="T80" s="1140"/>
      <c r="U80" s="1140"/>
      <c r="V80" s="1140"/>
      <c r="W80" s="1140"/>
      <c r="X80" s="1140"/>
      <c r="Y80" s="1140"/>
      <c r="Z80" s="1140"/>
      <c r="AA80" s="1140"/>
      <c r="AB80" s="1140"/>
      <c r="AC80" s="1140"/>
    </row>
    <row r="81" spans="1:29" ht="15.75" thickTop="1">
      <c r="A81" s="532"/>
      <c r="B81" s="536" t="s">
        <v>2712</v>
      </c>
      <c r="C81" s="659" t="s">
        <v>4722</v>
      </c>
      <c r="D81" s="659" t="s">
        <v>4725</v>
      </c>
      <c r="E81" s="659" t="s">
        <v>4723</v>
      </c>
      <c r="F81" s="659" t="s">
        <v>4726</v>
      </c>
      <c r="G81" s="659"/>
      <c r="H81" s="659"/>
      <c r="I81" s="659"/>
      <c r="J81" s="659"/>
      <c r="K81" s="660"/>
      <c r="L81" s="661"/>
      <c r="M81" s="662"/>
      <c r="N81" s="1147"/>
      <c r="O81" s="1147"/>
      <c r="P81" s="1425"/>
      <c r="Q81" s="1419"/>
      <c r="R81" s="1140"/>
      <c r="S81" s="1140"/>
      <c r="T81" s="1140"/>
      <c r="U81" s="1140"/>
      <c r="V81" s="1140"/>
      <c r="W81" s="1140"/>
      <c r="X81" s="1140"/>
      <c r="Y81" s="1140"/>
      <c r="Z81" s="1140"/>
      <c r="AA81" s="1140"/>
      <c r="AB81" s="1140"/>
      <c r="AC81" s="1140"/>
    </row>
    <row r="82" spans="1:29" s="469" customFormat="1" ht="15.75" thickBot="1">
      <c r="A82" s="551"/>
      <c r="B82" s="541"/>
      <c r="C82" s="558">
        <v>100</v>
      </c>
      <c r="D82" s="534">
        <v>95</v>
      </c>
      <c r="E82" s="534">
        <v>90</v>
      </c>
      <c r="F82" s="534">
        <v>90</v>
      </c>
      <c r="G82" s="534"/>
      <c r="H82" s="534"/>
      <c r="I82" s="534"/>
      <c r="J82" s="534"/>
      <c r="K82" s="534"/>
      <c r="L82" s="534"/>
      <c r="M82" s="535"/>
      <c r="N82" s="1149"/>
      <c r="O82" s="1149"/>
      <c r="P82" s="1426"/>
      <c r="Q82" s="1427"/>
      <c r="R82" s="1428"/>
      <c r="S82" s="1428"/>
      <c r="T82" s="1428"/>
      <c r="U82" s="1428"/>
      <c r="V82" s="1428"/>
      <c r="W82" s="1428"/>
      <c r="X82" s="1428"/>
      <c r="Y82" s="1428"/>
      <c r="Z82" s="1428"/>
      <c r="AA82" s="1428"/>
      <c r="AB82" s="1428"/>
      <c r="AC82" s="1428"/>
    </row>
    <row r="83" spans="1:29" ht="15" thickTop="1">
      <c r="A83" s="597"/>
      <c r="B83" s="536" t="s">
        <v>2598</v>
      </c>
      <c r="C83" s="3072" t="s">
        <v>4692</v>
      </c>
      <c r="D83" s="3072" t="s">
        <v>4694</v>
      </c>
      <c r="E83" s="581"/>
      <c r="F83" s="581"/>
      <c r="G83" s="581"/>
      <c r="H83" s="581"/>
      <c r="I83" s="581"/>
      <c r="J83" s="581"/>
      <c r="K83" s="582"/>
      <c r="L83" s="583"/>
      <c r="M83" s="584"/>
      <c r="N83" s="1148"/>
      <c r="O83" s="1148"/>
      <c r="P83" s="1425"/>
      <c r="Q83" s="1419"/>
      <c r="R83" s="1140"/>
      <c r="S83" s="1140"/>
      <c r="T83" s="1140"/>
      <c r="U83" s="1140"/>
      <c r="V83" s="1140"/>
      <c r="W83" s="1140"/>
      <c r="X83" s="1140"/>
      <c r="Y83" s="1140"/>
      <c r="Z83" s="1140"/>
      <c r="AA83" s="1140"/>
      <c r="AB83" s="1140"/>
      <c r="AC83" s="1140"/>
    </row>
    <row r="84" spans="1:29" ht="15.75" thickBot="1">
      <c r="A84" s="532"/>
      <c r="B84" s="541"/>
      <c r="C84" s="542">
        <v>100</v>
      </c>
      <c r="D84" s="542">
        <f t="shared" ref="D84:M84" si="19">C84-$K28</f>
        <v>98</v>
      </c>
      <c r="E84" s="542">
        <f t="shared" si="19"/>
        <v>96</v>
      </c>
      <c r="F84" s="542">
        <f t="shared" si="19"/>
        <v>94</v>
      </c>
      <c r="G84" s="542">
        <f t="shared" si="19"/>
        <v>92</v>
      </c>
      <c r="H84" s="542">
        <f t="shared" si="19"/>
        <v>90</v>
      </c>
      <c r="I84" s="542">
        <f t="shared" si="19"/>
        <v>88</v>
      </c>
      <c r="J84" s="542">
        <f t="shared" si="19"/>
        <v>86</v>
      </c>
      <c r="K84" s="542">
        <f t="shared" si="19"/>
        <v>84</v>
      </c>
      <c r="L84" s="542">
        <f t="shared" si="19"/>
        <v>82</v>
      </c>
      <c r="M84" s="543">
        <f t="shared" si="19"/>
        <v>80</v>
      </c>
      <c r="N84" s="1149"/>
      <c r="O84" s="1149"/>
      <c r="P84" s="1425"/>
      <c r="Q84" s="1419"/>
      <c r="R84" s="1140"/>
      <c r="S84" s="1140"/>
      <c r="T84" s="1140"/>
      <c r="U84" s="1140"/>
      <c r="V84" s="1140"/>
      <c r="W84" s="1140"/>
      <c r="X84" s="1140"/>
      <c r="Y84" s="1140"/>
      <c r="Z84" s="1140"/>
      <c r="AA84" s="1140"/>
      <c r="AB84" s="1140"/>
      <c r="AC84" s="1140"/>
    </row>
    <row r="85" spans="1:29" ht="15" thickTop="1">
      <c r="A85" s="597"/>
      <c r="B85" s="536" t="s">
        <v>2713</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8"/>
      <c r="O85" s="1148"/>
      <c r="P85" s="1425"/>
      <c r="Q85" s="1419"/>
      <c r="R85" s="1140"/>
      <c r="S85" s="1140"/>
      <c r="T85" s="1140"/>
      <c r="U85" s="1140"/>
      <c r="V85" s="1140"/>
      <c r="W85" s="1140"/>
      <c r="X85" s="1140"/>
      <c r="Y85" s="1140"/>
      <c r="Z85" s="1140"/>
      <c r="AA85" s="1140"/>
      <c r="AB85" s="1140"/>
      <c r="AC85" s="1140"/>
    </row>
    <row r="86" spans="1:29">
      <c r="A86" s="597"/>
      <c r="B86" s="544"/>
      <c r="C86" s="601">
        <v>0.5</v>
      </c>
      <c r="D86" s="601">
        <v>0.6</v>
      </c>
      <c r="E86" s="601">
        <v>0.7</v>
      </c>
      <c r="F86" s="601">
        <v>0.8</v>
      </c>
      <c r="G86" s="601">
        <v>0.9</v>
      </c>
      <c r="H86" s="601">
        <v>1.0001</v>
      </c>
      <c r="I86" s="621"/>
      <c r="J86" s="621"/>
      <c r="K86" s="622"/>
      <c r="L86" s="623"/>
      <c r="M86" s="624"/>
      <c r="N86" s="1148"/>
      <c r="O86" s="1148"/>
      <c r="P86" s="1425"/>
      <c r="Q86" s="1419"/>
      <c r="R86" s="1140"/>
      <c r="S86" s="1140"/>
      <c r="T86" s="1140"/>
      <c r="U86" s="1140"/>
      <c r="V86" s="1140"/>
      <c r="W86" s="1140"/>
      <c r="X86" s="1140"/>
      <c r="Y86" s="1140"/>
      <c r="Z86" s="1140"/>
      <c r="AA86" s="1140"/>
      <c r="AB86" s="1140"/>
      <c r="AC86" s="1140"/>
    </row>
    <row r="87" spans="1:29" ht="15.75" thickBot="1">
      <c r="A87" s="532"/>
      <c r="B87" s="541"/>
      <c r="C87" s="580">
        <v>100</v>
      </c>
      <c r="D87" s="542">
        <f>C87+$K$29</f>
        <v>102</v>
      </c>
      <c r="E87" s="542">
        <f t="shared" ref="E87:M87" si="20">D87+$K$29</f>
        <v>104</v>
      </c>
      <c r="F87" s="542">
        <f t="shared" si="20"/>
        <v>106</v>
      </c>
      <c r="G87" s="542">
        <f t="shared" si="20"/>
        <v>108</v>
      </c>
      <c r="H87" s="542">
        <f t="shared" si="20"/>
        <v>110</v>
      </c>
      <c r="I87" s="542">
        <f t="shared" si="20"/>
        <v>112</v>
      </c>
      <c r="J87" s="542">
        <f t="shared" si="20"/>
        <v>114</v>
      </c>
      <c r="K87" s="542">
        <f t="shared" si="20"/>
        <v>116</v>
      </c>
      <c r="L87" s="542">
        <f t="shared" si="20"/>
        <v>118</v>
      </c>
      <c r="M87" s="542">
        <f t="shared" si="20"/>
        <v>120</v>
      </c>
      <c r="N87" s="1149"/>
      <c r="O87" s="1149"/>
      <c r="P87" s="1425"/>
      <c r="Q87" s="1419"/>
      <c r="R87" s="1140"/>
      <c r="S87" s="1140"/>
      <c r="T87" s="1140"/>
      <c r="U87" s="1140"/>
      <c r="V87" s="1140"/>
      <c r="W87" s="1140"/>
      <c r="X87" s="1140"/>
      <c r="Y87" s="1140"/>
      <c r="Z87" s="1140"/>
      <c r="AA87" s="1140"/>
      <c r="AB87" s="1140"/>
      <c r="AC87" s="1140"/>
    </row>
    <row r="88" spans="1:29" ht="15" thickTop="1">
      <c r="A88" s="597"/>
      <c r="B88" s="544" t="s">
        <v>2714</v>
      </c>
      <c r="C88" s="3071" t="s">
        <v>4701</v>
      </c>
      <c r="D88" s="528"/>
      <c r="E88" s="528"/>
      <c r="F88" s="528"/>
      <c r="G88" s="528"/>
      <c r="H88" s="528"/>
      <c r="I88" s="528"/>
      <c r="J88" s="528"/>
      <c r="K88" s="529"/>
      <c r="L88" s="530"/>
      <c r="M88" s="531"/>
      <c r="N88" s="1148"/>
      <c r="O88" s="1148"/>
      <c r="P88" s="1425"/>
      <c r="Q88" s="1419"/>
      <c r="R88" s="1140"/>
      <c r="S88" s="1140"/>
      <c r="T88" s="1140"/>
      <c r="U88" s="1140"/>
      <c r="V88" s="1140"/>
      <c r="W88" s="1140"/>
      <c r="X88" s="1140"/>
      <c r="Y88" s="1140"/>
      <c r="Z88" s="1140"/>
      <c r="AA88" s="1140"/>
      <c r="AB88" s="1140"/>
      <c r="AC88" s="1140"/>
    </row>
    <row r="89" spans="1:29" ht="15.75" thickBot="1">
      <c r="A89" s="532"/>
      <c r="B89" s="541"/>
      <c r="C89" s="580">
        <v>100</v>
      </c>
      <c r="D89" s="542">
        <f t="shared" ref="D89:M89" si="21">C89+$K30</f>
        <v>102</v>
      </c>
      <c r="E89" s="542">
        <f t="shared" si="21"/>
        <v>104</v>
      </c>
      <c r="F89" s="542">
        <f t="shared" si="21"/>
        <v>106</v>
      </c>
      <c r="G89" s="542">
        <f t="shared" si="21"/>
        <v>108</v>
      </c>
      <c r="H89" s="542">
        <f t="shared" si="21"/>
        <v>110</v>
      </c>
      <c r="I89" s="542">
        <f t="shared" si="21"/>
        <v>112</v>
      </c>
      <c r="J89" s="542">
        <f t="shared" si="21"/>
        <v>114</v>
      </c>
      <c r="K89" s="542">
        <f t="shared" si="21"/>
        <v>116</v>
      </c>
      <c r="L89" s="542">
        <f t="shared" si="21"/>
        <v>118</v>
      </c>
      <c r="M89" s="542">
        <f t="shared" si="21"/>
        <v>120</v>
      </c>
      <c r="N89" s="1149"/>
      <c r="O89" s="1149"/>
      <c r="P89" s="1425"/>
      <c r="Q89" s="1419"/>
      <c r="R89" s="1140"/>
      <c r="S89" s="1140"/>
      <c r="T89" s="1140"/>
      <c r="U89" s="1140"/>
      <c r="V89" s="1140"/>
      <c r="W89" s="1140"/>
      <c r="X89" s="1140"/>
      <c r="Y89" s="1140"/>
      <c r="Z89" s="1140"/>
      <c r="AA89" s="1140"/>
      <c r="AB89" s="1140"/>
      <c r="AC89" s="1140"/>
    </row>
    <row r="90" spans="1:29" s="469" customFormat="1" ht="15" thickTop="1">
      <c r="A90" s="591"/>
      <c r="B90" s="536" t="s">
        <v>2715</v>
      </c>
      <c r="C90" s="576" t="str">
        <f>C91&amp;"(含)"&amp;"-"&amp;D91</f>
        <v>0(含)-30</v>
      </c>
      <c r="D90" s="576" t="str">
        <f t="shared" ref="D90:L90" si="22">D91&amp;"(含)"&amp;"-"&amp;E91</f>
        <v>30(含)-50</v>
      </c>
      <c r="E90" s="576" t="str">
        <f t="shared" si="22"/>
        <v>50(含)-80</v>
      </c>
      <c r="F90" s="576" t="str">
        <f t="shared" si="22"/>
        <v>80(含)-</v>
      </c>
      <c r="G90" s="576" t="str">
        <f t="shared" si="22"/>
        <v>(含)-</v>
      </c>
      <c r="H90" s="576" t="str">
        <f t="shared" si="22"/>
        <v>(含)-</v>
      </c>
      <c r="I90" s="576" t="str">
        <f t="shared" si="22"/>
        <v>(含)-</v>
      </c>
      <c r="J90" s="576" t="str">
        <f t="shared" si="22"/>
        <v>(含)-</v>
      </c>
      <c r="K90" s="576" t="str">
        <f t="shared" si="22"/>
        <v>(含)-</v>
      </c>
      <c r="L90" s="576" t="str">
        <f t="shared" si="22"/>
        <v>(含)-</v>
      </c>
      <c r="M90" s="620" t="str">
        <f>M91&amp;"(含)"&amp;"-"&amp;P91</f>
        <v>(含)-</v>
      </c>
      <c r="N90" s="1150"/>
      <c r="O90" s="1150"/>
      <c r="P90" s="1426"/>
      <c r="Q90" s="1427"/>
      <c r="R90" s="1428"/>
      <c r="S90" s="1428"/>
      <c r="T90" s="1428"/>
      <c r="U90" s="1428"/>
      <c r="V90" s="1428"/>
      <c r="W90" s="1428"/>
      <c r="X90" s="1428"/>
      <c r="Y90" s="1428"/>
      <c r="Z90" s="1428"/>
      <c r="AA90" s="1428"/>
      <c r="AB90" s="1428"/>
      <c r="AC90" s="1428"/>
    </row>
    <row r="91" spans="1:29" s="469" customFormat="1">
      <c r="A91" s="591"/>
      <c r="B91" s="544"/>
      <c r="C91" s="593">
        <v>0</v>
      </c>
      <c r="D91" s="593">
        <v>30</v>
      </c>
      <c r="E91" s="593">
        <v>50</v>
      </c>
      <c r="F91" s="593">
        <v>80</v>
      </c>
      <c r="G91" s="593"/>
      <c r="H91" s="593"/>
      <c r="I91" s="593"/>
      <c r="J91" s="594"/>
      <c r="K91" s="594"/>
      <c r="L91" s="595"/>
      <c r="M91" s="596"/>
      <c r="N91" s="1150"/>
      <c r="O91" s="1150"/>
      <c r="P91" s="1426"/>
      <c r="Q91" s="1427"/>
      <c r="R91" s="1428"/>
      <c r="S91" s="1428"/>
      <c r="T91" s="1428"/>
      <c r="U91" s="1428"/>
      <c r="V91" s="1428"/>
      <c r="W91" s="1428"/>
      <c r="X91" s="1428"/>
      <c r="Y91" s="1428"/>
      <c r="Z91" s="1428"/>
      <c r="AA91" s="1428"/>
      <c r="AB91" s="1428"/>
      <c r="AC91" s="1428"/>
    </row>
    <row r="92" spans="1:29" s="469" customFormat="1" ht="15.75" thickBot="1">
      <c r="A92" s="551"/>
      <c r="B92" s="541"/>
      <c r="C92" s="558">
        <v>100</v>
      </c>
      <c r="D92" s="534">
        <v>100</v>
      </c>
      <c r="E92" s="534">
        <v>100</v>
      </c>
      <c r="F92" s="534">
        <v>100</v>
      </c>
      <c r="G92" s="534"/>
      <c r="H92" s="534"/>
      <c r="I92" s="534"/>
      <c r="J92" s="534"/>
      <c r="K92" s="534"/>
      <c r="L92" s="534"/>
      <c r="M92" s="535"/>
      <c r="N92" s="1150"/>
      <c r="O92" s="1150"/>
      <c r="P92" s="1426"/>
      <c r="Q92" s="1427"/>
      <c r="R92" s="1428"/>
      <c r="S92" s="1428"/>
      <c r="T92" s="1428"/>
      <c r="U92" s="1428"/>
      <c r="V92" s="1428"/>
      <c r="W92" s="1428"/>
      <c r="X92" s="1428"/>
      <c r="Y92" s="1428"/>
      <c r="Z92" s="1428"/>
      <c r="AA92" s="1428"/>
      <c r="AB92" s="1428"/>
      <c r="AC92" s="1428"/>
    </row>
    <row r="93" spans="1:29" ht="15" thickTop="1">
      <c r="A93" s="597"/>
      <c r="B93" s="536" t="s">
        <v>2716</v>
      </c>
      <c r="C93" s="3072" t="s">
        <v>4699</v>
      </c>
      <c r="D93" s="552"/>
      <c r="E93" s="581"/>
      <c r="F93" s="581"/>
      <c r="G93" s="581"/>
      <c r="H93" s="581"/>
      <c r="I93" s="581"/>
      <c r="J93" s="581"/>
      <c r="K93" s="582"/>
      <c r="L93" s="583"/>
      <c r="M93" s="584"/>
      <c r="N93" s="1148"/>
      <c r="O93" s="1148"/>
      <c r="P93" s="1425"/>
      <c r="Q93" s="1419"/>
      <c r="R93" s="1140"/>
      <c r="S93" s="1140"/>
      <c r="T93" s="1140"/>
      <c r="U93" s="1140"/>
      <c r="V93" s="1140"/>
      <c r="W93" s="1140"/>
      <c r="X93" s="1140"/>
      <c r="Y93" s="1140"/>
      <c r="Z93" s="1140"/>
      <c r="AA93" s="1140"/>
      <c r="AB93" s="1140"/>
      <c r="AC93" s="1140"/>
    </row>
    <row r="94" spans="1:29" ht="15.75" thickBot="1">
      <c r="A94" s="532"/>
      <c r="B94" s="541"/>
      <c r="C94" s="542">
        <v>100</v>
      </c>
      <c r="D94" s="542">
        <f t="shared" ref="D94:M94" si="23">C94-$K32</f>
        <v>98</v>
      </c>
      <c r="E94" s="542">
        <f t="shared" si="23"/>
        <v>96</v>
      </c>
      <c r="F94" s="542">
        <f t="shared" si="23"/>
        <v>94</v>
      </c>
      <c r="G94" s="542">
        <f t="shared" si="23"/>
        <v>92</v>
      </c>
      <c r="H94" s="542">
        <f t="shared" si="23"/>
        <v>90</v>
      </c>
      <c r="I94" s="542">
        <f t="shared" si="23"/>
        <v>88</v>
      </c>
      <c r="J94" s="542">
        <f t="shared" si="23"/>
        <v>86</v>
      </c>
      <c r="K94" s="542">
        <f t="shared" si="23"/>
        <v>84</v>
      </c>
      <c r="L94" s="542">
        <f t="shared" si="23"/>
        <v>82</v>
      </c>
      <c r="M94" s="543">
        <f t="shared" si="23"/>
        <v>80</v>
      </c>
      <c r="N94" s="1149"/>
      <c r="O94" s="1149"/>
      <c r="P94" s="1425"/>
      <c r="Q94" s="1419"/>
      <c r="R94" s="1140"/>
      <c r="S94" s="1140"/>
      <c r="T94" s="1140"/>
      <c r="U94" s="1140"/>
      <c r="V94" s="1140"/>
      <c r="W94" s="1140"/>
      <c r="X94" s="1140"/>
      <c r="Y94" s="1140"/>
      <c r="Z94" s="1140"/>
      <c r="AA94" s="1140"/>
      <c r="AB94" s="1140"/>
      <c r="AC94" s="1140"/>
    </row>
    <row r="95" spans="1:29" ht="15" thickTop="1">
      <c r="A95" s="597"/>
      <c r="B95" s="536" t="s">
        <v>2717</v>
      </c>
      <c r="C95" s="3071" t="s">
        <v>4696</v>
      </c>
      <c r="D95" s="3071" t="s">
        <v>4697</v>
      </c>
      <c r="E95" s="528"/>
      <c r="F95" s="528"/>
      <c r="G95" s="528"/>
      <c r="H95" s="528"/>
      <c r="I95" s="528"/>
      <c r="J95" s="528"/>
      <c r="K95" s="529"/>
      <c r="L95" s="530"/>
      <c r="M95" s="531"/>
      <c r="N95" s="1148"/>
      <c r="O95" s="1148"/>
      <c r="P95" s="1425"/>
      <c r="Q95" s="1419"/>
      <c r="R95" s="1140"/>
      <c r="S95" s="1140"/>
      <c r="T95" s="1140"/>
      <c r="U95" s="1140"/>
      <c r="V95" s="1140"/>
      <c r="W95" s="1140"/>
      <c r="X95" s="1140"/>
      <c r="Y95" s="1140"/>
      <c r="Z95" s="1140"/>
      <c r="AA95" s="1140"/>
      <c r="AB95" s="1140"/>
      <c r="AC95" s="1140"/>
    </row>
    <row r="96" spans="1:29" ht="15.75" thickBot="1">
      <c r="A96" s="532"/>
      <c r="B96" s="541"/>
      <c r="C96" s="542">
        <v>100</v>
      </c>
      <c r="D96" s="542">
        <f>C96-$K33</f>
        <v>98</v>
      </c>
      <c r="E96" s="542">
        <f>D96-$K33</f>
        <v>96</v>
      </c>
      <c r="F96" s="542">
        <f>E96-$K33</f>
        <v>94</v>
      </c>
      <c r="G96" s="542">
        <f>F96-$K33</f>
        <v>92</v>
      </c>
      <c r="H96" s="542"/>
      <c r="I96" s="542"/>
      <c r="J96" s="542"/>
      <c r="K96" s="542"/>
      <c r="L96" s="542"/>
      <c r="M96" s="543"/>
      <c r="N96" s="1149"/>
      <c r="O96" s="1149"/>
      <c r="P96" s="1425"/>
      <c r="Q96" s="1419"/>
      <c r="R96" s="1140"/>
      <c r="S96" s="1140"/>
      <c r="T96" s="1140"/>
      <c r="U96" s="1140"/>
      <c r="V96" s="1140"/>
      <c r="W96" s="1140"/>
      <c r="X96" s="1140"/>
      <c r="Y96" s="1140"/>
      <c r="Z96" s="1140"/>
      <c r="AA96" s="1140"/>
      <c r="AB96" s="1140"/>
      <c r="AC96" s="1140"/>
    </row>
    <row r="97" spans="1:29" ht="15" thickTop="1">
      <c r="A97" s="597"/>
      <c r="B97" s="634" t="str">
        <f>B34</f>
        <v>期房现房</v>
      </c>
      <c r="C97" s="3079" t="s">
        <v>4705</v>
      </c>
      <c r="D97" s="3079" t="s">
        <v>4703</v>
      </c>
      <c r="E97" s="547"/>
      <c r="F97" s="547"/>
      <c r="G97" s="552"/>
      <c r="H97" s="553"/>
      <c r="I97" s="553"/>
      <c r="J97" s="553"/>
      <c r="K97" s="553"/>
      <c r="L97" s="554"/>
      <c r="M97" s="555"/>
      <c r="N97" s="1149"/>
      <c r="O97" s="1149"/>
      <c r="P97" s="1432"/>
      <c r="Q97" s="1433"/>
      <c r="R97" s="1140"/>
      <c r="S97" s="1140"/>
      <c r="T97" s="1140"/>
      <c r="U97" s="1140"/>
      <c r="V97" s="1140"/>
      <c r="W97" s="1140"/>
      <c r="X97" s="1140"/>
      <c r="Y97" s="1140"/>
      <c r="Z97" s="1140"/>
      <c r="AA97" s="1140"/>
      <c r="AB97" s="1140"/>
      <c r="AC97" s="1140"/>
    </row>
    <row r="98" spans="1:29" ht="15.75" thickBot="1">
      <c r="A98" s="532"/>
      <c r="B98" s="541"/>
      <c r="C98" s="558">
        <v>100</v>
      </c>
      <c r="D98" s="534">
        <v>95</v>
      </c>
      <c r="E98" s="534"/>
      <c r="F98" s="534"/>
      <c r="G98" s="558"/>
      <c r="H98" s="560"/>
      <c r="I98" s="560"/>
      <c r="J98" s="560"/>
      <c r="K98" s="560"/>
      <c r="L98" s="560"/>
      <c r="M98" s="561"/>
      <c r="N98" s="1149"/>
      <c r="O98" s="1149"/>
      <c r="P98" s="1425"/>
      <c r="Q98" s="1419"/>
      <c r="R98" s="1140"/>
      <c r="S98" s="1140"/>
      <c r="T98" s="1140"/>
      <c r="U98" s="1140"/>
      <c r="V98" s="1140"/>
      <c r="W98" s="1140"/>
      <c r="X98" s="1140"/>
      <c r="Y98" s="1140"/>
      <c r="Z98" s="1140"/>
      <c r="AA98" s="1140"/>
      <c r="AB98" s="1140"/>
      <c r="AC98" s="1140"/>
    </row>
    <row r="99" spans="1:29" s="469" customFormat="1" ht="15" thickTop="1">
      <c r="A99" s="591"/>
      <c r="B99" s="536">
        <f>B35</f>
        <v>111</v>
      </c>
      <c r="C99" s="547"/>
      <c r="D99" s="547"/>
      <c r="E99" s="547"/>
      <c r="F99" s="547"/>
      <c r="G99" s="552"/>
      <c r="H99" s="553"/>
      <c r="I99" s="553"/>
      <c r="J99" s="553"/>
      <c r="K99" s="553"/>
      <c r="L99" s="554"/>
      <c r="M99" s="555"/>
      <c r="N99" s="1150"/>
      <c r="O99" s="1150"/>
      <c r="P99" s="1426"/>
      <c r="Q99" s="1427"/>
      <c r="R99" s="1428"/>
      <c r="S99" s="1428"/>
      <c r="T99" s="1428"/>
      <c r="U99" s="1428"/>
      <c r="V99" s="1428"/>
      <c r="W99" s="1428"/>
      <c r="X99" s="1428"/>
      <c r="Y99" s="1428"/>
      <c r="Z99" s="1428"/>
      <c r="AA99" s="1428"/>
      <c r="AB99" s="1428"/>
      <c r="AC99" s="1428"/>
    </row>
    <row r="100" spans="1:29" s="469" customFormat="1" ht="15.75" thickBot="1">
      <c r="A100" s="551"/>
      <c r="B100" s="533"/>
      <c r="C100" s="558"/>
      <c r="D100" s="534"/>
      <c r="E100" s="534"/>
      <c r="F100" s="534"/>
      <c r="G100" s="558"/>
      <c r="H100" s="560"/>
      <c r="I100" s="560"/>
      <c r="J100" s="560"/>
      <c r="K100" s="560"/>
      <c r="L100" s="560"/>
      <c r="M100" s="561"/>
      <c r="N100" s="1150"/>
      <c r="O100" s="1150"/>
      <c r="P100" s="1426"/>
      <c r="Q100" s="1427"/>
      <c r="R100" s="1428"/>
      <c r="S100" s="1428"/>
      <c r="T100" s="1428"/>
      <c r="U100" s="1428"/>
      <c r="V100" s="1428"/>
      <c r="W100" s="1428"/>
      <c r="X100" s="1428"/>
      <c r="Y100" s="1428"/>
      <c r="Z100" s="1428"/>
      <c r="AA100" s="1428"/>
      <c r="AB100" s="1428"/>
      <c r="AC100" s="1428"/>
    </row>
    <row r="101" spans="1:29" ht="15" thickTop="1">
      <c r="A101" s="597"/>
      <c r="B101" s="536">
        <f>B36</f>
        <v>111</v>
      </c>
      <c r="C101" s="552"/>
      <c r="D101" s="552"/>
      <c r="E101" s="552"/>
      <c r="F101" s="552"/>
      <c r="G101" s="552"/>
      <c r="H101" s="553"/>
      <c r="I101" s="553"/>
      <c r="J101" s="553"/>
      <c r="K101" s="553"/>
      <c r="L101" s="554"/>
      <c r="M101" s="555"/>
      <c r="N101" s="1148"/>
      <c r="O101" s="1148"/>
      <c r="P101" s="1425"/>
      <c r="Q101" s="1419"/>
      <c r="R101" s="1140"/>
      <c r="S101" s="1140"/>
      <c r="T101" s="1140"/>
      <c r="U101" s="1140"/>
      <c r="V101" s="1140"/>
      <c r="W101" s="1140"/>
      <c r="X101" s="1140"/>
      <c r="Y101" s="1140"/>
      <c r="Z101" s="1140"/>
      <c r="AA101" s="1140"/>
      <c r="AB101" s="1140"/>
      <c r="AC101" s="1140"/>
    </row>
    <row r="102" spans="1:29" ht="15.75" thickBot="1">
      <c r="A102" s="532"/>
      <c r="B102" s="541"/>
      <c r="C102" s="558"/>
      <c r="D102" s="558"/>
      <c r="E102" s="558"/>
      <c r="F102" s="558"/>
      <c r="G102" s="558"/>
      <c r="H102" s="560"/>
      <c r="I102" s="560"/>
      <c r="J102" s="560"/>
      <c r="K102" s="560"/>
      <c r="L102" s="560"/>
      <c r="M102" s="561"/>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18" priority="14" stopIfTrue="1" operator="containsText" text="超过">
      <formula>NOT(ISERROR(SEARCH("超过",F42)))</formula>
    </cfRule>
  </conditionalFormatting>
  <conditionalFormatting sqref="J44">
    <cfRule type="containsText" dxfId="117" priority="13" stopIfTrue="1" operator="containsText" text="超过">
      <formula>NOT(ISERROR(SEARCH("超过",J44)))</formula>
    </cfRule>
  </conditionalFormatting>
  <conditionalFormatting sqref="H44">
    <cfRule type="containsText" dxfId="116" priority="12" stopIfTrue="1" operator="containsText" text="超过">
      <formula>NOT(ISERROR(SEARCH("超过",H44)))</formula>
    </cfRule>
  </conditionalFormatting>
  <conditionalFormatting sqref="F44">
    <cfRule type="containsText" dxfId="115" priority="11" stopIfTrue="1" operator="containsText" text="超过">
      <formula>NOT(ISERROR(SEARCH("超过",F44)))</formula>
    </cfRule>
  </conditionalFormatting>
  <conditionalFormatting sqref="F43 H43 J43">
    <cfRule type="containsText" dxfId="114" priority="10" stopIfTrue="1" operator="containsText" text="超过">
      <formula>NOT(ISERROR(SEARCH("超过",F43)))</formula>
    </cfRule>
  </conditionalFormatting>
  <conditionalFormatting sqref="E42">
    <cfRule type="expression" dxfId="113" priority="9" stopIfTrue="1">
      <formula>$F$42="超过30%"</formula>
    </cfRule>
  </conditionalFormatting>
  <conditionalFormatting sqref="G44">
    <cfRule type="expression" dxfId="112" priority="8" stopIfTrue="1">
      <formula>$H$54+$H$44="超过30%"</formula>
    </cfRule>
  </conditionalFormatting>
  <conditionalFormatting sqref="E43">
    <cfRule type="expression" dxfId="111" priority="7" stopIfTrue="1">
      <formula>$F$43="超过20%"</formula>
    </cfRule>
  </conditionalFormatting>
  <conditionalFormatting sqref="E44">
    <cfRule type="expression" dxfId="110" priority="6" stopIfTrue="1">
      <formula>$F$44="超过30%"</formula>
    </cfRule>
  </conditionalFormatting>
  <conditionalFormatting sqref="G42">
    <cfRule type="expression" dxfId="109" priority="5" stopIfTrue="1">
      <formula>$H$52+$H$42="超过30%"</formula>
    </cfRule>
  </conditionalFormatting>
  <conditionalFormatting sqref="G43">
    <cfRule type="expression" dxfId="108" priority="4" stopIfTrue="1">
      <formula>$H$43="超过20%"</formula>
    </cfRule>
  </conditionalFormatting>
  <conditionalFormatting sqref="I42">
    <cfRule type="expression" dxfId="107" priority="3" stopIfTrue="1">
      <formula>$J$52+$J$42="超过30%"</formula>
    </cfRule>
  </conditionalFormatting>
  <conditionalFormatting sqref="I43">
    <cfRule type="expression" dxfId="106" priority="2" stopIfTrue="1">
      <formula>$J$53+$J$43="超过20%"</formula>
    </cfRule>
  </conditionalFormatting>
  <conditionalFormatting sqref="I44">
    <cfRule type="expression" dxfId="105"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4" zoomScale="90" zoomScaleNormal="90" zoomScaleSheetLayoutView="90" workbookViewId="0">
      <selection activeCell="E44" sqref="E44"/>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1583</v>
      </c>
      <c r="B1" s="780"/>
      <c r="C1" s="1831" t="s">
        <v>48</v>
      </c>
      <c r="D1" s="1814" t="s">
        <v>4526</v>
      </c>
      <c r="E1" s="1815" t="s">
        <v>1381</v>
      </c>
      <c r="F1" s="1279">
        <f ca="1">J53</f>
        <v>46.47</v>
      </c>
      <c r="G1" s="1830">
        <f>MATCH(C1,'数据-取费表'!A6:A16,0)+5</f>
        <v>10</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1509</v>
      </c>
      <c r="B2" s="1838">
        <f ca="1">C40+J29+L46</f>
        <v>-19</v>
      </c>
      <c r="C2" s="1839" t="s">
        <v>1510</v>
      </c>
      <c r="D2" s="1839"/>
      <c r="E2" s="1840"/>
      <c r="F2" s="1841"/>
      <c r="G2" s="1842"/>
      <c r="H2" s="1834"/>
      <c r="I2" s="1834"/>
      <c r="J2" s="1834"/>
      <c r="K2" s="1835"/>
      <c r="L2" s="1834"/>
      <c r="M2" s="1834"/>
    </row>
    <row r="3" spans="1:37" ht="18" customHeight="1" thickBot="1">
      <c r="A3" s="1843" t="s">
        <v>1511</v>
      </c>
      <c r="B3" s="1844">
        <f ca="1">IF(ISERROR(B2*10000/F43),0,ROUND(B2*10000/F43,0))</f>
        <v>-9</v>
      </c>
      <c r="C3" s="1839" t="s">
        <v>1512</v>
      </c>
      <c r="D3" s="1839"/>
      <c r="E3" s="1840"/>
      <c r="F3" s="1841"/>
      <c r="G3" s="1842"/>
      <c r="H3" s="742" t="s">
        <v>1582</v>
      </c>
      <c r="I3" s="1834"/>
      <c r="J3" s="1834"/>
      <c r="K3" s="1835"/>
      <c r="L3" s="1834"/>
      <c r="M3" s="1834"/>
    </row>
    <row r="4" spans="1:37" ht="18" customHeight="1">
      <c r="A4" s="338" t="s">
        <v>1390</v>
      </c>
      <c r="B4" s="339" t="s">
        <v>1391</v>
      </c>
      <c r="C4" s="339" t="s">
        <v>1392</v>
      </c>
      <c r="D4" s="339" t="s">
        <v>1393</v>
      </c>
      <c r="E4" s="340" t="s">
        <v>1394</v>
      </c>
      <c r="F4" s="341"/>
      <c r="G4" s="1845"/>
      <c r="H4" s="338" t="s">
        <v>1390</v>
      </c>
      <c r="I4" s="339" t="s">
        <v>1391</v>
      </c>
      <c r="J4" s="339" t="s">
        <v>1392</v>
      </c>
      <c r="K4" s="339" t="s">
        <v>1393</v>
      </c>
      <c r="L4" s="340" t="s">
        <v>1394</v>
      </c>
      <c r="M4" s="341"/>
    </row>
    <row r="5" spans="1:37" ht="18" customHeight="1">
      <c r="A5" s="342">
        <v>1</v>
      </c>
      <c r="B5" s="343" t="s">
        <v>1395</v>
      </c>
      <c r="C5" s="1288">
        <f ca="1">C6+C10+C12</f>
        <v>0</v>
      </c>
      <c r="D5" s="1816" t="s">
        <v>1396</v>
      </c>
      <c r="E5" s="1289"/>
      <c r="F5" s="1290"/>
      <c r="G5" s="1845"/>
      <c r="H5" s="342">
        <v>1</v>
      </c>
      <c r="I5" s="343" t="s">
        <v>1395</v>
      </c>
      <c r="J5" s="1288">
        <f ca="1">J6+J10+J12</f>
        <v>0</v>
      </c>
      <c r="K5" s="1816" t="s">
        <v>1396</v>
      </c>
      <c r="L5" s="1289"/>
      <c r="M5" s="1290"/>
    </row>
    <row r="6" spans="1:37" ht="18" customHeight="1">
      <c r="A6" s="1287" t="s">
        <v>1031</v>
      </c>
      <c r="B6" s="3378" t="s">
        <v>1397</v>
      </c>
      <c r="C6" s="1292">
        <f ca="1">ROUND(F6*F8*F7*(1-F9)/10000,0)</f>
        <v>0</v>
      </c>
      <c r="D6" s="162" t="s">
        <v>3012</v>
      </c>
      <c r="E6" s="345" t="s">
        <v>1399</v>
      </c>
      <c r="F6" s="346">
        <f ca="1">INDIRECT("'数据-取费表'!u"&amp;$G$1)</f>
        <v>0</v>
      </c>
      <c r="G6" s="1845"/>
      <c r="H6" s="1287" t="s">
        <v>1031</v>
      </c>
      <c r="I6" s="3378" t="s">
        <v>1397</v>
      </c>
      <c r="J6" s="344">
        <f ca="1">ROUND(M6*M8*M7*(1-M9)/10000,0)</f>
        <v>0</v>
      </c>
      <c r="K6" s="162" t="s">
        <v>3011</v>
      </c>
      <c r="L6" s="345" t="s">
        <v>1399</v>
      </c>
      <c r="M6" s="346">
        <f ca="1">INDIRECT("'数据-取费表'!z"&amp;$G$1)</f>
        <v>0</v>
      </c>
    </row>
    <row r="7" spans="1:37" ht="18" customHeight="1">
      <c r="A7" s="1291"/>
      <c r="B7" s="3379"/>
      <c r="C7" s="1293"/>
      <c r="D7" s="350"/>
      <c r="E7" s="2958" t="s">
        <v>1400</v>
      </c>
      <c r="F7" s="346">
        <f ca="1">IF(INDIRECT("'数据-取费表'!ah"&amp;$G$1)="",INDIRECT("'数据-取费表'!k"&amp;$G$1),INDIRECT("'数据-取费表'!ah"&amp;$G$1))</f>
        <v>476</v>
      </c>
      <c r="G7" s="1845"/>
      <c r="H7" s="347"/>
      <c r="I7" s="3379"/>
      <c r="J7" s="349"/>
      <c r="K7" s="350"/>
      <c r="L7" s="345" t="s">
        <v>1400</v>
      </c>
      <c r="M7" s="346">
        <f ca="1">F7</f>
        <v>476</v>
      </c>
    </row>
    <row r="8" spans="1:37" ht="18" customHeight="1">
      <c r="A8" s="347"/>
      <c r="B8" s="3379"/>
      <c r="C8" s="349"/>
      <c r="D8" s="350"/>
      <c r="E8" s="345" t="s">
        <v>1401</v>
      </c>
      <c r="F8" s="346">
        <f ca="1">INDIRECT("'数据-取费表'!ai"&amp;$G$1)</f>
        <v>12</v>
      </c>
      <c r="G8" s="1845"/>
      <c r="H8" s="347"/>
      <c r="I8" s="3379"/>
      <c r="J8" s="349"/>
      <c r="K8" s="350"/>
      <c r="L8" s="345" t="s">
        <v>1401</v>
      </c>
      <c r="M8" s="346">
        <f ca="1">INDIRECT("'数据-取费表'!ai"&amp;$G$1)</f>
        <v>12</v>
      </c>
    </row>
    <row r="9" spans="1:37" ht="18" customHeight="1">
      <c r="A9" s="347"/>
      <c r="B9" s="3380"/>
      <c r="C9" s="349"/>
      <c r="D9" s="350"/>
      <c r="E9" s="345" t="s">
        <v>1402</v>
      </c>
      <c r="F9" s="355">
        <f ca="1">INDIRECT("'数据-取费表'!w"&amp;$G$1)</f>
        <v>0</v>
      </c>
      <c r="G9" s="1845"/>
      <c r="H9" s="347"/>
      <c r="I9" s="3380"/>
      <c r="J9" s="349"/>
      <c r="K9" s="350"/>
      <c r="L9" s="356" t="s">
        <v>1402</v>
      </c>
      <c r="M9" s="357">
        <f ca="1">INDIRECT("'数据-取费表'!ab"&amp;$G$1)</f>
        <v>0</v>
      </c>
    </row>
    <row r="10" spans="1:37" ht="18" customHeight="1">
      <c r="A10" s="1287" t="s">
        <v>1035</v>
      </c>
      <c r="B10" s="1817" t="s">
        <v>1403</v>
      </c>
      <c r="C10" s="359">
        <f ca="1">ROUND(IF(F10="押一",C6/12*F11,IF(F10="押二",C6/12*2*F11,IF(F10="押三",C6/12*3*F11,C11*F11))),0)</f>
        <v>0</v>
      </c>
      <c r="D10" s="1818" t="s">
        <v>3020</v>
      </c>
      <c r="E10" s="356" t="s">
        <v>1404</v>
      </c>
      <c r="F10" s="1362" t="s">
        <v>4545</v>
      </c>
      <c r="G10" s="1845"/>
      <c r="H10" s="1287" t="s">
        <v>1035</v>
      </c>
      <c r="I10" s="1817" t="s">
        <v>1403</v>
      </c>
      <c r="J10" s="344">
        <f ca="1">ROUND(IF(M10="押一",J6/12*M11,IF(M10="押二",J6/12*2*M11,IF(M10="押三",J6/12*3*M11,J11*M11))),0)</f>
        <v>0</v>
      </c>
      <c r="K10" s="1818" t="s">
        <v>3020</v>
      </c>
      <c r="L10" s="356" t="s">
        <v>1404</v>
      </c>
      <c r="M10" s="1362" t="s">
        <v>1405</v>
      </c>
    </row>
    <row r="11" spans="1:37" ht="18" customHeight="1">
      <c r="A11" s="351"/>
      <c r="B11" s="1819" t="s">
        <v>1382</v>
      </c>
      <c r="C11" s="1174"/>
      <c r="D11" s="1820"/>
      <c r="E11" s="356" t="s">
        <v>1406</v>
      </c>
      <c r="F11" s="357">
        <f ca="1">'数据-取费表'!B39</f>
        <v>1.4999999999999999E-2</v>
      </c>
      <c r="G11" s="1845"/>
      <c r="H11" s="1295"/>
      <c r="I11" s="1819" t="s">
        <v>1382</v>
      </c>
      <c r="J11" s="1174"/>
      <c r="K11" s="746"/>
      <c r="L11" s="356" t="s">
        <v>1406</v>
      </c>
      <c r="M11" s="1052">
        <f ca="1">'数据-取费表'!B39</f>
        <v>1.4999999999999999E-2</v>
      </c>
    </row>
    <row r="12" spans="1:37" ht="18" customHeight="1" thickBot="1">
      <c r="A12" s="1329" t="s">
        <v>1071</v>
      </c>
      <c r="B12" s="1821" t="s">
        <v>1407</v>
      </c>
      <c r="C12" s="1330"/>
      <c r="D12" s="1331"/>
      <c r="E12" s="1336"/>
      <c r="F12" s="1332"/>
      <c r="G12" s="1845"/>
      <c r="H12" s="1329" t="s">
        <v>1071</v>
      </c>
      <c r="I12" s="1821" t="s">
        <v>1407</v>
      </c>
      <c r="J12" s="1330"/>
      <c r="K12" s="1344"/>
      <c r="L12" s="1336"/>
      <c r="M12" s="1345"/>
    </row>
    <row r="13" spans="1:37" ht="18" customHeight="1" thickTop="1">
      <c r="A13" s="1325">
        <v>2</v>
      </c>
      <c r="B13" s="1326" t="s">
        <v>1408</v>
      </c>
      <c r="C13" s="353">
        <f ca="1">ROUND(C29*F13,0)</f>
        <v>0</v>
      </c>
      <c r="D13" s="1327" t="s">
        <v>1409</v>
      </c>
      <c r="E13" s="1327" t="s">
        <v>1410</v>
      </c>
      <c r="F13" s="1328">
        <f ca="1">INDIRECT("'数据-取费表'!y"&amp;$G$1)</f>
        <v>0</v>
      </c>
      <c r="G13" s="1845"/>
      <c r="H13" s="1325">
        <v>2</v>
      </c>
      <c r="I13" s="1326" t="s">
        <v>1408</v>
      </c>
      <c r="J13" s="1286">
        <f ca="1">ROUND(J14*J15,0)</f>
        <v>0</v>
      </c>
      <c r="K13" s="1333" t="s">
        <v>1409</v>
      </c>
      <c r="L13" s="1846"/>
      <c r="M13" s="1847"/>
    </row>
    <row r="14" spans="1:37" ht="18" customHeight="1">
      <c r="A14" s="1197" t="s">
        <v>1030</v>
      </c>
      <c r="B14" s="345" t="s">
        <v>1411</v>
      </c>
      <c r="C14" s="361">
        <f ca="1">INDIRECT("'数据-取费表'!m"&amp;$G$1)+INDIRECT("'数据-取费表'!t"&amp;$G$1)</f>
        <v>5514</v>
      </c>
      <c r="D14" s="2952" t="s">
        <v>1412</v>
      </c>
      <c r="E14" s="2950"/>
      <c r="F14" s="362"/>
      <c r="G14" s="1845"/>
      <c r="H14" s="1197" t="s">
        <v>1031</v>
      </c>
      <c r="I14" s="345" t="s">
        <v>1413</v>
      </c>
      <c r="J14" s="24">
        <f ca="1">C29</f>
        <v>7522</v>
      </c>
      <c r="K14" s="2957"/>
      <c r="L14" s="977"/>
      <c r="M14" s="978"/>
    </row>
    <row r="15" spans="1:37" s="1852" customFormat="1" ht="18" customHeight="1" thickBot="1">
      <c r="A15" s="1197" t="s">
        <v>1032</v>
      </c>
      <c r="B15" s="345" t="s">
        <v>1414</v>
      </c>
      <c r="C15" s="24">
        <f ca="1">ROUND(C14*F15,0)</f>
        <v>165</v>
      </c>
      <c r="D15" s="363" t="s">
        <v>1415</v>
      </c>
      <c r="E15" s="363" t="s">
        <v>1416</v>
      </c>
      <c r="F15" s="364">
        <f>'数据-取费表'!B33</f>
        <v>0.03</v>
      </c>
      <c r="G15" s="1848"/>
      <c r="H15" s="1335" t="s">
        <v>1035</v>
      </c>
      <c r="I15" s="1336" t="s">
        <v>1410</v>
      </c>
      <c r="J15" s="1345">
        <f ca="1">INDIRECT("'数据-取费表'!ad"&amp;$G$1)</f>
        <v>0</v>
      </c>
      <c r="K15" s="1346"/>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1383</v>
      </c>
      <c r="B16" s="345" t="s">
        <v>1417</v>
      </c>
      <c r="C16" s="24">
        <f ca="1">ROUND(INDIRECT("'数据-取费表'!m"&amp;$G$1)*F16,0)</f>
        <v>0</v>
      </c>
      <c r="D16" s="345" t="s">
        <v>1415</v>
      </c>
      <c r="E16" s="345" t="s">
        <v>1416</v>
      </c>
      <c r="F16" s="365">
        <f ca="1">IF(INDIRECT("'数据-取费表'!c"&amp;$G$1)="住宅",'数据-取费表'!B34,0)</f>
        <v>0</v>
      </c>
      <c r="G16" s="1845"/>
      <c r="H16" s="1325" t="s">
        <v>1026</v>
      </c>
      <c r="I16" s="1326" t="s">
        <v>1418</v>
      </c>
      <c r="J16" s="353">
        <f ca="1">ROUND(J17+J22+J23+J24,0)</f>
        <v>65</v>
      </c>
      <c r="K16" s="1333" t="s">
        <v>1419</v>
      </c>
      <c r="L16" s="2953"/>
      <c r="M16" s="1290"/>
    </row>
    <row r="17" spans="1:37" s="1852" customFormat="1" ht="18" customHeight="1">
      <c r="A17" s="1197" t="s">
        <v>1384</v>
      </c>
      <c r="B17" s="345" t="s">
        <v>1420</v>
      </c>
      <c r="C17" s="24">
        <f ca="1">ROUND(F17*(F43+INDIRECT("'数据-取费表'!S"&amp;$G$1))/10000,0)</f>
        <v>441</v>
      </c>
      <c r="D17" s="345" t="s">
        <v>1421</v>
      </c>
      <c r="E17" s="345" t="s">
        <v>1422</v>
      </c>
      <c r="F17" s="26">
        <f>'数据-取费表'!B35</f>
        <v>200</v>
      </c>
      <c r="G17" s="1848"/>
      <c r="H17" s="1197" t="s">
        <v>1031</v>
      </c>
      <c r="I17" s="345" t="s">
        <v>1423</v>
      </c>
      <c r="J17" s="24">
        <f ca="1">ROUND(IF(项目基本情况!B11="自然人",J6*M17/(1+'数据-取费表'!C42),J18+J19+J20),1)</f>
        <v>64.5</v>
      </c>
      <c r="K17" s="2952" t="s">
        <v>1424</v>
      </c>
      <c r="L17" s="2951" t="s">
        <v>1425</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1385</v>
      </c>
      <c r="B18" s="345" t="s">
        <v>1426</v>
      </c>
      <c r="C18" s="24">
        <f ca="1">ROUND(C14*F18,0)</f>
        <v>83</v>
      </c>
      <c r="D18" s="345" t="s">
        <v>1415</v>
      </c>
      <c r="E18" s="345" t="s">
        <v>1416</v>
      </c>
      <c r="F18" s="365">
        <f>'数据-取费表'!B36</f>
        <v>1.4999999999999999E-2</v>
      </c>
      <c r="G18" s="1848"/>
      <c r="H18" s="1197" t="s">
        <v>1030</v>
      </c>
      <c r="I18" s="345" t="s">
        <v>1427</v>
      </c>
      <c r="J18" s="24">
        <f ca="1">ROUND(J6*M18/(1+'数据-取费表'!C42),2)</f>
        <v>0</v>
      </c>
      <c r="K18" s="2951" t="s">
        <v>1428</v>
      </c>
      <c r="L18" s="345" t="s">
        <v>1416</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1031</v>
      </c>
      <c r="B19" s="345" t="s">
        <v>1429</v>
      </c>
      <c r="C19" s="24">
        <f ca="1">SUM(C14:C18)</f>
        <v>6203</v>
      </c>
      <c r="D19" s="138" t="s">
        <v>1430</v>
      </c>
      <c r="E19" s="2956"/>
      <c r="F19" s="26"/>
      <c r="G19" s="1845"/>
      <c r="H19" s="1197" t="s">
        <v>1032</v>
      </c>
      <c r="I19" s="345" t="s">
        <v>1431</v>
      </c>
      <c r="J19" s="24">
        <f ca="1">IF(K19="按租金收入计税",ROUND(J6*M19/(1+'数据-取费表'!C42),2),ROUND(C29*M19*0.7,2))</f>
        <v>63.18</v>
      </c>
      <c r="K19" s="1822" t="s">
        <v>1432</v>
      </c>
      <c r="L19" s="345" t="s">
        <v>1416</v>
      </c>
      <c r="M19" s="365">
        <f>IF(K19="按租金收入计税",'数据-取费表'!B51,'数据-取费表'!B50)</f>
        <v>1.2E-2</v>
      </c>
    </row>
    <row r="20" spans="1:37" s="1852" customFormat="1" ht="18" customHeight="1">
      <c r="A20" s="1197" t="s">
        <v>1035</v>
      </c>
      <c r="B20" s="345" t="s">
        <v>1433</v>
      </c>
      <c r="C20" s="24">
        <f ca="1">ROUND(C19*F20,0)</f>
        <v>186</v>
      </c>
      <c r="D20" s="367" t="s">
        <v>1434</v>
      </c>
      <c r="E20" s="345" t="s">
        <v>1416</v>
      </c>
      <c r="F20" s="365">
        <f>'数据-取费表'!B37</f>
        <v>0.03</v>
      </c>
      <c r="G20" s="1848"/>
      <c r="H20" s="1197" t="s">
        <v>1383</v>
      </c>
      <c r="I20" s="162" t="s">
        <v>1435</v>
      </c>
      <c r="J20" s="25">
        <f ca="1">ROUND(M20*M21/10000,2)</f>
        <v>1.31</v>
      </c>
      <c r="K20" s="368" t="s">
        <v>1436</v>
      </c>
      <c r="L20" s="345" t="s">
        <v>1437</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1071</v>
      </c>
      <c r="B21" s="345" t="s">
        <v>1438</v>
      </c>
      <c r="C21" s="24" t="s">
        <v>18</v>
      </c>
      <c r="D21" s="367" t="s">
        <v>1439</v>
      </c>
      <c r="E21" s="345" t="s">
        <v>1440</v>
      </c>
      <c r="F21" s="365">
        <f>'数据-取费表'!B38</f>
        <v>0.03</v>
      </c>
      <c r="G21" s="1848"/>
      <c r="H21" s="370"/>
      <c r="I21" s="354"/>
      <c r="J21" s="29"/>
      <c r="K21" s="371"/>
      <c r="L21" s="345" t="s">
        <v>1441</v>
      </c>
      <c r="M21" s="346">
        <f ca="1">INDIRECT("'数据-取费表'!r"&amp;$G$1)</f>
        <v>8766.26</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1386</v>
      </c>
      <c r="B22" s="345" t="s">
        <v>1442</v>
      </c>
      <c r="C22" s="24"/>
      <c r="D22" s="138" t="str">
        <f>IF(F23&lt;=1,"单利计息。","复利计息。")&amp;"建造成本、管理费用、销售费用产生的利息。"</f>
        <v>复利计息。建造成本、管理费用、销售费用产生的利息。</v>
      </c>
      <c r="E22" s="2956"/>
      <c r="F22" s="26"/>
      <c r="G22" s="1845"/>
      <c r="H22" s="1197" t="s">
        <v>1035</v>
      </c>
      <c r="I22" s="345" t="s">
        <v>1443</v>
      </c>
      <c r="J22" s="24">
        <f ca="1">ROUND(J14*M22,1)</f>
        <v>0</v>
      </c>
      <c r="K22" s="2951" t="s">
        <v>1444</v>
      </c>
      <c r="L22" s="345" t="s">
        <v>1416</v>
      </c>
      <c r="M22" s="372">
        <f ca="1">INDIRECT("'数据-取费表'!Ak"&amp;$G$1)</f>
        <v>0</v>
      </c>
    </row>
    <row r="23" spans="1:37" s="1852" customFormat="1" ht="18" customHeight="1">
      <c r="A23" s="1197" t="s">
        <v>1030</v>
      </c>
      <c r="B23" s="345" t="s">
        <v>1445</v>
      </c>
      <c r="C23" s="24">
        <f ca="1">IF('数据-取费表'!B22&lt;=1,ROUND(C19*F24*F23/2,0)+ROUND(C20*F24*F23/2,0),ROUND(C19*(POWER((1+F24),F23/2)-1),0)+ROUND(C20*(POWER((1+F24),F23/2)-1),0))</f>
        <v>304</v>
      </c>
      <c r="D23" s="373" t="str">
        <f>IF(F23&lt;=1,"(建造成本+管理费用)×利率×(建设周期÷2)","(建造成本+管理费用)×((1+利率)^(建设周期÷2)-1)")</f>
        <v>(建造成本+管理费用)×((1+利率)^(建设周期÷2)-1)</v>
      </c>
      <c r="E23" s="345" t="s">
        <v>1446</v>
      </c>
      <c r="F23" s="369">
        <f>'数据-取费表'!B20</f>
        <v>2</v>
      </c>
      <c r="G23" s="1848"/>
      <c r="H23" s="1197" t="s">
        <v>1071</v>
      </c>
      <c r="I23" s="345" t="s">
        <v>1447</v>
      </c>
      <c r="J23" s="24">
        <f ca="1">ROUND(J13*M23,1)</f>
        <v>0</v>
      </c>
      <c r="K23" s="2951" t="s">
        <v>1448</v>
      </c>
      <c r="L23" s="345" t="s">
        <v>1416</v>
      </c>
      <c r="M23" s="374">
        <f ca="1">INDIRECT("'数据-取费表'!Al"&amp;$G$1)</f>
        <v>0</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1032</v>
      </c>
      <c r="B24" s="345" t="s">
        <v>1451</v>
      </c>
      <c r="C24" s="24">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848"/>
      <c r="H24" s="1335" t="s">
        <v>1386</v>
      </c>
      <c r="I24" s="1336" t="s">
        <v>1433</v>
      </c>
      <c r="J24" s="1337">
        <f ca="1">ROUND(J5*M24,1)</f>
        <v>0</v>
      </c>
      <c r="K24" s="1338" t="s">
        <v>1453</v>
      </c>
      <c r="L24" s="1336" t="s">
        <v>1416</v>
      </c>
      <c r="M24" s="1332">
        <f ca="1">INDIRECT("'数据-取费表'!Am"&amp;$G$1)</f>
        <v>0</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7" t="s">
        <v>1454</v>
      </c>
      <c r="B25" s="345" t="s">
        <v>1455</v>
      </c>
      <c r="C25" s="24"/>
      <c r="D25" s="138" t="s">
        <v>1456</v>
      </c>
      <c r="E25" s="2956"/>
      <c r="F25" s="26"/>
      <c r="G25" s="1845"/>
      <c r="H25" s="1325" t="s">
        <v>1027</v>
      </c>
      <c r="I25" s="1340" t="s">
        <v>1457</v>
      </c>
      <c r="J25" s="353">
        <f ca="1">J5-J16</f>
        <v>-65</v>
      </c>
      <c r="K25" s="1341" t="s">
        <v>1458</v>
      </c>
      <c r="L25" s="1342"/>
      <c r="M25" s="1343"/>
    </row>
    <row r="26" spans="1:37">
      <c r="A26" s="1197" t="s">
        <v>1030</v>
      </c>
      <c r="B26" s="345" t="s">
        <v>1459</v>
      </c>
      <c r="C26" s="24">
        <f ca="1">ROUND((C19+C20)*F26,0)</f>
        <v>192</v>
      </c>
      <c r="D26" s="367" t="s">
        <v>1460</v>
      </c>
      <c r="E26" s="356" t="s">
        <v>1461</v>
      </c>
      <c r="F26" s="355">
        <f ca="1">INDIRECT("'数据-取费表'!q"&amp;$G$1)</f>
        <v>0.03</v>
      </c>
      <c r="G26" s="1845"/>
      <c r="H26" s="342" t="s">
        <v>1028</v>
      </c>
      <c r="I26" s="343" t="s">
        <v>1462</v>
      </c>
      <c r="J26" s="344">
        <f ca="1">IF(J5&lt;&gt;0,ROUND(J25*(1-((1+M28)/(1+M26))^M27)/(M26-M28),0),0)</f>
        <v>0</v>
      </c>
      <c r="K26" s="368" t="s">
        <v>1463</v>
      </c>
      <c r="L26" s="345" t="s">
        <v>1464</v>
      </c>
      <c r="M26" s="355">
        <f ca="1">INDIRECT("'数据-取费表'!I"&amp;$G$1)</f>
        <v>4.4999999999999998E-2</v>
      </c>
    </row>
    <row r="27" spans="1:37" ht="18" customHeight="1">
      <c r="A27" s="1197" t="s">
        <v>1032</v>
      </c>
      <c r="B27" s="345" t="s">
        <v>1465</v>
      </c>
      <c r="C27" s="24">
        <f ca="1">ROUND(F21*F26,4)</f>
        <v>8.9999999999999998E-4</v>
      </c>
      <c r="D27" s="367" t="s">
        <v>1466</v>
      </c>
      <c r="E27" s="363"/>
      <c r="F27" s="364"/>
      <c r="G27" s="1845"/>
      <c r="H27" s="347"/>
      <c r="I27" s="348"/>
      <c r="J27" s="349"/>
      <c r="K27" s="376" t="s">
        <v>1467</v>
      </c>
      <c r="L27" s="345" t="s">
        <v>1468</v>
      </c>
      <c r="M27" s="377">
        <f ca="1">INDIRECT("'数据-取费表'!ag"&amp;$G$1)</f>
        <v>0</v>
      </c>
    </row>
    <row r="28" spans="1:37" s="1852" customFormat="1" ht="18" customHeight="1">
      <c r="A28" s="1197" t="s">
        <v>1033</v>
      </c>
      <c r="B28" s="345" t="s">
        <v>1469</v>
      </c>
      <c r="C28" s="24">
        <f>ROUND(F28/(1+'数据-取费表'!C42),4)</f>
        <v>5.2400000000000002E-2</v>
      </c>
      <c r="D28" s="367" t="s">
        <v>1470</v>
      </c>
      <c r="E28" s="345" t="s">
        <v>1416</v>
      </c>
      <c r="F28" s="365">
        <f>'数据-取费表'!B41</f>
        <v>5.5000000000000007E-2</v>
      </c>
      <c r="G28" s="1848"/>
      <c r="H28" s="351"/>
      <c r="I28" s="352"/>
      <c r="J28" s="353"/>
      <c r="K28" s="371"/>
      <c r="L28" s="345" t="s">
        <v>1471</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5" t="s">
        <v>1034</v>
      </c>
      <c r="B29" s="1336" t="s">
        <v>1472</v>
      </c>
      <c r="C29" s="1337">
        <f ca="1">ROUND((C19+C20+C23+C26)/(1-F21-C24-C27-C28),0)</f>
        <v>7522</v>
      </c>
      <c r="D29" s="1338"/>
      <c r="E29" s="1336"/>
      <c r="F29" s="1339"/>
      <c r="G29" s="1848"/>
      <c r="H29" s="378" t="s">
        <v>1029</v>
      </c>
      <c r="I29" s="379" t="s">
        <v>1473</v>
      </c>
      <c r="J29" s="380">
        <f ca="1">ROUND(J26/(1+F40)^F41,0)</f>
        <v>0</v>
      </c>
      <c r="K29" s="381" t="s">
        <v>1474</v>
      </c>
      <c r="L29" s="382"/>
      <c r="M29" s="383">
        <f ca="1">INDIRECT("'数据-取费表'!k"&amp;$G$1)</f>
        <v>21662.76</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5" t="s">
        <v>1026</v>
      </c>
      <c r="B30" s="1326" t="s">
        <v>1418</v>
      </c>
      <c r="C30" s="353">
        <f ca="1">ROUND(C31+C36+C37+C38,0)</f>
        <v>1</v>
      </c>
      <c r="D30" s="1333" t="s">
        <v>1419</v>
      </c>
      <c r="E30" s="2953"/>
      <c r="F30" s="1290"/>
      <c r="G30" s="1845"/>
      <c r="H30" s="743"/>
      <c r="I30" s="744"/>
      <c r="J30" s="745"/>
      <c r="K30" s="746"/>
      <c r="L30" s="747"/>
      <c r="M30" s="748"/>
    </row>
    <row r="31" spans="1:37" ht="18" customHeight="1">
      <c r="A31" s="1197" t="s">
        <v>1031</v>
      </c>
      <c r="B31" s="345" t="s">
        <v>1423</v>
      </c>
      <c r="C31" s="24">
        <f ca="1">ROUND(IF(项目基本情况!B11="自然人",C6*F31/(1+'数据-取费表'!C42),C32+C33+C34),1)</f>
        <v>1.3</v>
      </c>
      <c r="D31" s="2952" t="s">
        <v>1424</v>
      </c>
      <c r="E31" s="2951" t="s">
        <v>1475</v>
      </c>
      <c r="F31" s="366" t="str">
        <f ca="1">IF(项目基本情况!B11="企业","",IF(INDIRECT("'数据-取费表'!c"&amp;$G$1)="住宅",5%,IF(F6*F7*F8/12/(1+'数据-取费表'!C42)&gt;20000,12%,7%)))</f>
        <v/>
      </c>
      <c r="G31" s="1845"/>
      <c r="H31" s="743"/>
      <c r="I31" s="744"/>
      <c r="J31" s="745"/>
      <c r="K31" s="746"/>
      <c r="L31" s="747"/>
      <c r="M31" s="748"/>
    </row>
    <row r="32" spans="1:37" ht="18" customHeight="1">
      <c r="A32" s="1197" t="s">
        <v>1030</v>
      </c>
      <c r="B32" s="345" t="s">
        <v>1427</v>
      </c>
      <c r="C32" s="24">
        <f ca="1">IF(项目基本情况!B11="自然人","——",ROUND(C6*F32/(1+'数据-取费表'!C42),2))</f>
        <v>0</v>
      </c>
      <c r="D32" s="2951" t="s">
        <v>1428</v>
      </c>
      <c r="E32" s="345" t="s">
        <v>1416</v>
      </c>
      <c r="F32" s="375">
        <f>'数据-取费表'!B41</f>
        <v>5.5000000000000007E-2</v>
      </c>
      <c r="G32" s="1845"/>
      <c r="H32" s="743"/>
      <c r="I32" s="744"/>
      <c r="J32" s="745"/>
      <c r="K32" s="746"/>
      <c r="L32" s="747"/>
      <c r="M32" s="748"/>
    </row>
    <row r="33" spans="1:18" ht="18" customHeight="1">
      <c r="A33" s="1197" t="s">
        <v>1032</v>
      </c>
      <c r="B33" s="345" t="s">
        <v>1431</v>
      </c>
      <c r="C33" s="24">
        <f ca="1">IF(项目基本情况!B11="自然人","——",IF(D33="按租金收入计税",ROUND(C6*F33/(1+'数据-取费表'!C42),2),IF(D33="按房产原值计税",ROUND(C29*F33*0.7,2),INDIRECT("'数据-取费表'!Aj"&amp;$G$1))))</f>
        <v>0</v>
      </c>
      <c r="D33" s="1822" t="s">
        <v>4528</v>
      </c>
      <c r="E33" s="345" t="s">
        <v>1416</v>
      </c>
      <c r="F33" s="365">
        <f>IF(D33="按票据","——",IF(D33="按租金收入计税",'数据-取费表'!B51,'数据-取费表'!B50))</f>
        <v>0.12</v>
      </c>
      <c r="G33" s="1845"/>
      <c r="H33" s="1853"/>
      <c r="I33" s="1854"/>
      <c r="J33" s="1855"/>
      <c r="K33" s="1856"/>
      <c r="L33" s="1853"/>
      <c r="M33" s="1853"/>
    </row>
    <row r="34" spans="1:18" ht="18" customHeight="1">
      <c r="A34" s="1287" t="s">
        <v>1383</v>
      </c>
      <c r="B34" s="162" t="s">
        <v>1435</v>
      </c>
      <c r="C34" s="25">
        <f ca="1">IF(项目基本情况!B11="自然人","——",ROUND(F34*F35/10000,2))</f>
        <v>1.31</v>
      </c>
      <c r="D34" s="368" t="s">
        <v>1436</v>
      </c>
      <c r="E34" s="345" t="s">
        <v>1437</v>
      </c>
      <c r="F34" s="369">
        <f>'数据-取费表'!B52</f>
        <v>1.5</v>
      </c>
      <c r="G34" s="1845"/>
      <c r="H34" s="743"/>
      <c r="I34" s="1854"/>
      <c r="J34" s="1855"/>
      <c r="K34" s="1857"/>
      <c r="L34" s="1858"/>
      <c r="M34" s="1858"/>
    </row>
    <row r="35" spans="1:18" ht="18" customHeight="1">
      <c r="A35" s="1349"/>
      <c r="B35" s="1347"/>
      <c r="C35" s="29"/>
      <c r="D35" s="371"/>
      <c r="E35" s="345" t="s">
        <v>1441</v>
      </c>
      <c r="F35" s="346">
        <f ca="1">INDIRECT("'数据-取费表'!r"&amp;$G$1)</f>
        <v>8766.26</v>
      </c>
      <c r="G35" s="1845"/>
      <c r="H35" s="743"/>
      <c r="I35" s="1854"/>
      <c r="J35" s="1855"/>
      <c r="K35" s="1856"/>
      <c r="L35" s="1853"/>
      <c r="M35" s="1853"/>
    </row>
    <row r="36" spans="1:18" ht="18" customHeight="1">
      <c r="A36" s="1348" t="s">
        <v>1035</v>
      </c>
      <c r="B36" s="345" t="s">
        <v>1443</v>
      </c>
      <c r="C36" s="24">
        <f ca="1">ROUND(C29*F36,1)</f>
        <v>0</v>
      </c>
      <c r="D36" s="2951" t="s">
        <v>1476</v>
      </c>
      <c r="E36" s="345" t="s">
        <v>1416</v>
      </c>
      <c r="F36" s="372">
        <f ca="1">INDIRECT("'数据-取费表'!Ak"&amp;$G$1)</f>
        <v>0</v>
      </c>
      <c r="G36" s="1845"/>
      <c r="H36" s="1853"/>
      <c r="I36" s="1854"/>
      <c r="J36" s="1855"/>
      <c r="K36" s="749"/>
      <c r="L36" s="1853"/>
      <c r="M36" s="1853"/>
    </row>
    <row r="37" spans="1:18" ht="18" customHeight="1">
      <c r="A37" s="1197" t="s">
        <v>1071</v>
      </c>
      <c r="B37" s="345" t="s">
        <v>1447</v>
      </c>
      <c r="C37" s="24">
        <f ca="1">ROUND(C13*F37,1)</f>
        <v>0</v>
      </c>
      <c r="D37" s="2951" t="s">
        <v>1448</v>
      </c>
      <c r="E37" s="345" t="s">
        <v>1416</v>
      </c>
      <c r="F37" s="374">
        <f ca="1">INDIRECT("'数据-取费表'!Al"&amp;$G$1)</f>
        <v>0</v>
      </c>
      <c r="G37" s="1845"/>
      <c r="H37" s="1853"/>
      <c r="I37" s="1854"/>
      <c r="J37" s="1855"/>
      <c r="K37" s="749"/>
      <c r="L37" s="1853"/>
      <c r="M37" s="1853"/>
    </row>
    <row r="38" spans="1:18" ht="18" customHeight="1" thickBot="1">
      <c r="A38" s="1335" t="s">
        <v>1386</v>
      </c>
      <c r="B38" s="1336" t="s">
        <v>1433</v>
      </c>
      <c r="C38" s="1337">
        <f ca="1">ROUND(C5*F38,1)</f>
        <v>0</v>
      </c>
      <c r="D38" s="1338" t="s">
        <v>1453</v>
      </c>
      <c r="E38" s="1336" t="s">
        <v>1416</v>
      </c>
      <c r="F38" s="1332">
        <f ca="1">INDIRECT("'数据-取费表'!Am"&amp;$G$1)</f>
        <v>0</v>
      </c>
      <c r="G38" s="1845"/>
      <c r="H38" s="1853"/>
      <c r="I38" s="1854"/>
      <c r="J38" s="1855"/>
      <c r="K38" s="1859"/>
      <c r="L38" s="1853"/>
      <c r="M38" s="1853"/>
    </row>
    <row r="39" spans="1:18" ht="24.6" customHeight="1" thickTop="1">
      <c r="A39" s="1325" t="s">
        <v>1027</v>
      </c>
      <c r="B39" s="1340" t="s">
        <v>1457</v>
      </c>
      <c r="C39" s="353">
        <f ca="1">C5-C30</f>
        <v>-1</v>
      </c>
      <c r="D39" s="1341" t="s">
        <v>1458</v>
      </c>
      <c r="E39" s="1342"/>
      <c r="F39" s="1343"/>
      <c r="G39" s="1845"/>
      <c r="H39" s="1853"/>
      <c r="I39" s="1854"/>
      <c r="J39" s="1855"/>
      <c r="K39" s="1859"/>
      <c r="L39" s="1853"/>
      <c r="M39" s="1853"/>
    </row>
    <row r="40" spans="1:18" ht="18" customHeight="1">
      <c r="A40" s="342" t="s">
        <v>1028</v>
      </c>
      <c r="B40" s="343" t="s">
        <v>1479</v>
      </c>
      <c r="C40" s="344">
        <f ca="1">ROUND(C39*(1-((1+F42)/(1+F40))^F41)/(F40-F42),0)</f>
        <v>-19</v>
      </c>
      <c r="D40" s="368" t="s">
        <v>1463</v>
      </c>
      <c r="E40" s="345" t="s">
        <v>1464</v>
      </c>
      <c r="F40" s="355">
        <f ca="1">INDIRECT("'数据-取费表'!I"&amp;$G$1)</f>
        <v>4.4999999999999998E-2</v>
      </c>
      <c r="G40" s="1845"/>
      <c r="H40" s="1833"/>
      <c r="I40" s="1854"/>
      <c r="J40" s="1855"/>
      <c r="K40" s="1859"/>
      <c r="L40" s="1833"/>
      <c r="M40" s="1833"/>
    </row>
    <row r="41" spans="1:18" ht="18" customHeight="1">
      <c r="A41" s="347"/>
      <c r="B41" s="348"/>
      <c r="C41" s="349"/>
      <c r="D41" s="376" t="s">
        <v>1480</v>
      </c>
      <c r="E41" s="345" t="s">
        <v>1468</v>
      </c>
      <c r="F41" s="377">
        <f ca="1">IF(INDIRECT("'数据-取费表'!af"&amp;$G$1)=0,INDIRECT("'数据-取费表'!ae"&amp;$G$1),INDIRECT("'数据-取费表'!af"&amp;$G$1))</f>
        <v>46.47</v>
      </c>
      <c r="G41" s="1845"/>
      <c r="H41" s="730"/>
      <c r="I41" s="1854"/>
      <c r="J41" s="1855"/>
      <c r="K41" s="749"/>
      <c r="L41" s="730"/>
      <c r="M41" s="730"/>
    </row>
    <row r="42" spans="1:18" ht="18" customHeight="1">
      <c r="A42" s="351"/>
      <c r="B42" s="352"/>
      <c r="C42" s="353"/>
      <c r="D42" s="371"/>
      <c r="E42" s="345" t="s">
        <v>1471</v>
      </c>
      <c r="F42" s="355">
        <f ca="1">INDIRECT("'数据-取费表'!v"&amp;$G$1)</f>
        <v>0</v>
      </c>
      <c r="G42" s="1845"/>
      <c r="H42" s="730"/>
      <c r="I42" s="1854"/>
      <c r="J42" s="1855"/>
      <c r="K42" s="749"/>
      <c r="L42" s="730"/>
      <c r="M42" s="730"/>
    </row>
    <row r="43" spans="1:18" ht="18" customHeight="1" thickBot="1">
      <c r="A43" s="378" t="s">
        <v>1029</v>
      </c>
      <c r="B43" s="379" t="s">
        <v>1481</v>
      </c>
      <c r="C43" s="380">
        <f ca="1">ROUND(C40*10000/F43,0)</f>
        <v>-9</v>
      </c>
      <c r="D43" s="381" t="s">
        <v>1482</v>
      </c>
      <c r="E43" s="382" t="s">
        <v>1483</v>
      </c>
      <c r="F43" s="383">
        <f ca="1">INDIRECT("'数据-取费表'!k"&amp;$G$1)</f>
        <v>21662.76</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1513</v>
      </c>
      <c r="P45" s="1833"/>
      <c r="Q45" s="1833"/>
      <c r="R45" s="1833"/>
    </row>
    <row r="46" spans="1:18" s="1836" customFormat="1" ht="13.5" thickBot="1">
      <c r="A46" s="1864" t="s">
        <v>1514</v>
      </c>
      <c r="C46" s="1865">
        <f ca="1">C68-C40</f>
        <v>-12229</v>
      </c>
      <c r="D46" s="1866" t="str">
        <f>C2</f>
        <v>万元</v>
      </c>
      <c r="E46" s="1860"/>
      <c r="F46" s="1860"/>
      <c r="I46" s="1867" t="s">
        <v>1515</v>
      </c>
      <c r="J46" s="1868"/>
      <c r="K46" s="1869"/>
      <c r="L46" s="1870" t="str">
        <f ca="1">IF(M47="住宅",0,IF(L48&gt;J51,L60,J60))</f>
        <v>0</v>
      </c>
      <c r="O46" s="1871" t="s">
        <v>1516</v>
      </c>
      <c r="P46" s="1872" t="s">
        <v>1517</v>
      </c>
      <c r="Q46" s="1873" t="s">
        <v>1518</v>
      </c>
      <c r="R46" s="1873" t="s">
        <v>1519</v>
      </c>
    </row>
    <row r="47" spans="1:18" s="1836" customFormat="1" ht="13.5" thickBot="1">
      <c r="A47" s="1161" t="s">
        <v>1390</v>
      </c>
      <c r="B47" s="1193" t="s">
        <v>1391</v>
      </c>
      <c r="C47" s="1363" t="s">
        <v>1392</v>
      </c>
      <c r="D47" s="1193" t="s">
        <v>1393</v>
      </c>
      <c r="E47" s="1275" t="s">
        <v>1394</v>
      </c>
      <c r="F47" s="1276"/>
      <c r="G47" s="790"/>
      <c r="I47" s="1874" t="s">
        <v>1520</v>
      </c>
      <c r="J47" s="1875" t="s">
        <v>4529</v>
      </c>
      <c r="K47" s="1876" t="s">
        <v>1521</v>
      </c>
      <c r="L47" s="1877">
        <f ca="1">INDIRECT("'数据-取费表'!d"&amp;$G$1)</f>
        <v>50</v>
      </c>
      <c r="M47" s="1832" t="str">
        <f>IF(ISNUMBER(FIND("住宅",C1)),"住宅","非住宅")</f>
        <v>非住宅</v>
      </c>
      <c r="O47" s="1878" t="s">
        <v>1036</v>
      </c>
      <c r="P47" s="1879" t="s">
        <v>1522</v>
      </c>
      <c r="Q47" s="1880">
        <f ca="1">C40+J29</f>
        <v>-19</v>
      </c>
      <c r="R47" s="1880" t="s">
        <v>1523</v>
      </c>
    </row>
    <row r="48" spans="1:18" s="1836" customFormat="1" ht="28.5" thickBot="1">
      <c r="A48" s="1356" t="s">
        <v>1131</v>
      </c>
      <c r="B48" s="343" t="s">
        <v>1395</v>
      </c>
      <c r="C48" s="2955">
        <f ca="1">C49+C53+C55</f>
        <v>0</v>
      </c>
      <c r="D48" s="1358"/>
      <c r="E48" s="1359"/>
      <c r="F48" s="1177"/>
      <c r="G48" s="790"/>
      <c r="H48" s="791"/>
      <c r="I48" s="1881" t="s">
        <v>1524</v>
      </c>
      <c r="J48" s="1882" t="s">
        <v>4530</v>
      </c>
      <c r="K48" s="1883" t="s">
        <v>1525</v>
      </c>
      <c r="L48" s="1884">
        <f ca="1">INDIRECT("'数据-取费表'!f"&amp;$G$1)</f>
        <v>47.47</v>
      </c>
      <c r="O48" s="1878" t="s">
        <v>1037</v>
      </c>
      <c r="P48" s="1879" t="s">
        <v>1526</v>
      </c>
      <c r="Q48" s="1880" t="str">
        <f ca="1">J60</f>
        <v>0</v>
      </c>
      <c r="R48" s="1880" t="s">
        <v>1527</v>
      </c>
    </row>
    <row r="49" spans="1:18" s="1836" customFormat="1" ht="13.5" thickBot="1">
      <c r="A49" s="1190" t="s">
        <v>1132</v>
      </c>
      <c r="B49" s="1823" t="s">
        <v>1484</v>
      </c>
      <c r="C49" s="1360">
        <f ca="1">ROUND(F49*F51*F50*(1-F52)/10000,0)</f>
        <v>0</v>
      </c>
      <c r="D49" s="1272" t="s">
        <v>3011</v>
      </c>
      <c r="E49" s="1824" t="s">
        <v>1485</v>
      </c>
      <c r="F49" s="1277"/>
      <c r="G49" s="1885"/>
      <c r="H49" s="791"/>
      <c r="I49" s="1881" t="s">
        <v>1528</v>
      </c>
      <c r="J49" s="1886">
        <v>2021</v>
      </c>
      <c r="K49" s="1883" t="s">
        <v>1529</v>
      </c>
      <c r="L49" s="1887"/>
      <c r="O49" s="1888" t="s">
        <v>1038</v>
      </c>
      <c r="P49" s="1879" t="s">
        <v>1530</v>
      </c>
      <c r="Q49" s="1880">
        <f ca="1">C29</f>
        <v>7522</v>
      </c>
      <c r="R49" s="1880" t="s">
        <v>1523</v>
      </c>
    </row>
    <row r="50" spans="1:18" s="1836" customFormat="1" ht="13.5" thickBot="1">
      <c r="A50" s="1191"/>
      <c r="B50" s="1194"/>
      <c r="C50" s="1364"/>
      <c r="D50" s="1168"/>
      <c r="E50" s="1273" t="s">
        <v>1400</v>
      </c>
      <c r="F50" s="1274">
        <f ca="1">F7</f>
        <v>476</v>
      </c>
      <c r="H50" s="791"/>
      <c r="I50" s="1881" t="s">
        <v>1531</v>
      </c>
      <c r="J50" s="1889">
        <f>SUMPRODUCT((I63:I65=J47)*(J62:L62=J48)*(J63:L65))</f>
        <v>60</v>
      </c>
      <c r="K50" s="1883" t="s">
        <v>1532</v>
      </c>
      <c r="L50" s="1887"/>
      <c r="M50" s="1890"/>
      <c r="O50" s="1888" t="s">
        <v>1039</v>
      </c>
      <c r="P50" s="1879" t="s">
        <v>1533</v>
      </c>
      <c r="Q50" s="1891" t="e">
        <f ca="1">J58</f>
        <v>#VALUE!</v>
      </c>
      <c r="R50" s="1880"/>
    </row>
    <row r="51" spans="1:18" s="1836" customFormat="1" ht="13.5" thickBot="1">
      <c r="A51" s="1192"/>
      <c r="B51" s="1194"/>
      <c r="C51" s="1195"/>
      <c r="D51" s="1168"/>
      <c r="E51" s="1196" t="s">
        <v>1401</v>
      </c>
      <c r="F51" s="346">
        <f ca="1">F8</f>
        <v>12</v>
      </c>
      <c r="I51" s="1892" t="s">
        <v>1534</v>
      </c>
      <c r="J51" s="1893">
        <f>IF(J49="",J50,J49+J50-YEAR('数据-取费表'!B2))</f>
        <v>61</v>
      </c>
      <c r="K51" s="1894" t="s">
        <v>1535</v>
      </c>
      <c r="L51" s="1895">
        <f ca="1">ROUND(-PV(INDIRECT("'数据-取费表'!h"&amp;$G$1),L48,(C39-C13*C76),0),0)</f>
        <v>-21</v>
      </c>
      <c r="M51" s="1896"/>
      <c r="O51" s="1888" t="s">
        <v>1040</v>
      </c>
      <c r="P51" s="1879" t="s">
        <v>1536</v>
      </c>
      <c r="Q51" s="1891">
        <f>J52</f>
        <v>0</v>
      </c>
      <c r="R51" s="1880"/>
    </row>
    <row r="52" spans="1:18" s="1836" customFormat="1" ht="13.5" thickBot="1">
      <c r="A52" s="1192"/>
      <c r="B52" s="1194"/>
      <c r="C52" s="1195"/>
      <c r="D52" s="1168"/>
      <c r="E52" s="1196" t="s">
        <v>1402</v>
      </c>
      <c r="F52" s="1271"/>
      <c r="I52" s="1897" t="s">
        <v>1537</v>
      </c>
      <c r="J52" s="1898"/>
      <c r="K52" s="1897" t="s">
        <v>1538</v>
      </c>
      <c r="L52" s="1898"/>
      <c r="O52" s="1888" t="s">
        <v>1041</v>
      </c>
      <c r="P52" s="1879" t="s">
        <v>1539</v>
      </c>
      <c r="Q52" s="1880">
        <f ca="1">J53</f>
        <v>46.47</v>
      </c>
      <c r="R52" s="1880" t="s">
        <v>1540</v>
      </c>
    </row>
    <row r="53" spans="1:18" s="1836" customFormat="1" ht="24.75" thickBot="1">
      <c r="A53" s="1401" t="s">
        <v>1133</v>
      </c>
      <c r="B53" s="1825" t="s">
        <v>1403</v>
      </c>
      <c r="C53" s="359">
        <f ca="1">ROUND(IF(F53="押一",C49/12*F11,IF(F53="押二",C49/12*2*F11,IF(F53="押三",C49/12*3*F11,C54*F11))),0)</f>
        <v>0</v>
      </c>
      <c r="D53" s="1818" t="s">
        <v>3020</v>
      </c>
      <c r="E53" s="356" t="s">
        <v>1404</v>
      </c>
      <c r="F53" s="1362"/>
      <c r="I53" s="1899" t="s">
        <v>1541</v>
      </c>
      <c r="J53" s="2934">
        <f ca="1">IF(M47="住宅",IF(D1="——",MAX(J51,L48),MAX(J51,L48-'数据-取费表'!B24)),IF(D1="——",MIN(J51,L48),MIN(J51,L48-'数据-取费表'!B24)))</f>
        <v>46.47</v>
      </c>
      <c r="K53" s="3376" t="s">
        <v>1542</v>
      </c>
      <c r="L53" s="3377"/>
      <c r="O53" s="1878" t="s">
        <v>1042</v>
      </c>
      <c r="P53" s="1879" t="s">
        <v>1543</v>
      </c>
      <c r="Q53" s="1880">
        <f ca="1">Q47+Q48</f>
        <v>-19</v>
      </c>
      <c r="R53" s="1880" t="s">
        <v>1043</v>
      </c>
    </row>
    <row r="54" spans="1:18" s="1836" customFormat="1" ht="13.5" thickBot="1">
      <c r="A54" s="1402"/>
      <c r="B54" s="1819" t="s">
        <v>1382</v>
      </c>
      <c r="C54" s="1174"/>
      <c r="D54" s="1818"/>
      <c r="E54" s="2954"/>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5"/>
      <c r="O54" s="1863" t="s">
        <v>1544</v>
      </c>
      <c r="P54" s="1833"/>
      <c r="Q54" s="1833"/>
      <c r="R54" s="1833"/>
    </row>
    <row r="55" spans="1:18" s="1836" customFormat="1" ht="13.5" thickBot="1">
      <c r="A55" s="1329" t="s">
        <v>1071</v>
      </c>
      <c r="B55" s="1821" t="s">
        <v>1407</v>
      </c>
      <c r="C55" s="1330"/>
      <c r="D55" s="1818"/>
      <c r="E55" s="2954"/>
      <c r="F55" s="1900"/>
      <c r="I55" s="1903" t="s">
        <v>1545</v>
      </c>
      <c r="J55" s="1904" t="e">
        <f ca="1">ROUND(IF(J47="钢混",J57/J50,1-(1-2%)*(J50-J57)/J50),3)</f>
        <v>#VALUE!</v>
      </c>
      <c r="K55" s="1905" t="s">
        <v>1546</v>
      </c>
      <c r="L55" s="1906" t="s">
        <v>1547</v>
      </c>
      <c r="O55" s="1871" t="s">
        <v>1516</v>
      </c>
      <c r="P55" s="1872" t="s">
        <v>1517</v>
      </c>
      <c r="Q55" s="1873" t="s">
        <v>1518</v>
      </c>
      <c r="R55" s="1873" t="s">
        <v>1519</v>
      </c>
    </row>
    <row r="56" spans="1:18" s="1836" customFormat="1" ht="25.5" thickTop="1" thickBot="1">
      <c r="A56" s="1172">
        <v>2</v>
      </c>
      <c r="B56" s="1173" t="s">
        <v>1408</v>
      </c>
      <c r="C56" s="274">
        <f ca="1">C13</f>
        <v>0</v>
      </c>
      <c r="D56" s="1907"/>
      <c r="E56" s="1908"/>
      <c r="F56" s="1900"/>
      <c r="I56" s="1909" t="s">
        <v>1548</v>
      </c>
      <c r="J56" s="1910" t="s">
        <v>4433</v>
      </c>
      <c r="K56" s="1881" t="s">
        <v>1549</v>
      </c>
      <c r="L56" s="1884" t="str">
        <f ca="1">IF(L48&lt;J51,"——",L48-J53)</f>
        <v>——</v>
      </c>
      <c r="O56" s="1878" t="s">
        <v>1036</v>
      </c>
      <c r="P56" s="1879" t="s">
        <v>1522</v>
      </c>
      <c r="Q56" s="1880">
        <f ca="1">C40+J29</f>
        <v>-19</v>
      </c>
      <c r="R56" s="1880" t="s">
        <v>1523</v>
      </c>
    </row>
    <row r="57" spans="1:18" s="1836" customFormat="1" ht="24.75" thickBot="1">
      <c r="A57" s="1911"/>
      <c r="B57" s="1165" t="s">
        <v>1472</v>
      </c>
      <c r="C57" s="280">
        <f ca="1">C29</f>
        <v>7522</v>
      </c>
      <c r="D57" s="1912"/>
      <c r="E57" s="1913"/>
      <c r="F57" s="1914"/>
      <c r="I57" s="1915" t="s">
        <v>1550</v>
      </c>
      <c r="J57" s="1916" t="str">
        <f ca="1">IF(OR(M47="住宅",J51&lt;L48,J56="是"),"——",J51-L48)</f>
        <v>——</v>
      </c>
      <c r="K57" s="1881" t="s">
        <v>1551</v>
      </c>
      <c r="L57" s="1884" t="str">
        <f ca="1">IF(L48&lt;J51,"——",IF(L55="比较法",L49,IF(L55="基准地价",L50,L51)))</f>
        <v>——</v>
      </c>
      <c r="O57" s="1878" t="s">
        <v>1037</v>
      </c>
      <c r="P57" s="1879" t="s">
        <v>1552</v>
      </c>
      <c r="Q57" s="1880">
        <f ca="1">L60</f>
        <v>0</v>
      </c>
      <c r="R57" s="1880" t="s">
        <v>1553</v>
      </c>
    </row>
    <row r="58" spans="1:18" s="1836" customFormat="1" ht="24.75" thickBot="1">
      <c r="A58" s="358" t="s">
        <v>1026</v>
      </c>
      <c r="B58" s="1173" t="s">
        <v>1418</v>
      </c>
      <c r="C58" s="359">
        <f ca="1">ROUND(C59+C64+C65+C66,0)</f>
        <v>633</v>
      </c>
      <c r="D58" s="1175" t="s">
        <v>1419</v>
      </c>
      <c r="E58" s="1176"/>
      <c r="F58" s="1177"/>
      <c r="I58" s="1915" t="s">
        <v>1554</v>
      </c>
      <c r="J58" s="1917" t="e">
        <f ca="1">IF(J55&lt;0.4,0.4,J55)</f>
        <v>#VALUE!</v>
      </c>
      <c r="K58" s="1894" t="s">
        <v>1555</v>
      </c>
      <c r="L58" s="1884" t="e">
        <f ca="1">ROUND(POWER(1+L52,L47-L48)*(POWER(1+L52,L48)-1)/(POWER(1+L52,L47)-1),4)</f>
        <v>#DIV/0!</v>
      </c>
      <c r="O58" s="1888" t="s">
        <v>1038</v>
      </c>
      <c r="P58" s="1879" t="s">
        <v>1556</v>
      </c>
      <c r="Q58" s="1880">
        <f>IF(L55="比较法",L49,IF(L55="基准地价",L50,0))</f>
        <v>0</v>
      </c>
      <c r="R58" s="1880" t="s">
        <v>1523</v>
      </c>
    </row>
    <row r="59" spans="1:18" s="1836" customFormat="1" ht="24.75" thickBot="1">
      <c r="A59" s="1197" t="s">
        <v>1031</v>
      </c>
      <c r="B59" s="1165" t="s">
        <v>1423</v>
      </c>
      <c r="C59" s="24">
        <f ca="1">ROUND(IF(项目基本情况!B11="自然人",C48*F59,C60+C61+C62),1)</f>
        <v>633.20000000000005</v>
      </c>
      <c r="D59" s="1178" t="s">
        <v>1424</v>
      </c>
      <c r="E59" s="1179" t="s">
        <v>1425</v>
      </c>
      <c r="F59" s="366" t="str">
        <f ca="1">IF(项目基本情况!B11="企业","",IF(INDIRECT("'数据-取费表'!c"&amp;$G$1)="住宅",5%,IF(F49*F50*F51/12/(1+'数据-取费表'!C42)&gt;20000,12%,7%)))</f>
        <v/>
      </c>
      <c r="I59" s="1915" t="s">
        <v>1557</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1039</v>
      </c>
      <c r="P59" s="1879" t="s">
        <v>1558</v>
      </c>
      <c r="Q59" s="1891">
        <f>L52</f>
        <v>0</v>
      </c>
      <c r="R59" s="1880"/>
    </row>
    <row r="60" spans="1:18" s="1836" customFormat="1" ht="16.5" thickBot="1">
      <c r="A60" s="1197" t="s">
        <v>1030</v>
      </c>
      <c r="B60" s="1165" t="s">
        <v>1427</v>
      </c>
      <c r="C60" s="24">
        <f ca="1">IF(项目基本情况!B11="自然人","——",ROUND(C48*F60/(1+'数据-取费表'!C42),2))</f>
        <v>0</v>
      </c>
      <c r="D60" s="1179" t="s">
        <v>1428</v>
      </c>
      <c r="E60" s="1165" t="s">
        <v>1416</v>
      </c>
      <c r="F60" s="375">
        <f t="shared" ref="F60:F66" si="0">F32</f>
        <v>5.5000000000000007E-2</v>
      </c>
      <c r="I60" s="1918" t="s">
        <v>1559</v>
      </c>
      <c r="J60" s="1919" t="str">
        <f ca="1">IF(OR(M47="住宅",J51&lt;L48,J56="是"),"0",ROUND(J59/(1+J52)^J53,0))</f>
        <v>0</v>
      </c>
      <c r="K60" s="1920" t="s">
        <v>1560</v>
      </c>
      <c r="L60" s="1919">
        <f ca="1">IF(OR(M47="住宅",L48&lt;J51),0,ROUND(L57*(L58/L59-1),0))</f>
        <v>0</v>
      </c>
      <c r="O60" s="1888" t="s">
        <v>1040</v>
      </c>
      <c r="P60" s="1879" t="s">
        <v>1561</v>
      </c>
      <c r="Q60" s="1880" t="e">
        <f ca="1">L58</f>
        <v>#DIV/0!</v>
      </c>
      <c r="R60" s="1880" t="s">
        <v>1562</v>
      </c>
    </row>
    <row r="61" spans="1:18" s="1836" customFormat="1" ht="13.5" thickBot="1">
      <c r="A61" s="1197" t="s">
        <v>1486</v>
      </c>
      <c r="B61" s="1165" t="s">
        <v>1431</v>
      </c>
      <c r="C61" s="24">
        <f ca="1">IF(项目基本情况!B11="自然人","——",IF(D61="按租金收入计税",ROUND(C48*F61,2),IF(D61="按房产原值计税",ROUND(C57*F61*0.7,2),INDIRECT("'数据-取费表'!Aj"&amp;$G$1))))</f>
        <v>631.85</v>
      </c>
      <c r="D61" s="1822" t="s">
        <v>1432</v>
      </c>
      <c r="E61" s="1165" t="s">
        <v>1416</v>
      </c>
      <c r="F61" s="365">
        <f t="shared" si="0"/>
        <v>0.12</v>
      </c>
      <c r="I61" s="1921"/>
      <c r="J61" s="1921"/>
      <c r="K61" s="1921"/>
      <c r="L61" s="1921"/>
      <c r="O61" s="1888" t="s">
        <v>1041</v>
      </c>
      <c r="P61" s="1879" t="str">
        <f>K59</f>
        <v>续建工期及建筑物耐用年限下的土地年期修正系数Kn</v>
      </c>
      <c r="Q61" s="1880" t="e">
        <f ca="1">L59</f>
        <v>#DIV/0!</v>
      </c>
      <c r="R61" s="1880" t="s">
        <v>1563</v>
      </c>
    </row>
    <row r="62" spans="1:18" s="1836" customFormat="1" ht="13.5" thickBot="1">
      <c r="A62" s="1197" t="s">
        <v>1489</v>
      </c>
      <c r="B62" s="1164" t="s">
        <v>1435</v>
      </c>
      <c r="C62" s="25">
        <f ca="1">IF(项目基本情况!B11="自然人","——",ROUND(F62*F63/10000,2))</f>
        <v>1.31</v>
      </c>
      <c r="D62" s="1180" t="s">
        <v>1436</v>
      </c>
      <c r="E62" s="1165" t="s">
        <v>1437</v>
      </c>
      <c r="F62" s="369">
        <f t="shared" si="0"/>
        <v>1.5</v>
      </c>
      <c r="I62" s="1922" t="s">
        <v>1564</v>
      </c>
      <c r="J62" s="1923" t="s">
        <v>1565</v>
      </c>
      <c r="K62" s="1923" t="s">
        <v>1566</v>
      </c>
      <c r="L62" s="1923" t="s">
        <v>1567</v>
      </c>
      <c r="M62" s="1924" t="s">
        <v>1568</v>
      </c>
      <c r="O62" s="1878" t="s">
        <v>1042</v>
      </c>
      <c r="P62" s="1879" t="s">
        <v>1543</v>
      </c>
      <c r="Q62" s="1880">
        <f ca="1">Q56+Q57</f>
        <v>-19</v>
      </c>
      <c r="R62" s="1880" t="s">
        <v>1043</v>
      </c>
    </row>
    <row r="63" spans="1:18" s="1836" customFormat="1" ht="13.5" thickBot="1">
      <c r="A63" s="370"/>
      <c r="B63" s="1171"/>
      <c r="C63" s="29"/>
      <c r="D63" s="1181"/>
      <c r="E63" s="1165" t="s">
        <v>1441</v>
      </c>
      <c r="F63" s="346">
        <f t="shared" ca="1" si="0"/>
        <v>8766.26</v>
      </c>
      <c r="I63" s="1922" t="s">
        <v>1570</v>
      </c>
      <c r="J63" s="1923">
        <v>70</v>
      </c>
      <c r="K63" s="1923">
        <v>50</v>
      </c>
      <c r="L63" s="1923">
        <v>80</v>
      </c>
      <c r="M63" s="1925">
        <v>0.02</v>
      </c>
      <c r="O63" s="1863" t="s">
        <v>1571</v>
      </c>
      <c r="P63" s="1833"/>
      <c r="Q63" s="1833"/>
      <c r="R63" s="1833"/>
    </row>
    <row r="64" spans="1:18" s="1836" customFormat="1" ht="13.5" thickBot="1">
      <c r="A64" s="1197" t="s">
        <v>1035</v>
      </c>
      <c r="B64" s="1165" t="s">
        <v>1443</v>
      </c>
      <c r="C64" s="24">
        <f ca="1">ROUND(C57*F64,1)</f>
        <v>0</v>
      </c>
      <c r="D64" s="1179" t="s">
        <v>1476</v>
      </c>
      <c r="E64" s="1165" t="s">
        <v>1416</v>
      </c>
      <c r="F64" s="372">
        <f t="shared" ca="1" si="0"/>
        <v>0</v>
      </c>
      <c r="I64" s="1922" t="s">
        <v>1572</v>
      </c>
      <c r="J64" s="1923">
        <v>50</v>
      </c>
      <c r="K64" s="1923">
        <v>35</v>
      </c>
      <c r="L64" s="1923">
        <v>60</v>
      </c>
      <c r="M64" s="1924">
        <v>0</v>
      </c>
      <c r="O64" s="1871" t="s">
        <v>1516</v>
      </c>
      <c r="P64" s="1872" t="s">
        <v>1517</v>
      </c>
      <c r="Q64" s="1873" t="s">
        <v>1518</v>
      </c>
      <c r="R64" s="1873" t="s">
        <v>1519</v>
      </c>
    </row>
    <row r="65" spans="1:18" s="1836" customFormat="1" ht="13.5" thickBot="1">
      <c r="A65" s="1197" t="s">
        <v>1497</v>
      </c>
      <c r="B65" s="1165" t="s">
        <v>1447</v>
      </c>
      <c r="C65" s="24">
        <f ca="1">ROUND(C56*F65,1)</f>
        <v>0</v>
      </c>
      <c r="D65" s="1179" t="s">
        <v>1448</v>
      </c>
      <c r="E65" s="1165" t="s">
        <v>1416</v>
      </c>
      <c r="F65" s="374">
        <f t="shared" ca="1" si="0"/>
        <v>0</v>
      </c>
      <c r="I65" s="1922" t="s">
        <v>1573</v>
      </c>
      <c r="J65" s="1923">
        <v>40</v>
      </c>
      <c r="K65" s="1923">
        <v>30</v>
      </c>
      <c r="L65" s="1923">
        <v>50</v>
      </c>
      <c r="M65" s="1925">
        <v>0.02</v>
      </c>
      <c r="O65" s="1878" t="s">
        <v>1036</v>
      </c>
      <c r="P65" s="1879" t="s">
        <v>1522</v>
      </c>
      <c r="Q65" s="1880">
        <f ca="1">C40+J29</f>
        <v>-19</v>
      </c>
      <c r="R65" s="1880" t="s">
        <v>1523</v>
      </c>
    </row>
    <row r="66" spans="1:18" s="1836" customFormat="1" ht="16.5" thickBot="1">
      <c r="A66" s="1197" t="s">
        <v>1498</v>
      </c>
      <c r="B66" s="1165" t="s">
        <v>1433</v>
      </c>
      <c r="C66" s="24">
        <f ca="1">ROUND(C48*F66,1)</f>
        <v>0</v>
      </c>
      <c r="D66" s="1179" t="s">
        <v>1453</v>
      </c>
      <c r="E66" s="1165" t="s">
        <v>1416</v>
      </c>
      <c r="F66" s="355">
        <f t="shared" ca="1" si="0"/>
        <v>0</v>
      </c>
      <c r="O66" s="1878" t="s">
        <v>1037</v>
      </c>
      <c r="P66" s="1879" t="s">
        <v>1552</v>
      </c>
      <c r="Q66" s="1880">
        <f ca="1">L60</f>
        <v>0</v>
      </c>
      <c r="R66" s="1880" t="s">
        <v>1575</v>
      </c>
    </row>
    <row r="67" spans="1:18" s="1836" customFormat="1" ht="16.5" thickBot="1">
      <c r="A67" s="1172" t="s">
        <v>1027</v>
      </c>
      <c r="B67" s="1182" t="s">
        <v>1457</v>
      </c>
      <c r="C67" s="359">
        <f ca="1">C48-C58</f>
        <v>-633</v>
      </c>
      <c r="D67" s="1178" t="s">
        <v>1458</v>
      </c>
      <c r="E67" s="1183"/>
      <c r="F67" s="1184"/>
      <c r="O67" s="1888" t="s">
        <v>1038</v>
      </c>
      <c r="P67" s="1879" t="s">
        <v>1556</v>
      </c>
      <c r="Q67" s="1926">
        <f ca="1">L51</f>
        <v>-21</v>
      </c>
      <c r="R67" s="1880" t="s">
        <v>1576</v>
      </c>
    </row>
    <row r="68" spans="1:18" s="1836" customFormat="1" ht="16.5" thickBot="1">
      <c r="A68" s="1162" t="s">
        <v>1028</v>
      </c>
      <c r="B68" s="1163" t="s">
        <v>1479</v>
      </c>
      <c r="C68" s="344">
        <f ca="1">ROUND(C67*(1-((1+F70)/(1+F68))^F69)/(F68-F70),0)</f>
        <v>-12248</v>
      </c>
      <c r="D68" s="1180" t="s">
        <v>1463</v>
      </c>
      <c r="E68" s="1165" t="s">
        <v>1464</v>
      </c>
      <c r="F68" s="355">
        <f ca="1">F40</f>
        <v>4.4999999999999998E-2</v>
      </c>
      <c r="O68" s="1888" t="s">
        <v>1039</v>
      </c>
      <c r="P68" s="1927" t="s">
        <v>1577</v>
      </c>
      <c r="Q68" s="1880">
        <f ca="1">ROUND(Q69-Q70*Q71,0)</f>
        <v>-1</v>
      </c>
      <c r="R68" s="1880" t="s">
        <v>1047</v>
      </c>
    </row>
    <row r="69" spans="1:18" s="1836" customFormat="1" ht="13.5" thickBot="1">
      <c r="A69" s="1166"/>
      <c r="B69" s="1167"/>
      <c r="C69" s="349"/>
      <c r="D69" s="1185" t="s">
        <v>1467</v>
      </c>
      <c r="E69" s="1165" t="s">
        <v>1468</v>
      </c>
      <c r="F69" s="377">
        <f ca="1">F41</f>
        <v>46.47</v>
      </c>
      <c r="O69" s="1888" t="s">
        <v>1044</v>
      </c>
      <c r="P69" s="1927" t="s">
        <v>1578</v>
      </c>
      <c r="Q69" s="1880">
        <f ca="1">C39</f>
        <v>-1</v>
      </c>
      <c r="R69" s="1880" t="s">
        <v>1523</v>
      </c>
    </row>
    <row r="70" spans="1:18" s="1836" customFormat="1" ht="13.5" thickBot="1">
      <c r="A70" s="1169"/>
      <c r="B70" s="1170"/>
      <c r="C70" s="353"/>
      <c r="D70" s="1181"/>
      <c r="E70" s="1165" t="s">
        <v>1471</v>
      </c>
      <c r="F70" s="1271"/>
      <c r="O70" s="1888" t="s">
        <v>1045</v>
      </c>
      <c r="P70" s="1927" t="s">
        <v>1579</v>
      </c>
      <c r="Q70" s="1880">
        <f ca="1">C13</f>
        <v>0</v>
      </c>
      <c r="R70" s="1880" t="s">
        <v>1523</v>
      </c>
    </row>
    <row r="71" spans="1:18" s="1836" customFormat="1" ht="13.5" thickBot="1">
      <c r="A71" s="1186" t="s">
        <v>1029</v>
      </c>
      <c r="B71" s="1187" t="s">
        <v>1481</v>
      </c>
      <c r="C71" s="380">
        <f ca="1">ROUND(C68*10000/F71,0)</f>
        <v>-5654</v>
      </c>
      <c r="D71" s="1188" t="s">
        <v>1482</v>
      </c>
      <c r="E71" s="1189" t="s">
        <v>1483</v>
      </c>
      <c r="F71" s="383">
        <f ca="1">F43</f>
        <v>21662.76</v>
      </c>
      <c r="O71" s="1888" t="s">
        <v>1046</v>
      </c>
      <c r="P71" s="1927" t="s">
        <v>1580</v>
      </c>
      <c r="Q71" s="1891">
        <f ca="1">C76</f>
        <v>8.5000000000000006E-2</v>
      </c>
      <c r="R71" s="1880"/>
    </row>
    <row r="72" spans="1:18" s="1836" customFormat="1" ht="13.5" thickBot="1">
      <c r="B72" s="794"/>
      <c r="C72" s="794"/>
      <c r="O72" s="1888" t="s">
        <v>1040</v>
      </c>
      <c r="P72" s="1879" t="s">
        <v>1558</v>
      </c>
      <c r="Q72" s="1891">
        <f>L52</f>
        <v>0</v>
      </c>
      <c r="R72" s="1880"/>
    </row>
    <row r="73" spans="1:18" ht="16.5" thickBot="1">
      <c r="A73" s="1836"/>
      <c r="B73" s="794"/>
      <c r="C73" s="794"/>
      <c r="D73" s="1836"/>
      <c r="E73" s="1836"/>
      <c r="F73" s="1836"/>
      <c r="O73" s="1888" t="s">
        <v>1041</v>
      </c>
      <c r="P73" s="1879" t="s">
        <v>1561</v>
      </c>
      <c r="Q73" s="1880" t="e">
        <f ca="1">L58</f>
        <v>#DIV/0!</v>
      </c>
      <c r="R73" s="1880" t="s">
        <v>1562</v>
      </c>
    </row>
    <row r="74" spans="1:18" ht="13.5" thickBot="1">
      <c r="A74" s="1836"/>
      <c r="B74" s="315" t="s">
        <v>1581</v>
      </c>
      <c r="C74" s="1929"/>
      <c r="D74" s="1836"/>
      <c r="E74" s="1836"/>
      <c r="F74" s="1836"/>
      <c r="O74" s="1888" t="s">
        <v>1048</v>
      </c>
      <c r="P74" s="1879" t="str">
        <f>K59</f>
        <v>续建工期及建筑物耐用年限下的土地年期修正系数Kn</v>
      </c>
      <c r="Q74" s="1880" t="e">
        <f ca="1">L59</f>
        <v>#DIV/0!</v>
      </c>
      <c r="R74" s="1880" t="s">
        <v>1563</v>
      </c>
    </row>
    <row r="75" spans="1:18" ht="13.5" thickBot="1">
      <c r="A75" s="1836"/>
      <c r="B75" s="384" t="s">
        <v>1500</v>
      </c>
      <c r="C75" s="385">
        <f ca="1">ROUND(C13*C76,0)</f>
        <v>0</v>
      </c>
      <c r="D75" s="1836"/>
      <c r="E75" s="1836"/>
      <c r="F75" s="1836"/>
      <c r="K75" s="1862"/>
      <c r="L75" s="1836"/>
      <c r="O75" s="1878" t="s">
        <v>1042</v>
      </c>
      <c r="P75" s="1879" t="s">
        <v>1543</v>
      </c>
      <c r="Q75" s="1880">
        <f ca="1">Q65+Q66</f>
        <v>-19</v>
      </c>
      <c r="R75" s="1880" t="s">
        <v>1043</v>
      </c>
    </row>
    <row r="76" spans="1:18">
      <c r="B76" s="386" t="s">
        <v>1501</v>
      </c>
      <c r="C76" s="387">
        <f ca="1">INDIRECT("'数据-取费表'!j"&amp;$G$1)</f>
        <v>8.5000000000000006E-2</v>
      </c>
      <c r="I76" s="1836"/>
      <c r="J76" s="1836"/>
      <c r="K76" s="1862"/>
      <c r="L76" s="1836"/>
    </row>
    <row r="77" spans="1:18">
      <c r="B77" s="388" t="s">
        <v>1502</v>
      </c>
      <c r="C77" s="389"/>
      <c r="I77" s="1836"/>
      <c r="J77" s="1836"/>
      <c r="K77" s="1862"/>
      <c r="L77" s="1836"/>
    </row>
    <row r="78" spans="1:18">
      <c r="B78" s="312" t="s">
        <v>1503</v>
      </c>
      <c r="C78" s="390"/>
    </row>
    <row r="79" spans="1:18">
      <c r="B79" s="384" t="s">
        <v>1504</v>
      </c>
      <c r="C79" s="316">
        <f ca="1">1-C80</f>
        <v>1</v>
      </c>
    </row>
    <row r="80" spans="1:18">
      <c r="B80" s="384" t="s">
        <v>1505</v>
      </c>
      <c r="C80" s="316">
        <f ca="1">ROUND(C75/C39,3)</f>
        <v>0</v>
      </c>
    </row>
    <row r="81" spans="2:3">
      <c r="B81" s="312" t="s">
        <v>1506</v>
      </c>
      <c r="C81" s="280"/>
    </row>
    <row r="82" spans="2:3">
      <c r="B82" s="315" t="s">
        <v>1507</v>
      </c>
      <c r="C82" s="317">
        <f ca="1">1-C83</f>
        <v>1</v>
      </c>
    </row>
    <row r="83" spans="2:3">
      <c r="B83" s="315" t="s">
        <v>1508</v>
      </c>
      <c r="C83" s="316">
        <f ca="1">ROUND(C13/C40,3)</f>
        <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5"/>
  <sheetViews>
    <sheetView workbookViewId="0">
      <selection activeCell="J29" sqref="J29"/>
    </sheetView>
  </sheetViews>
  <sheetFormatPr defaultRowHeight="13.5"/>
  <cols>
    <col min="1" max="1" width="13" bestFit="1" customWidth="1"/>
    <col min="2" max="2" width="16.875" customWidth="1"/>
    <col min="3" max="4" width="7.125" bestFit="1" customWidth="1"/>
    <col min="5" max="5" width="23" bestFit="1" customWidth="1"/>
    <col min="7" max="7" width="5.25" bestFit="1" customWidth="1"/>
    <col min="8" max="8" width="13.125" bestFit="1" customWidth="1"/>
    <col min="9" max="9" width="15.25" bestFit="1" customWidth="1"/>
    <col min="10" max="10" width="16.375" bestFit="1" customWidth="1"/>
  </cols>
  <sheetData>
    <row r="2" spans="1:14">
      <c r="A2" s="3086" t="s">
        <v>4673</v>
      </c>
      <c r="B2" s="3086" t="s">
        <v>4616</v>
      </c>
      <c r="C2" s="3086" t="s">
        <v>4681</v>
      </c>
      <c r="D2" s="3087"/>
      <c r="E2" s="3087"/>
      <c r="F2" s="3087"/>
      <c r="G2" s="3087"/>
      <c r="H2" s="3087"/>
      <c r="I2" s="3087"/>
      <c r="J2" s="3087"/>
      <c r="L2" t="s">
        <v>4679</v>
      </c>
      <c r="M2">
        <v>55583</v>
      </c>
      <c r="N2" s="2946" t="s">
        <v>4681</v>
      </c>
    </row>
    <row r="3" spans="1:14" s="3055" customFormat="1">
      <c r="A3" s="3088" t="s">
        <v>4661</v>
      </c>
      <c r="B3" s="3088" t="s">
        <v>4662</v>
      </c>
      <c r="C3" s="3088" t="s">
        <v>4663</v>
      </c>
      <c r="D3" s="3088" t="s">
        <v>4664</v>
      </c>
      <c r="E3" s="3088" t="s">
        <v>4665</v>
      </c>
      <c r="F3" s="3088" t="s">
        <v>4666</v>
      </c>
      <c r="G3" s="3088" t="s">
        <v>4667</v>
      </c>
      <c r="H3" s="3088" t="s">
        <v>4668</v>
      </c>
      <c r="I3" s="3088" t="s">
        <v>4669</v>
      </c>
      <c r="J3" s="3088" t="s">
        <v>4670</v>
      </c>
    </row>
    <row r="4" spans="1:14">
      <c r="A4" s="3089">
        <v>43850</v>
      </c>
      <c r="B4" s="3017" t="s">
        <v>4671</v>
      </c>
      <c r="C4" s="3017" t="s">
        <v>1326</v>
      </c>
      <c r="D4" s="3017">
        <v>570</v>
      </c>
      <c r="E4" s="3017" t="s">
        <v>4672</v>
      </c>
      <c r="F4" s="3017" t="s">
        <v>3190</v>
      </c>
      <c r="G4" s="3017" t="s">
        <v>3081</v>
      </c>
      <c r="H4" s="3017">
        <v>38</v>
      </c>
      <c r="I4" s="3017">
        <v>38</v>
      </c>
      <c r="J4" s="3017">
        <v>9911</v>
      </c>
    </row>
    <row r="5" spans="1:14">
      <c r="A5" s="3089">
        <v>43850</v>
      </c>
      <c r="B5" s="3017" t="s">
        <v>4671</v>
      </c>
      <c r="C5" s="3017" t="s">
        <v>1326</v>
      </c>
      <c r="D5" s="3017">
        <v>571</v>
      </c>
      <c r="E5" s="3017" t="s">
        <v>4672</v>
      </c>
      <c r="F5" s="3017" t="s">
        <v>3190</v>
      </c>
      <c r="G5" s="3017" t="s">
        <v>3081</v>
      </c>
      <c r="H5" s="3017">
        <v>38</v>
      </c>
      <c r="I5" s="3017">
        <v>38</v>
      </c>
      <c r="J5" s="3017">
        <v>9911</v>
      </c>
    </row>
    <row r="7" spans="1:14">
      <c r="A7" s="3090" t="s">
        <v>4676</v>
      </c>
      <c r="B7" s="3090" t="s">
        <v>4678</v>
      </c>
      <c r="C7" s="3091"/>
      <c r="D7" s="3091"/>
      <c r="E7" s="3091"/>
      <c r="F7" s="3091"/>
      <c r="G7" s="3091"/>
      <c r="H7" s="3091"/>
      <c r="I7" s="3091"/>
      <c r="J7" s="3091"/>
    </row>
    <row r="8" spans="1:14" s="2940" customFormat="1">
      <c r="A8" s="3088" t="s">
        <v>4661</v>
      </c>
      <c r="B8" s="3088" t="s">
        <v>4662</v>
      </c>
      <c r="C8" s="3088" t="s">
        <v>4663</v>
      </c>
      <c r="D8" s="3088" t="s">
        <v>4664</v>
      </c>
      <c r="E8" s="3088" t="s">
        <v>4665</v>
      </c>
      <c r="F8" s="3088" t="s">
        <v>4666</v>
      </c>
      <c r="G8" s="3088" t="s">
        <v>4667</v>
      </c>
      <c r="H8" s="3088" t="s">
        <v>4668</v>
      </c>
      <c r="I8" s="3088" t="s">
        <v>4669</v>
      </c>
      <c r="J8" s="3088" t="s">
        <v>4670</v>
      </c>
    </row>
    <row r="9" spans="1:14">
      <c r="A9" s="3092">
        <v>43825</v>
      </c>
      <c r="B9" s="3091" t="s">
        <v>4674</v>
      </c>
      <c r="C9" s="3091" t="s">
        <v>1326</v>
      </c>
      <c r="D9" s="3091">
        <v>1580</v>
      </c>
      <c r="E9" s="3091" t="s">
        <v>4675</v>
      </c>
      <c r="F9" s="3091" t="s">
        <v>3190</v>
      </c>
      <c r="G9" s="3091" t="s">
        <v>3081</v>
      </c>
      <c r="H9" s="3091">
        <v>36</v>
      </c>
      <c r="I9" s="3091">
        <v>42</v>
      </c>
      <c r="J9" s="3091">
        <v>11738</v>
      </c>
    </row>
    <row r="10" spans="1:14">
      <c r="A10" s="3092">
        <v>43825</v>
      </c>
      <c r="B10" s="3091" t="s">
        <v>4674</v>
      </c>
      <c r="C10" s="3091" t="s">
        <v>1326</v>
      </c>
      <c r="D10" s="3091">
        <v>1581</v>
      </c>
      <c r="E10" s="3091" t="s">
        <v>4675</v>
      </c>
      <c r="F10" s="3091" t="s">
        <v>3190</v>
      </c>
      <c r="G10" s="3091" t="s">
        <v>3081</v>
      </c>
      <c r="H10" s="3091">
        <v>36</v>
      </c>
      <c r="I10" s="3091">
        <v>42</v>
      </c>
      <c r="J10" s="3091">
        <v>11738</v>
      </c>
    </row>
    <row r="11" spans="1:14">
      <c r="A11" s="3093"/>
      <c r="B11" s="3094"/>
      <c r="C11" s="3094"/>
      <c r="D11" s="3094"/>
      <c r="E11" s="3094"/>
      <c r="F11" s="3094"/>
      <c r="G11" s="3094"/>
      <c r="H11" s="3094"/>
      <c r="I11" s="3094"/>
      <c r="J11" s="3094"/>
    </row>
    <row r="12" spans="1:14" hidden="1"/>
    <row r="13" spans="1:14" hidden="1">
      <c r="A13" s="3086" t="s">
        <v>4682</v>
      </c>
      <c r="B13" s="3086" t="s">
        <v>4683</v>
      </c>
      <c r="C13" s="3087"/>
      <c r="D13" s="3087"/>
      <c r="E13" s="3087"/>
      <c r="F13" s="3087"/>
      <c r="G13" s="3087"/>
      <c r="H13" s="3087"/>
      <c r="I13" s="3087"/>
      <c r="J13" s="3087"/>
    </row>
    <row r="14" spans="1:14" hidden="1">
      <c r="A14" s="3091" t="s">
        <v>4661</v>
      </c>
      <c r="B14" s="3091" t="s">
        <v>4662</v>
      </c>
      <c r="C14" s="3091" t="s">
        <v>4663</v>
      </c>
      <c r="D14" s="3091" t="s">
        <v>4664</v>
      </c>
      <c r="E14" s="3091" t="s">
        <v>4665</v>
      </c>
      <c r="F14" s="3091" t="s">
        <v>4666</v>
      </c>
      <c r="G14" s="3091" t="s">
        <v>4667</v>
      </c>
      <c r="H14" s="3091" t="s">
        <v>4668</v>
      </c>
      <c r="I14" s="3091" t="s">
        <v>4669</v>
      </c>
      <c r="J14" s="3091" t="s">
        <v>4670</v>
      </c>
    </row>
    <row r="15" spans="1:14" hidden="1">
      <c r="A15" s="3092">
        <v>43845</v>
      </c>
      <c r="B15" s="3091" t="s">
        <v>4684</v>
      </c>
      <c r="C15" s="3091" t="s">
        <v>1326</v>
      </c>
      <c r="D15" s="3091">
        <v>-92</v>
      </c>
      <c r="E15" s="3091" t="s">
        <v>4685</v>
      </c>
      <c r="F15" s="3091" t="s">
        <v>3190</v>
      </c>
      <c r="G15" s="3091" t="s">
        <v>3081</v>
      </c>
      <c r="H15" s="3091">
        <v>35</v>
      </c>
      <c r="I15" s="3091">
        <v>18</v>
      </c>
      <c r="J15" s="3091">
        <v>5159</v>
      </c>
    </row>
    <row r="16" spans="1:14" hidden="1">
      <c r="A16" s="3092">
        <v>43845</v>
      </c>
      <c r="B16" s="3091" t="s">
        <v>4684</v>
      </c>
      <c r="C16" s="3091" t="s">
        <v>1326</v>
      </c>
      <c r="D16" s="3091">
        <v>-91</v>
      </c>
      <c r="E16" s="3091" t="s">
        <v>4685</v>
      </c>
      <c r="F16" s="3091" t="s">
        <v>3190</v>
      </c>
      <c r="G16" s="3091" t="s">
        <v>3081</v>
      </c>
      <c r="H16" s="3091">
        <v>35</v>
      </c>
      <c r="I16" s="3091">
        <v>18</v>
      </c>
      <c r="J16" s="3091">
        <v>5159</v>
      </c>
    </row>
    <row r="17" spans="1:10" hidden="1">
      <c r="A17" s="3092">
        <v>43845</v>
      </c>
      <c r="B17" s="3091" t="s">
        <v>4684</v>
      </c>
      <c r="C17" s="3091" t="s">
        <v>1326</v>
      </c>
      <c r="D17" s="3091">
        <v>-58</v>
      </c>
      <c r="E17" s="3091" t="s">
        <v>4685</v>
      </c>
      <c r="F17" s="3091" t="s">
        <v>3190</v>
      </c>
      <c r="G17" s="3091" t="s">
        <v>3081</v>
      </c>
      <c r="H17" s="3091">
        <v>35</v>
      </c>
      <c r="I17" s="3091">
        <v>18</v>
      </c>
      <c r="J17" s="3091">
        <v>5159</v>
      </c>
    </row>
    <row r="18" spans="1:10" hidden="1">
      <c r="A18" s="3092">
        <v>43844</v>
      </c>
      <c r="B18" s="3091" t="s">
        <v>4684</v>
      </c>
      <c r="C18" s="3091" t="s">
        <v>1326</v>
      </c>
      <c r="D18" s="3091">
        <v>-67</v>
      </c>
      <c r="E18" s="3091" t="s">
        <v>4685</v>
      </c>
      <c r="F18" s="3091" t="s">
        <v>3190</v>
      </c>
      <c r="G18" s="3091" t="s">
        <v>3081</v>
      </c>
      <c r="H18" s="3091">
        <v>35</v>
      </c>
      <c r="I18" s="3091">
        <v>18</v>
      </c>
      <c r="J18" s="3091">
        <v>5159</v>
      </c>
    </row>
    <row r="19" spans="1:10" hidden="1">
      <c r="A19" s="3092">
        <v>43844</v>
      </c>
      <c r="B19" s="3091" t="s">
        <v>4684</v>
      </c>
      <c r="C19" s="3091" t="s">
        <v>1326</v>
      </c>
      <c r="D19" s="3091">
        <v>-83</v>
      </c>
      <c r="E19" s="3091" t="s">
        <v>4685</v>
      </c>
      <c r="F19" s="3091" t="s">
        <v>3190</v>
      </c>
      <c r="G19" s="3091" t="s">
        <v>3081</v>
      </c>
      <c r="H19" s="3091">
        <v>35</v>
      </c>
      <c r="I19" s="3091">
        <v>18</v>
      </c>
      <c r="J19" s="3091">
        <v>5159</v>
      </c>
    </row>
    <row r="20" spans="1:10" hidden="1"/>
    <row r="21" spans="1:10" hidden="1"/>
    <row r="22" spans="1:10">
      <c r="A22" s="3016" t="s">
        <v>4688</v>
      </c>
      <c r="B22" s="3017"/>
      <c r="C22" s="3017"/>
      <c r="D22" s="3017"/>
      <c r="E22" s="3017"/>
      <c r="F22" s="3017"/>
      <c r="G22" s="3017"/>
      <c r="H22" s="3017"/>
      <c r="I22" s="3017"/>
      <c r="J22" s="3017"/>
    </row>
    <row r="23" spans="1:10">
      <c r="A23" s="3017" t="s">
        <v>4661</v>
      </c>
      <c r="B23" s="3017" t="s">
        <v>4662</v>
      </c>
      <c r="C23" s="3017" t="s">
        <v>4663</v>
      </c>
      <c r="D23" s="3017" t="s">
        <v>4664</v>
      </c>
      <c r="E23" s="3017" t="s">
        <v>4665</v>
      </c>
      <c r="F23" s="3017" t="s">
        <v>4666</v>
      </c>
      <c r="G23" s="3017" t="s">
        <v>4667</v>
      </c>
      <c r="H23" s="3017" t="s">
        <v>4668</v>
      </c>
      <c r="I23" s="3017" t="s">
        <v>4669</v>
      </c>
      <c r="J23" s="3017" t="s">
        <v>4670</v>
      </c>
    </row>
    <row r="24" spans="1:10">
      <c r="A24" s="3089">
        <v>43781</v>
      </c>
      <c r="B24" s="3017" t="s">
        <v>4686</v>
      </c>
      <c r="C24" s="3017" t="s">
        <v>1326</v>
      </c>
      <c r="D24" s="3017">
        <v>222</v>
      </c>
      <c r="E24" s="3017" t="s">
        <v>4687</v>
      </c>
      <c r="F24" s="3017" t="s">
        <v>3190</v>
      </c>
      <c r="G24" s="3017" t="s">
        <v>3081</v>
      </c>
      <c r="H24" s="3017">
        <v>53</v>
      </c>
      <c r="I24" s="3017">
        <v>40</v>
      </c>
      <c r="J24" s="3017">
        <v>7583</v>
      </c>
    </row>
    <row r="25" spans="1:10">
      <c r="A25" s="3089">
        <v>43781</v>
      </c>
      <c r="B25" s="3017" t="s">
        <v>4686</v>
      </c>
      <c r="C25" s="3017" t="s">
        <v>1326</v>
      </c>
      <c r="D25" s="3017">
        <v>221</v>
      </c>
      <c r="E25" s="3017" t="s">
        <v>4687</v>
      </c>
      <c r="F25" s="3017" t="s">
        <v>3190</v>
      </c>
      <c r="G25" s="3017" t="s">
        <v>3081</v>
      </c>
      <c r="H25" s="3017">
        <v>53</v>
      </c>
      <c r="I25" s="3017">
        <v>40</v>
      </c>
      <c r="J25" s="3017">
        <v>7583</v>
      </c>
    </row>
  </sheetData>
  <phoneticPr fontId="143"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G39" sqref="G39"/>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1583</v>
      </c>
      <c r="B1" s="780"/>
      <c r="C1" s="1831" t="s">
        <v>4715</v>
      </c>
      <c r="D1" s="1814" t="s">
        <v>4526</v>
      </c>
      <c r="E1" s="1815" t="s">
        <v>1381</v>
      </c>
      <c r="F1" s="1279">
        <f ca="1">J53</f>
        <v>46.47</v>
      </c>
      <c r="G1" s="1830">
        <f>MATCH(C1,'数据-取费表'!A6:A16,0)+5</f>
        <v>11</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1509</v>
      </c>
      <c r="B2" s="1838">
        <f ca="1">C40+J29+L46</f>
        <v>3657</v>
      </c>
      <c r="C2" s="1839" t="s">
        <v>1510</v>
      </c>
      <c r="D2" s="1839"/>
      <c r="E2" s="1840"/>
      <c r="F2" s="1841"/>
      <c r="G2" s="1842"/>
      <c r="H2" s="1834"/>
      <c r="I2" s="1834"/>
      <c r="J2" s="1834"/>
      <c r="K2" s="1835"/>
      <c r="L2" s="1834"/>
      <c r="M2" s="1834"/>
    </row>
    <row r="3" spans="1:37" ht="18" customHeight="1" thickBot="1">
      <c r="A3" s="1843" t="s">
        <v>1511</v>
      </c>
      <c r="B3" s="1844">
        <f ca="1">IF(ISERROR(B2*10000/F43),0,ROUND(B2*10000/F43,0))</f>
        <v>6276</v>
      </c>
      <c r="C3" s="1839" t="s">
        <v>1512</v>
      </c>
      <c r="D3" s="1839"/>
      <c r="E3" s="1840"/>
      <c r="F3" s="1841"/>
      <c r="G3" s="1842"/>
      <c r="H3" s="742" t="s">
        <v>1582</v>
      </c>
      <c r="I3" s="1834"/>
      <c r="J3" s="1834"/>
      <c r="K3" s="1835"/>
      <c r="L3" s="1834"/>
      <c r="M3" s="1834"/>
    </row>
    <row r="4" spans="1:37" ht="18" customHeight="1">
      <c r="A4" s="338" t="s">
        <v>1390</v>
      </c>
      <c r="B4" s="339" t="s">
        <v>1391</v>
      </c>
      <c r="C4" s="339" t="s">
        <v>1392</v>
      </c>
      <c r="D4" s="339" t="s">
        <v>1393</v>
      </c>
      <c r="E4" s="340" t="s">
        <v>1394</v>
      </c>
      <c r="F4" s="341"/>
      <c r="G4" s="1845"/>
      <c r="H4" s="338" t="s">
        <v>1390</v>
      </c>
      <c r="I4" s="339" t="s">
        <v>1391</v>
      </c>
      <c r="J4" s="339" t="s">
        <v>1392</v>
      </c>
      <c r="K4" s="339" t="s">
        <v>1393</v>
      </c>
      <c r="L4" s="340" t="s">
        <v>1394</v>
      </c>
      <c r="M4" s="341"/>
    </row>
    <row r="5" spans="1:37" ht="18" customHeight="1">
      <c r="A5" s="342">
        <v>1</v>
      </c>
      <c r="B5" s="343" t="s">
        <v>1395</v>
      </c>
      <c r="C5" s="1288">
        <f ca="1">C6+C10+C12</f>
        <v>271</v>
      </c>
      <c r="D5" s="1816" t="s">
        <v>1396</v>
      </c>
      <c r="E5" s="1289"/>
      <c r="F5" s="1290"/>
      <c r="G5" s="1845"/>
      <c r="H5" s="342">
        <v>1</v>
      </c>
      <c r="I5" s="343" t="s">
        <v>1395</v>
      </c>
      <c r="J5" s="1288">
        <f ca="1">J6+J10+J12</f>
        <v>0</v>
      </c>
      <c r="K5" s="1816" t="s">
        <v>1396</v>
      </c>
      <c r="L5" s="1289"/>
      <c r="M5" s="1290"/>
    </row>
    <row r="6" spans="1:37" ht="18" customHeight="1">
      <c r="A6" s="1287" t="s">
        <v>1031</v>
      </c>
      <c r="B6" s="3378" t="s">
        <v>1397</v>
      </c>
      <c r="C6" s="1292">
        <f ca="1">ROUND(F6*F8*F7*(1-F9)/10000,0)</f>
        <v>271</v>
      </c>
      <c r="D6" s="162" t="s">
        <v>3012</v>
      </c>
      <c r="E6" s="345" t="s">
        <v>1399</v>
      </c>
      <c r="F6" s="346">
        <f ca="1">INDIRECT("'数据-取费表'!u"&amp;$G$1)</f>
        <v>1.5</v>
      </c>
      <c r="G6" s="1845"/>
      <c r="H6" s="1287" t="s">
        <v>1031</v>
      </c>
      <c r="I6" s="3378" t="s">
        <v>1397</v>
      </c>
      <c r="J6" s="344">
        <f ca="1">ROUND(M6*M8*M7*(1-M9)/10000,0)</f>
        <v>0</v>
      </c>
      <c r="K6" s="162" t="s">
        <v>3011</v>
      </c>
      <c r="L6" s="345" t="s">
        <v>1399</v>
      </c>
      <c r="M6" s="346">
        <f ca="1">INDIRECT("'数据-取费表'!z"&amp;$G$1)</f>
        <v>0</v>
      </c>
    </row>
    <row r="7" spans="1:37" ht="18" customHeight="1">
      <c r="A7" s="1291"/>
      <c r="B7" s="3379"/>
      <c r="C7" s="1293"/>
      <c r="D7" s="350"/>
      <c r="E7" s="2958" t="s">
        <v>1400</v>
      </c>
      <c r="F7" s="346">
        <f ca="1">IF(INDIRECT("'数据-取费表'!ah"&amp;$G$1)="",INDIRECT("'数据-取费表'!k"&amp;$G$1),INDIRECT("'数据-取费表'!ah"&amp;$G$1))</f>
        <v>5827.19</v>
      </c>
      <c r="G7" s="1845"/>
      <c r="H7" s="347"/>
      <c r="I7" s="3379"/>
      <c r="J7" s="349"/>
      <c r="K7" s="350"/>
      <c r="L7" s="345" t="s">
        <v>1400</v>
      </c>
      <c r="M7" s="346">
        <f ca="1">F7</f>
        <v>5827.19</v>
      </c>
    </row>
    <row r="8" spans="1:37" ht="18" customHeight="1">
      <c r="A8" s="347"/>
      <c r="B8" s="3379"/>
      <c r="C8" s="349"/>
      <c r="D8" s="350"/>
      <c r="E8" s="345" t="s">
        <v>1401</v>
      </c>
      <c r="F8" s="346">
        <f ca="1">INDIRECT("'数据-取费表'!ai"&amp;$G$1)</f>
        <v>365</v>
      </c>
      <c r="G8" s="1845"/>
      <c r="H8" s="347"/>
      <c r="I8" s="3379"/>
      <c r="J8" s="349"/>
      <c r="K8" s="350"/>
      <c r="L8" s="345" t="s">
        <v>1401</v>
      </c>
      <c r="M8" s="346">
        <f ca="1">INDIRECT("'数据-取费表'!ai"&amp;$G$1)</f>
        <v>365</v>
      </c>
    </row>
    <row r="9" spans="1:37" ht="18" customHeight="1">
      <c r="A9" s="347"/>
      <c r="B9" s="3380"/>
      <c r="C9" s="349"/>
      <c r="D9" s="350"/>
      <c r="E9" s="345" t="s">
        <v>1402</v>
      </c>
      <c r="F9" s="355">
        <f ca="1">INDIRECT("'数据-取费表'!w"&amp;$G$1)</f>
        <v>0.15</v>
      </c>
      <c r="G9" s="1845"/>
      <c r="H9" s="347"/>
      <c r="I9" s="3380"/>
      <c r="J9" s="349"/>
      <c r="K9" s="350"/>
      <c r="L9" s="356" t="s">
        <v>1402</v>
      </c>
      <c r="M9" s="357">
        <f ca="1">INDIRECT("'数据-取费表'!ab"&amp;$G$1)</f>
        <v>0</v>
      </c>
    </row>
    <row r="10" spans="1:37" ht="18" customHeight="1">
      <c r="A10" s="1287" t="s">
        <v>1035</v>
      </c>
      <c r="B10" s="1817" t="s">
        <v>1403</v>
      </c>
      <c r="C10" s="359">
        <f ca="1">ROUND(IF(F10="押一",C6/12*F11,IF(F10="押二",C6/12*2*F11,IF(F10="押三",C6/12*3*F11,C11*F11))),0)</f>
        <v>0</v>
      </c>
      <c r="D10" s="1818" t="s">
        <v>3020</v>
      </c>
      <c r="E10" s="356" t="s">
        <v>1404</v>
      </c>
      <c r="F10" s="1362" t="s">
        <v>4527</v>
      </c>
      <c r="G10" s="1845"/>
      <c r="H10" s="1287" t="s">
        <v>1035</v>
      </c>
      <c r="I10" s="1817" t="s">
        <v>1403</v>
      </c>
      <c r="J10" s="344">
        <f ca="1">ROUND(IF(M10="押一",J6/12*M11,IF(M10="押二",J6/12*2*M11,IF(M10="押三",J6/12*3*M11,J11*M11))),0)</f>
        <v>0</v>
      </c>
      <c r="K10" s="1818" t="s">
        <v>3020</v>
      </c>
      <c r="L10" s="356" t="s">
        <v>1404</v>
      </c>
      <c r="M10" s="1362" t="s">
        <v>1405</v>
      </c>
    </row>
    <row r="11" spans="1:37" ht="18" customHeight="1">
      <c r="A11" s="351"/>
      <c r="B11" s="1819" t="s">
        <v>1382</v>
      </c>
      <c r="C11" s="1174"/>
      <c r="D11" s="1820"/>
      <c r="E11" s="356" t="s">
        <v>1406</v>
      </c>
      <c r="F11" s="357">
        <f ca="1">'数据-取费表'!B39</f>
        <v>1.4999999999999999E-2</v>
      </c>
      <c r="G11" s="1845"/>
      <c r="H11" s="1295"/>
      <c r="I11" s="1819" t="s">
        <v>1382</v>
      </c>
      <c r="J11" s="1174"/>
      <c r="K11" s="746"/>
      <c r="L11" s="356" t="s">
        <v>1406</v>
      </c>
      <c r="M11" s="1052">
        <f ca="1">'数据-取费表'!B39</f>
        <v>1.4999999999999999E-2</v>
      </c>
    </row>
    <row r="12" spans="1:37" ht="18" customHeight="1" thickBot="1">
      <c r="A12" s="1329" t="s">
        <v>1071</v>
      </c>
      <c r="B12" s="1821" t="s">
        <v>1407</v>
      </c>
      <c r="C12" s="1330"/>
      <c r="D12" s="1331"/>
      <c r="E12" s="1336"/>
      <c r="F12" s="1332"/>
      <c r="G12" s="1845"/>
      <c r="H12" s="1329" t="s">
        <v>1071</v>
      </c>
      <c r="I12" s="1821" t="s">
        <v>1407</v>
      </c>
      <c r="J12" s="1330"/>
      <c r="K12" s="1344"/>
      <c r="L12" s="1336"/>
      <c r="M12" s="1345"/>
    </row>
    <row r="13" spans="1:37" ht="18" customHeight="1" thickTop="1">
      <c r="A13" s="1325">
        <v>2</v>
      </c>
      <c r="B13" s="1326" t="s">
        <v>1408</v>
      </c>
      <c r="C13" s="353">
        <f ca="1">ROUND(C29*F13,0)</f>
        <v>2022</v>
      </c>
      <c r="D13" s="1327" t="s">
        <v>1409</v>
      </c>
      <c r="E13" s="1327" t="s">
        <v>1410</v>
      </c>
      <c r="F13" s="1328">
        <f ca="1">INDIRECT("'数据-取费表'!y"&amp;$G$1)</f>
        <v>1</v>
      </c>
      <c r="G13" s="1845"/>
      <c r="H13" s="1325">
        <v>2</v>
      </c>
      <c r="I13" s="1326" t="s">
        <v>1408</v>
      </c>
      <c r="J13" s="1286">
        <f ca="1">ROUND(J14*J15,0)</f>
        <v>0</v>
      </c>
      <c r="K13" s="1333" t="s">
        <v>1409</v>
      </c>
      <c r="L13" s="1846"/>
      <c r="M13" s="1847"/>
    </row>
    <row r="14" spans="1:37" ht="18" customHeight="1">
      <c r="A14" s="1197" t="s">
        <v>1030</v>
      </c>
      <c r="B14" s="345" t="s">
        <v>1411</v>
      </c>
      <c r="C14" s="361">
        <f ca="1">INDIRECT("'数据-取费表'!m"&amp;$G$1)+INDIRECT("'数据-取费表'!t"&amp;$G$1)</f>
        <v>1483</v>
      </c>
      <c r="D14" s="2952" t="s">
        <v>1412</v>
      </c>
      <c r="E14" s="2950"/>
      <c r="F14" s="362"/>
      <c r="G14" s="1845"/>
      <c r="H14" s="1197" t="s">
        <v>1031</v>
      </c>
      <c r="I14" s="345" t="s">
        <v>1413</v>
      </c>
      <c r="J14" s="24">
        <f ca="1">C29</f>
        <v>2022</v>
      </c>
      <c r="K14" s="2957"/>
      <c r="L14" s="977"/>
      <c r="M14" s="978"/>
    </row>
    <row r="15" spans="1:37" s="1852" customFormat="1" ht="18" customHeight="1" thickBot="1">
      <c r="A15" s="1197" t="s">
        <v>1032</v>
      </c>
      <c r="B15" s="345" t="s">
        <v>1414</v>
      </c>
      <c r="C15" s="24">
        <f ca="1">ROUND(C14*F15,0)</f>
        <v>44</v>
      </c>
      <c r="D15" s="363" t="s">
        <v>1415</v>
      </c>
      <c r="E15" s="363" t="s">
        <v>1416</v>
      </c>
      <c r="F15" s="364">
        <f>'数据-取费表'!B33</f>
        <v>0.03</v>
      </c>
      <c r="G15" s="1848"/>
      <c r="H15" s="1335" t="s">
        <v>1035</v>
      </c>
      <c r="I15" s="1336" t="s">
        <v>1410</v>
      </c>
      <c r="J15" s="1345">
        <f ca="1">INDIRECT("'数据-取费表'!ad"&amp;$G$1)</f>
        <v>0</v>
      </c>
      <c r="K15" s="1346"/>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1383</v>
      </c>
      <c r="B16" s="345" t="s">
        <v>1417</v>
      </c>
      <c r="C16" s="24">
        <f ca="1">ROUND(INDIRECT("'数据-取费表'!m"&amp;$G$1)*F16,0)</f>
        <v>0</v>
      </c>
      <c r="D16" s="345" t="s">
        <v>1415</v>
      </c>
      <c r="E16" s="345" t="s">
        <v>1416</v>
      </c>
      <c r="F16" s="365">
        <f ca="1">IF(INDIRECT("'数据-取费表'!c"&amp;$G$1)="住宅",'数据-取费表'!B34,0)</f>
        <v>0</v>
      </c>
      <c r="G16" s="1845"/>
      <c r="H16" s="1325" t="s">
        <v>1026</v>
      </c>
      <c r="I16" s="1326" t="s">
        <v>1418</v>
      </c>
      <c r="J16" s="353">
        <f ca="1">ROUND(J17+J22+J23+J24,0)</f>
        <v>48</v>
      </c>
      <c r="K16" s="1333" t="s">
        <v>1419</v>
      </c>
      <c r="L16" s="2953"/>
      <c r="M16" s="1290"/>
    </row>
    <row r="17" spans="1:37" s="1852" customFormat="1" ht="18" customHeight="1">
      <c r="A17" s="1197" t="s">
        <v>1384</v>
      </c>
      <c r="B17" s="345" t="s">
        <v>1420</v>
      </c>
      <c r="C17" s="24">
        <f ca="1">ROUND(F17*(F43+INDIRECT("'数据-取费表'!S"&amp;$G$1))/10000,0)</f>
        <v>119</v>
      </c>
      <c r="D17" s="345" t="s">
        <v>1421</v>
      </c>
      <c r="E17" s="345" t="s">
        <v>1422</v>
      </c>
      <c r="F17" s="26">
        <f>'数据-取费表'!B35</f>
        <v>200</v>
      </c>
      <c r="G17" s="1848"/>
      <c r="H17" s="1197" t="s">
        <v>1031</v>
      </c>
      <c r="I17" s="345" t="s">
        <v>1423</v>
      </c>
      <c r="J17" s="24">
        <f ca="1">ROUND(IF(项目基本情况!B11="自然人",J6*M17/(1+'数据-取费表'!C42),J18+J19+J20),1)</f>
        <v>17.3</v>
      </c>
      <c r="K17" s="2952" t="s">
        <v>1424</v>
      </c>
      <c r="L17" s="2951" t="s">
        <v>1425</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1385</v>
      </c>
      <c r="B18" s="345" t="s">
        <v>1426</v>
      </c>
      <c r="C18" s="24">
        <f ca="1">ROUND(C14*F18,0)</f>
        <v>22</v>
      </c>
      <c r="D18" s="345" t="s">
        <v>1415</v>
      </c>
      <c r="E18" s="345" t="s">
        <v>1416</v>
      </c>
      <c r="F18" s="365">
        <f>'数据-取费表'!B36</f>
        <v>1.4999999999999999E-2</v>
      </c>
      <c r="G18" s="1848"/>
      <c r="H18" s="1197" t="s">
        <v>1030</v>
      </c>
      <c r="I18" s="345" t="s">
        <v>1427</v>
      </c>
      <c r="J18" s="24">
        <f ca="1">ROUND(J6*M18/(1+'数据-取费表'!C42),2)</f>
        <v>0</v>
      </c>
      <c r="K18" s="2951" t="s">
        <v>1428</v>
      </c>
      <c r="L18" s="345" t="s">
        <v>1416</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1031</v>
      </c>
      <c r="B19" s="345" t="s">
        <v>1429</v>
      </c>
      <c r="C19" s="24">
        <f ca="1">SUM(C14:C18)</f>
        <v>1668</v>
      </c>
      <c r="D19" s="138" t="s">
        <v>1430</v>
      </c>
      <c r="E19" s="2956"/>
      <c r="F19" s="26"/>
      <c r="G19" s="1845"/>
      <c r="H19" s="1197" t="s">
        <v>1032</v>
      </c>
      <c r="I19" s="345" t="s">
        <v>1431</v>
      </c>
      <c r="J19" s="24">
        <f ca="1">IF(K19="按租金收入计税",ROUND(J6*M19/(1+'数据-取费表'!C42),2),ROUND(C29*M19*0.7,2))</f>
        <v>16.98</v>
      </c>
      <c r="K19" s="1822" t="s">
        <v>1432</v>
      </c>
      <c r="L19" s="345" t="s">
        <v>1416</v>
      </c>
      <c r="M19" s="365">
        <f>IF(K19="按租金收入计税",'数据-取费表'!B51,'数据-取费表'!B50)</f>
        <v>1.2E-2</v>
      </c>
    </row>
    <row r="20" spans="1:37" s="1852" customFormat="1" ht="18" customHeight="1">
      <c r="A20" s="1197" t="s">
        <v>1035</v>
      </c>
      <c r="B20" s="345" t="s">
        <v>1433</v>
      </c>
      <c r="C20" s="24">
        <f ca="1">ROUND(C19*F20,0)</f>
        <v>50</v>
      </c>
      <c r="D20" s="367" t="s">
        <v>1434</v>
      </c>
      <c r="E20" s="345" t="s">
        <v>1416</v>
      </c>
      <c r="F20" s="365">
        <f>'数据-取费表'!B37</f>
        <v>0.03</v>
      </c>
      <c r="G20" s="1848"/>
      <c r="H20" s="1197" t="s">
        <v>1383</v>
      </c>
      <c r="I20" s="162" t="s">
        <v>1435</v>
      </c>
      <c r="J20" s="25">
        <f ca="1">ROUND(M20*M21/10000,2)</f>
        <v>0.35</v>
      </c>
      <c r="K20" s="368" t="s">
        <v>1436</v>
      </c>
      <c r="L20" s="345" t="s">
        <v>1437</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1071</v>
      </c>
      <c r="B21" s="345" t="s">
        <v>1438</v>
      </c>
      <c r="C21" s="24" t="s">
        <v>18</v>
      </c>
      <c r="D21" s="367" t="s">
        <v>1439</v>
      </c>
      <c r="E21" s="345" t="s">
        <v>1440</v>
      </c>
      <c r="F21" s="365">
        <f>'数据-取费表'!B38</f>
        <v>0.03</v>
      </c>
      <c r="G21" s="1848"/>
      <c r="H21" s="370"/>
      <c r="I21" s="354"/>
      <c r="J21" s="29"/>
      <c r="K21" s="371"/>
      <c r="L21" s="345" t="s">
        <v>1441</v>
      </c>
      <c r="M21" s="346">
        <f ca="1">INDIRECT("'数据-取费表'!r"&amp;$G$1)</f>
        <v>2358.09</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1386</v>
      </c>
      <c r="B22" s="345" t="s">
        <v>1442</v>
      </c>
      <c r="C22" s="24"/>
      <c r="D22" s="138" t="str">
        <f>IF(F23&lt;=1,"单利计息。","复利计息。")&amp;"建造成本、管理费用、销售费用产生的利息。"</f>
        <v>复利计息。建造成本、管理费用、销售费用产生的利息。</v>
      </c>
      <c r="E22" s="2956"/>
      <c r="F22" s="26"/>
      <c r="G22" s="1845"/>
      <c r="H22" s="1197" t="s">
        <v>1035</v>
      </c>
      <c r="I22" s="345" t="s">
        <v>1443</v>
      </c>
      <c r="J22" s="24">
        <f ca="1">ROUND(J14*M22,1)</f>
        <v>30.3</v>
      </c>
      <c r="K22" s="2951" t="s">
        <v>1444</v>
      </c>
      <c r="L22" s="345" t="s">
        <v>1416</v>
      </c>
      <c r="M22" s="372">
        <f ca="1">INDIRECT("'数据-取费表'!Ak"&amp;$G$1)</f>
        <v>1.4999999999999999E-2</v>
      </c>
    </row>
    <row r="23" spans="1:37" s="1852" customFormat="1" ht="18" customHeight="1">
      <c r="A23" s="1197" t="s">
        <v>1030</v>
      </c>
      <c r="B23" s="345" t="s">
        <v>1445</v>
      </c>
      <c r="C23" s="24">
        <f ca="1">IF('数据-取费表'!B22&lt;=1,ROUND(C19*F24*F23/2,0)+ROUND(C20*F24*F23/2,0),ROUND(C19*(POWER((1+F24),F23/2)-1),0)+ROUND(C20*(POWER((1+F24),F23/2)-1),0))</f>
        <v>81</v>
      </c>
      <c r="D23" s="373" t="str">
        <f>IF(F23&lt;=1,"(建造成本+管理费用)×利率×(建设周期÷2)","(建造成本+管理费用)×((1+利率)^(建设周期÷2)-1)")</f>
        <v>(建造成本+管理费用)×((1+利率)^(建设周期÷2)-1)</v>
      </c>
      <c r="E23" s="345" t="s">
        <v>1446</v>
      </c>
      <c r="F23" s="369">
        <f>'数据-取费表'!B20</f>
        <v>2</v>
      </c>
      <c r="G23" s="1848"/>
      <c r="H23" s="1197" t="s">
        <v>1071</v>
      </c>
      <c r="I23" s="345" t="s">
        <v>1447</v>
      </c>
      <c r="J23" s="24">
        <f ca="1">ROUND(J13*M23,1)</f>
        <v>0</v>
      </c>
      <c r="K23" s="2951" t="s">
        <v>1448</v>
      </c>
      <c r="L23" s="345" t="s">
        <v>1416</v>
      </c>
      <c r="M23" s="374">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1032</v>
      </c>
      <c r="B24" s="345" t="s">
        <v>1451</v>
      </c>
      <c r="C24" s="24">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848"/>
      <c r="H24" s="1335" t="s">
        <v>1386</v>
      </c>
      <c r="I24" s="1336" t="s">
        <v>1433</v>
      </c>
      <c r="J24" s="1337">
        <f ca="1">ROUND(J5*M24,1)</f>
        <v>0</v>
      </c>
      <c r="K24" s="1338" t="s">
        <v>1453</v>
      </c>
      <c r="L24" s="1336" t="s">
        <v>1416</v>
      </c>
      <c r="M24" s="1332">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7" t="s">
        <v>1454</v>
      </c>
      <c r="B25" s="345" t="s">
        <v>1455</v>
      </c>
      <c r="C25" s="24"/>
      <c r="D25" s="138" t="s">
        <v>1456</v>
      </c>
      <c r="E25" s="2956"/>
      <c r="F25" s="26"/>
      <c r="G25" s="1845"/>
      <c r="H25" s="1325" t="s">
        <v>1027</v>
      </c>
      <c r="I25" s="1340" t="s">
        <v>1457</v>
      </c>
      <c r="J25" s="353">
        <f ca="1">J5-J16</f>
        <v>-48</v>
      </c>
      <c r="K25" s="1341" t="s">
        <v>1458</v>
      </c>
      <c r="L25" s="1342"/>
      <c r="M25" s="1343"/>
    </row>
    <row r="26" spans="1:37">
      <c r="A26" s="1197" t="s">
        <v>1030</v>
      </c>
      <c r="B26" s="345" t="s">
        <v>1459</v>
      </c>
      <c r="C26" s="24">
        <f ca="1">ROUND((C19+C20)*F26,0)</f>
        <v>52</v>
      </c>
      <c r="D26" s="367" t="s">
        <v>1460</v>
      </c>
      <c r="E26" s="356" t="s">
        <v>1461</v>
      </c>
      <c r="F26" s="355">
        <f ca="1">INDIRECT("'数据-取费表'!q"&amp;$G$1)</f>
        <v>0.03</v>
      </c>
      <c r="G26" s="1845"/>
      <c r="H26" s="342" t="s">
        <v>1028</v>
      </c>
      <c r="I26" s="343" t="s">
        <v>1462</v>
      </c>
      <c r="J26" s="344">
        <f ca="1">IF(J5&lt;&gt;0,ROUND(J25*(1-((1+M28)/(1+M26))^M27)/(M26-M28),0),0)</f>
        <v>0</v>
      </c>
      <c r="K26" s="368" t="s">
        <v>1463</v>
      </c>
      <c r="L26" s="345" t="s">
        <v>1464</v>
      </c>
      <c r="M26" s="355">
        <f ca="1">INDIRECT("'数据-取费表'!I"&amp;$G$1)</f>
        <v>4.4999999999999998E-2</v>
      </c>
    </row>
    <row r="27" spans="1:37" ht="18" customHeight="1">
      <c r="A27" s="1197" t="s">
        <v>1032</v>
      </c>
      <c r="B27" s="345" t="s">
        <v>1465</v>
      </c>
      <c r="C27" s="24">
        <f ca="1">ROUND(F21*F26,4)</f>
        <v>8.9999999999999998E-4</v>
      </c>
      <c r="D27" s="367" t="s">
        <v>1466</v>
      </c>
      <c r="E27" s="363"/>
      <c r="F27" s="364"/>
      <c r="G27" s="1845"/>
      <c r="H27" s="347"/>
      <c r="I27" s="348"/>
      <c r="J27" s="349"/>
      <c r="K27" s="376" t="s">
        <v>1467</v>
      </c>
      <c r="L27" s="345" t="s">
        <v>1468</v>
      </c>
      <c r="M27" s="377">
        <f ca="1">INDIRECT("'数据-取费表'!ag"&amp;$G$1)</f>
        <v>0</v>
      </c>
    </row>
    <row r="28" spans="1:37" s="1852" customFormat="1" ht="18" customHeight="1">
      <c r="A28" s="1197" t="s">
        <v>1033</v>
      </c>
      <c r="B28" s="345" t="s">
        <v>1469</v>
      </c>
      <c r="C28" s="24">
        <f>ROUND(F28/(1+'数据-取费表'!C42),4)</f>
        <v>5.2400000000000002E-2</v>
      </c>
      <c r="D28" s="367" t="s">
        <v>1470</v>
      </c>
      <c r="E28" s="345" t="s">
        <v>1416</v>
      </c>
      <c r="F28" s="365">
        <f>'数据-取费表'!B41</f>
        <v>5.5000000000000007E-2</v>
      </c>
      <c r="G28" s="1848"/>
      <c r="H28" s="351"/>
      <c r="I28" s="352"/>
      <c r="J28" s="353"/>
      <c r="K28" s="371"/>
      <c r="L28" s="345" t="s">
        <v>1471</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5" t="s">
        <v>1034</v>
      </c>
      <c r="B29" s="1336" t="s">
        <v>1472</v>
      </c>
      <c r="C29" s="1337">
        <f ca="1">ROUND((C19+C20+C23+C26)/(1-F21-C24-C27-C28),0)</f>
        <v>2022</v>
      </c>
      <c r="D29" s="1338"/>
      <c r="E29" s="1336"/>
      <c r="F29" s="1339"/>
      <c r="G29" s="1848"/>
      <c r="H29" s="378" t="s">
        <v>1029</v>
      </c>
      <c r="I29" s="379" t="s">
        <v>1473</v>
      </c>
      <c r="J29" s="380">
        <f ca="1">ROUND(J26/(1+F40)^F41,0)</f>
        <v>0</v>
      </c>
      <c r="K29" s="381" t="s">
        <v>1474</v>
      </c>
      <c r="L29" s="382"/>
      <c r="M29" s="383">
        <f ca="1">INDIRECT("'数据-取费表'!k"&amp;$G$1)</f>
        <v>5827.19</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5" t="s">
        <v>1026</v>
      </c>
      <c r="B30" s="1326" t="s">
        <v>1418</v>
      </c>
      <c r="C30" s="353">
        <f ca="1">ROUND(C31+C36+C37+C38,0)</f>
        <v>82</v>
      </c>
      <c r="D30" s="1333" t="s">
        <v>1419</v>
      </c>
      <c r="E30" s="2953"/>
      <c r="F30" s="1290"/>
      <c r="G30" s="1845"/>
      <c r="H30" s="743"/>
      <c r="I30" s="744"/>
      <c r="J30" s="745"/>
      <c r="K30" s="746"/>
      <c r="L30" s="747"/>
      <c r="M30" s="748"/>
    </row>
    <row r="31" spans="1:37" ht="18" customHeight="1">
      <c r="A31" s="1197" t="s">
        <v>1031</v>
      </c>
      <c r="B31" s="345" t="s">
        <v>1423</v>
      </c>
      <c r="C31" s="24">
        <f ca="1">ROUND(IF(项目基本情况!B11="自然人",C6*F31/(1+'数据-取费表'!C42),C32+C33+C34),1)</f>
        <v>45.5</v>
      </c>
      <c r="D31" s="2952" t="s">
        <v>1424</v>
      </c>
      <c r="E31" s="2951" t="s">
        <v>1475</v>
      </c>
      <c r="F31" s="366" t="str">
        <f ca="1">IF(项目基本情况!B11="企业","",IF(INDIRECT("'数据-取费表'!c"&amp;$G$1)="住宅",5%,IF(F6*F7*F8/12/(1+'数据-取费表'!C42)&gt;20000,12%,7%)))</f>
        <v/>
      </c>
      <c r="G31" s="1845"/>
      <c r="H31" s="743"/>
      <c r="I31" s="744"/>
      <c r="J31" s="745"/>
      <c r="K31" s="746"/>
      <c r="L31" s="747"/>
      <c r="M31" s="748"/>
    </row>
    <row r="32" spans="1:37" ht="18" customHeight="1">
      <c r="A32" s="1197" t="s">
        <v>1030</v>
      </c>
      <c r="B32" s="345" t="s">
        <v>1427</v>
      </c>
      <c r="C32" s="24">
        <f ca="1">IF(项目基本情况!B11="自然人","——",ROUND(C6*F32/(1+'数据-取费表'!C42),2))</f>
        <v>14.2</v>
      </c>
      <c r="D32" s="2951" t="s">
        <v>1428</v>
      </c>
      <c r="E32" s="345" t="s">
        <v>1416</v>
      </c>
      <c r="F32" s="375">
        <f>'数据-取费表'!B41</f>
        <v>5.5000000000000007E-2</v>
      </c>
      <c r="G32" s="1845"/>
      <c r="H32" s="743"/>
      <c r="I32" s="744"/>
      <c r="J32" s="745"/>
      <c r="K32" s="746"/>
      <c r="L32" s="747"/>
      <c r="M32" s="748"/>
    </row>
    <row r="33" spans="1:18" ht="18" customHeight="1">
      <c r="A33" s="1197" t="s">
        <v>1032</v>
      </c>
      <c r="B33" s="345" t="s">
        <v>1431</v>
      </c>
      <c r="C33" s="24">
        <f ca="1">IF(项目基本情况!B11="自然人","——",IF(D33="按租金收入计税",ROUND(C6*F33/(1+'数据-取费表'!C42),2),IF(D33="按房产原值计税",ROUND(C29*F33*0.7,2),INDIRECT("'数据-取费表'!Aj"&amp;$G$1))))</f>
        <v>30.97</v>
      </c>
      <c r="D33" s="1822" t="s">
        <v>4528</v>
      </c>
      <c r="E33" s="345" t="s">
        <v>1416</v>
      </c>
      <c r="F33" s="365">
        <f>IF(D33="按票据","——",IF(D33="按租金收入计税",'数据-取费表'!B51,'数据-取费表'!B50))</f>
        <v>0.12</v>
      </c>
      <c r="G33" s="1845"/>
      <c r="H33" s="1853"/>
      <c r="I33" s="1854"/>
      <c r="J33" s="1855"/>
      <c r="K33" s="1856"/>
      <c r="L33" s="1853"/>
      <c r="M33" s="1853"/>
    </row>
    <row r="34" spans="1:18" ht="18" customHeight="1">
      <c r="A34" s="1287" t="s">
        <v>1383</v>
      </c>
      <c r="B34" s="162" t="s">
        <v>1435</v>
      </c>
      <c r="C34" s="25">
        <f ca="1">IF(项目基本情况!B11="自然人","——",ROUND(F34*F35/10000,2))</f>
        <v>0.35</v>
      </c>
      <c r="D34" s="368" t="s">
        <v>1436</v>
      </c>
      <c r="E34" s="345" t="s">
        <v>1437</v>
      </c>
      <c r="F34" s="369">
        <f>'数据-取费表'!B52</f>
        <v>1.5</v>
      </c>
      <c r="G34" s="1845"/>
      <c r="H34" s="743"/>
      <c r="I34" s="1854"/>
      <c r="J34" s="1855"/>
      <c r="K34" s="1857"/>
      <c r="L34" s="1858"/>
      <c r="M34" s="1858"/>
    </row>
    <row r="35" spans="1:18" ht="18" customHeight="1">
      <c r="A35" s="1349"/>
      <c r="B35" s="1347"/>
      <c r="C35" s="29"/>
      <c r="D35" s="371"/>
      <c r="E35" s="345" t="s">
        <v>1441</v>
      </c>
      <c r="F35" s="346">
        <f ca="1">INDIRECT("'数据-取费表'!r"&amp;$G$1)</f>
        <v>2358.09</v>
      </c>
      <c r="G35" s="1845"/>
      <c r="H35" s="743"/>
      <c r="I35" s="1854"/>
      <c r="J35" s="1855"/>
      <c r="K35" s="1856"/>
      <c r="L35" s="1853"/>
      <c r="M35" s="1853"/>
    </row>
    <row r="36" spans="1:18" ht="18" customHeight="1">
      <c r="A36" s="1348" t="s">
        <v>1035</v>
      </c>
      <c r="B36" s="345" t="s">
        <v>1443</v>
      </c>
      <c r="C36" s="24">
        <f ca="1">ROUND(C29*F36,1)</f>
        <v>30.3</v>
      </c>
      <c r="D36" s="2951" t="s">
        <v>1476</v>
      </c>
      <c r="E36" s="345" t="s">
        <v>1416</v>
      </c>
      <c r="F36" s="372">
        <f ca="1">INDIRECT("'数据-取费表'!Ak"&amp;$G$1)</f>
        <v>1.4999999999999999E-2</v>
      </c>
      <c r="G36" s="1845"/>
      <c r="H36" s="1853"/>
      <c r="I36" s="1854"/>
      <c r="J36" s="1855"/>
      <c r="K36" s="749"/>
      <c r="L36" s="1853"/>
      <c r="M36" s="1853"/>
    </row>
    <row r="37" spans="1:18" ht="18" customHeight="1">
      <c r="A37" s="1197" t="s">
        <v>1071</v>
      </c>
      <c r="B37" s="345" t="s">
        <v>1447</v>
      </c>
      <c r="C37" s="24">
        <f ca="1">ROUND(C13*F37,1)</f>
        <v>3</v>
      </c>
      <c r="D37" s="2951" t="s">
        <v>1448</v>
      </c>
      <c r="E37" s="345" t="s">
        <v>1416</v>
      </c>
      <c r="F37" s="374">
        <f ca="1">INDIRECT("'数据-取费表'!Al"&amp;$G$1)</f>
        <v>1.5E-3</v>
      </c>
      <c r="G37" s="1845"/>
      <c r="H37" s="1853"/>
      <c r="I37" s="1854"/>
      <c r="J37" s="1855"/>
      <c r="K37" s="749"/>
      <c r="L37" s="1853"/>
      <c r="M37" s="1853"/>
    </row>
    <row r="38" spans="1:18" ht="18" customHeight="1" thickBot="1">
      <c r="A38" s="1335" t="s">
        <v>1386</v>
      </c>
      <c r="B38" s="1336" t="s">
        <v>1433</v>
      </c>
      <c r="C38" s="1337">
        <f ca="1">ROUND(C5*F38,1)</f>
        <v>2.7</v>
      </c>
      <c r="D38" s="1338" t="s">
        <v>1453</v>
      </c>
      <c r="E38" s="1336" t="s">
        <v>1416</v>
      </c>
      <c r="F38" s="1332">
        <f ca="1">INDIRECT("'数据-取费表'!Am"&amp;$G$1)</f>
        <v>0.01</v>
      </c>
      <c r="G38" s="1845"/>
      <c r="H38" s="1853"/>
      <c r="I38" s="1854"/>
      <c r="J38" s="1855"/>
      <c r="K38" s="1859"/>
      <c r="L38" s="1853"/>
      <c r="M38" s="1853"/>
    </row>
    <row r="39" spans="1:18" ht="24.6" customHeight="1" thickTop="1">
      <c r="A39" s="1325" t="s">
        <v>1027</v>
      </c>
      <c r="B39" s="1340" t="s">
        <v>1457</v>
      </c>
      <c r="C39" s="353">
        <f ca="1">C5-C30</f>
        <v>189</v>
      </c>
      <c r="D39" s="1341" t="s">
        <v>1458</v>
      </c>
      <c r="E39" s="1342"/>
      <c r="F39" s="1343"/>
      <c r="G39" s="1845"/>
      <c r="H39" s="1853"/>
      <c r="I39" s="1854"/>
      <c r="J39" s="1855"/>
      <c r="K39" s="1859"/>
      <c r="L39" s="1853"/>
      <c r="M39" s="1853"/>
    </row>
    <row r="40" spans="1:18" ht="18" customHeight="1">
      <c r="A40" s="342" t="s">
        <v>1028</v>
      </c>
      <c r="B40" s="343" t="s">
        <v>1479</v>
      </c>
      <c r="C40" s="344">
        <f ca="1">ROUND(C39*(1-((1+F42)/(1+F40))^F41)/(F40-F42),0)</f>
        <v>3657</v>
      </c>
      <c r="D40" s="368" t="s">
        <v>1463</v>
      </c>
      <c r="E40" s="345" t="s">
        <v>1464</v>
      </c>
      <c r="F40" s="355">
        <f ca="1">INDIRECT("'数据-取费表'!I"&amp;$G$1)</f>
        <v>4.4999999999999998E-2</v>
      </c>
      <c r="G40" s="1845"/>
      <c r="H40" s="1833"/>
      <c r="I40" s="1854"/>
      <c r="J40" s="1855"/>
      <c r="K40" s="1859"/>
      <c r="L40" s="1833"/>
      <c r="M40" s="1833"/>
    </row>
    <row r="41" spans="1:18" ht="18" customHeight="1">
      <c r="A41" s="347"/>
      <c r="B41" s="348"/>
      <c r="C41" s="349"/>
      <c r="D41" s="376" t="s">
        <v>1480</v>
      </c>
      <c r="E41" s="345" t="s">
        <v>1468</v>
      </c>
      <c r="F41" s="377">
        <f ca="1">IF(INDIRECT("'数据-取费表'!af"&amp;$G$1)=0,INDIRECT("'数据-取费表'!ae"&amp;$G$1),INDIRECT("'数据-取费表'!af"&amp;$G$1))</f>
        <v>46.47</v>
      </c>
      <c r="G41" s="1845"/>
      <c r="H41" s="730"/>
      <c r="I41" s="1854"/>
      <c r="J41" s="1855"/>
      <c r="K41" s="749"/>
      <c r="L41" s="730"/>
      <c r="M41" s="730"/>
    </row>
    <row r="42" spans="1:18" ht="18" customHeight="1">
      <c r="A42" s="351"/>
      <c r="B42" s="352"/>
      <c r="C42" s="353"/>
      <c r="D42" s="371"/>
      <c r="E42" s="345" t="s">
        <v>1471</v>
      </c>
      <c r="F42" s="355">
        <f ca="1">INDIRECT("'数据-取费表'!v"&amp;$G$1)</f>
        <v>0</v>
      </c>
      <c r="G42" s="1845"/>
      <c r="H42" s="730"/>
      <c r="I42" s="1854"/>
      <c r="J42" s="1855"/>
      <c r="K42" s="749"/>
      <c r="L42" s="730"/>
      <c r="M42" s="730"/>
    </row>
    <row r="43" spans="1:18" ht="18" customHeight="1" thickBot="1">
      <c r="A43" s="378" t="s">
        <v>1029</v>
      </c>
      <c r="B43" s="379" t="s">
        <v>1481</v>
      </c>
      <c r="C43" s="380">
        <f ca="1">ROUND(C40*10000/F43,0)</f>
        <v>6276</v>
      </c>
      <c r="D43" s="381" t="s">
        <v>1482</v>
      </c>
      <c r="E43" s="382" t="s">
        <v>1483</v>
      </c>
      <c r="F43" s="383">
        <f ca="1">INDIRECT("'数据-取费表'!k"&amp;$G$1)</f>
        <v>5827.19</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1513</v>
      </c>
      <c r="P45" s="1833"/>
      <c r="Q45" s="1833"/>
      <c r="R45" s="1833"/>
    </row>
    <row r="46" spans="1:18" s="1836" customFormat="1" ht="13.5" thickBot="1">
      <c r="A46" s="1864" t="s">
        <v>1514</v>
      </c>
      <c r="C46" s="1865">
        <f ca="1">C68-C40</f>
        <v>-7604</v>
      </c>
      <c r="D46" s="1866" t="str">
        <f>C2</f>
        <v>万元</v>
      </c>
      <c r="E46" s="1860"/>
      <c r="F46" s="1860"/>
      <c r="I46" s="1867" t="s">
        <v>1515</v>
      </c>
      <c r="J46" s="1868"/>
      <c r="K46" s="1869"/>
      <c r="L46" s="1870" t="str">
        <f ca="1">IF(M47="住宅",0,IF(L48&gt;J51,L60,J60))</f>
        <v>0</v>
      </c>
      <c r="O46" s="1871" t="s">
        <v>1516</v>
      </c>
      <c r="P46" s="1872" t="s">
        <v>1517</v>
      </c>
      <c r="Q46" s="1873" t="s">
        <v>1518</v>
      </c>
      <c r="R46" s="1873" t="s">
        <v>1519</v>
      </c>
    </row>
    <row r="47" spans="1:18" s="1836" customFormat="1" ht="13.5" thickBot="1">
      <c r="A47" s="1161" t="s">
        <v>1390</v>
      </c>
      <c r="B47" s="1193" t="s">
        <v>1391</v>
      </c>
      <c r="C47" s="1363" t="s">
        <v>1392</v>
      </c>
      <c r="D47" s="1193" t="s">
        <v>1393</v>
      </c>
      <c r="E47" s="1275" t="s">
        <v>1394</v>
      </c>
      <c r="F47" s="1276"/>
      <c r="G47" s="790"/>
      <c r="I47" s="1874" t="s">
        <v>1520</v>
      </c>
      <c r="J47" s="1875" t="s">
        <v>4529</v>
      </c>
      <c r="K47" s="1876" t="s">
        <v>1521</v>
      </c>
      <c r="L47" s="1877">
        <f ca="1">INDIRECT("'数据-取费表'!d"&amp;$G$1)</f>
        <v>50</v>
      </c>
      <c r="M47" s="1832" t="str">
        <f>IF(ISNUMBER(FIND("住宅",C1)),"住宅","非住宅")</f>
        <v>非住宅</v>
      </c>
      <c r="O47" s="1878" t="s">
        <v>1036</v>
      </c>
      <c r="P47" s="1879" t="s">
        <v>1522</v>
      </c>
      <c r="Q47" s="1880">
        <f ca="1">C40+J29</f>
        <v>3657</v>
      </c>
      <c r="R47" s="1880" t="s">
        <v>1523</v>
      </c>
    </row>
    <row r="48" spans="1:18" s="1836" customFormat="1" ht="28.5" thickBot="1">
      <c r="A48" s="1356" t="s">
        <v>1131</v>
      </c>
      <c r="B48" s="343" t="s">
        <v>1395</v>
      </c>
      <c r="C48" s="2955">
        <f ca="1">C49+C53+C55</f>
        <v>0</v>
      </c>
      <c r="D48" s="1358"/>
      <c r="E48" s="1359"/>
      <c r="F48" s="1177"/>
      <c r="G48" s="790"/>
      <c r="H48" s="791"/>
      <c r="I48" s="1881" t="s">
        <v>1524</v>
      </c>
      <c r="J48" s="1882" t="s">
        <v>4530</v>
      </c>
      <c r="K48" s="1883" t="s">
        <v>1525</v>
      </c>
      <c r="L48" s="1884">
        <f ca="1">INDIRECT("'数据-取费表'!f"&amp;$G$1)</f>
        <v>47.47</v>
      </c>
      <c r="O48" s="1878" t="s">
        <v>1037</v>
      </c>
      <c r="P48" s="1879" t="s">
        <v>1526</v>
      </c>
      <c r="Q48" s="1880" t="str">
        <f ca="1">J60</f>
        <v>0</v>
      </c>
      <c r="R48" s="1880" t="s">
        <v>1527</v>
      </c>
    </row>
    <row r="49" spans="1:18" s="1836" customFormat="1" ht="13.5" thickBot="1">
      <c r="A49" s="1190" t="s">
        <v>1132</v>
      </c>
      <c r="B49" s="1823" t="s">
        <v>1484</v>
      </c>
      <c r="C49" s="1360">
        <f ca="1">ROUND(F49*F51*F50*(1-F52)/10000,0)</f>
        <v>0</v>
      </c>
      <c r="D49" s="1272" t="s">
        <v>3011</v>
      </c>
      <c r="E49" s="1824" t="s">
        <v>1485</v>
      </c>
      <c r="F49" s="1277"/>
      <c r="G49" s="1885"/>
      <c r="H49" s="791"/>
      <c r="I49" s="1881" t="s">
        <v>1528</v>
      </c>
      <c r="J49" s="1886">
        <v>2021</v>
      </c>
      <c r="K49" s="1883" t="s">
        <v>1529</v>
      </c>
      <c r="L49" s="1887"/>
      <c r="O49" s="1888" t="s">
        <v>1038</v>
      </c>
      <c r="P49" s="1879" t="s">
        <v>1530</v>
      </c>
      <c r="Q49" s="1880">
        <f ca="1">C29</f>
        <v>2022</v>
      </c>
      <c r="R49" s="1880" t="s">
        <v>1523</v>
      </c>
    </row>
    <row r="50" spans="1:18" s="1836" customFormat="1" ht="13.5" thickBot="1">
      <c r="A50" s="1191"/>
      <c r="B50" s="1194"/>
      <c r="C50" s="1364"/>
      <c r="D50" s="1168"/>
      <c r="E50" s="1273" t="s">
        <v>1400</v>
      </c>
      <c r="F50" s="1274">
        <f ca="1">F7</f>
        <v>5827.19</v>
      </c>
      <c r="H50" s="791"/>
      <c r="I50" s="1881" t="s">
        <v>1531</v>
      </c>
      <c r="J50" s="1889">
        <f>SUMPRODUCT((I63:I65=J47)*(J62:L62=J48)*(J63:L65))</f>
        <v>60</v>
      </c>
      <c r="K50" s="1883" t="s">
        <v>1532</v>
      </c>
      <c r="L50" s="1887"/>
      <c r="M50" s="1890"/>
      <c r="O50" s="1888" t="s">
        <v>1039</v>
      </c>
      <c r="P50" s="1879" t="s">
        <v>1533</v>
      </c>
      <c r="Q50" s="1891" t="e">
        <f ca="1">J58</f>
        <v>#VALUE!</v>
      </c>
      <c r="R50" s="1880"/>
    </row>
    <row r="51" spans="1:18" s="1836" customFormat="1" ht="13.5" thickBot="1">
      <c r="A51" s="1192"/>
      <c r="B51" s="1194"/>
      <c r="C51" s="1195"/>
      <c r="D51" s="1168"/>
      <c r="E51" s="1196" t="s">
        <v>1401</v>
      </c>
      <c r="F51" s="346">
        <f ca="1">F8</f>
        <v>365</v>
      </c>
      <c r="I51" s="1892" t="s">
        <v>1534</v>
      </c>
      <c r="J51" s="1893">
        <f>IF(J49="",J50,J49+J50-YEAR('数据-取费表'!B2))</f>
        <v>61</v>
      </c>
      <c r="K51" s="1894" t="s">
        <v>1535</v>
      </c>
      <c r="L51" s="1895">
        <f ca="1">ROUND(-PV(INDIRECT("'数据-取费表'!h"&amp;$G$1),L48,(C39-C13*C76),0),0)</f>
        <v>362</v>
      </c>
      <c r="M51" s="1896"/>
      <c r="O51" s="1888" t="s">
        <v>1040</v>
      </c>
      <c r="P51" s="1879" t="s">
        <v>1536</v>
      </c>
      <c r="Q51" s="1891">
        <f>J52</f>
        <v>0</v>
      </c>
      <c r="R51" s="1880"/>
    </row>
    <row r="52" spans="1:18" s="1836" customFormat="1" ht="13.5" thickBot="1">
      <c r="A52" s="1192"/>
      <c r="B52" s="1194"/>
      <c r="C52" s="1195"/>
      <c r="D52" s="1168"/>
      <c r="E52" s="1196" t="s">
        <v>1402</v>
      </c>
      <c r="F52" s="1271"/>
      <c r="I52" s="1897" t="s">
        <v>1537</v>
      </c>
      <c r="J52" s="1898"/>
      <c r="K52" s="1897" t="s">
        <v>1538</v>
      </c>
      <c r="L52" s="1898"/>
      <c r="O52" s="1888" t="s">
        <v>1041</v>
      </c>
      <c r="P52" s="1879" t="s">
        <v>1539</v>
      </c>
      <c r="Q52" s="1880">
        <f ca="1">J53</f>
        <v>46.47</v>
      </c>
      <c r="R52" s="1880" t="s">
        <v>1540</v>
      </c>
    </row>
    <row r="53" spans="1:18" s="1836" customFormat="1" ht="24.75" thickBot="1">
      <c r="A53" s="1401" t="s">
        <v>1133</v>
      </c>
      <c r="B53" s="1825" t="s">
        <v>1403</v>
      </c>
      <c r="C53" s="359">
        <f ca="1">ROUND(IF(F53="押一",C49/12*F11,IF(F53="押二",C49/12*2*F11,IF(F53="押三",C49/12*3*F11,C54*F11))),0)</f>
        <v>0</v>
      </c>
      <c r="D53" s="1818" t="s">
        <v>3020</v>
      </c>
      <c r="E53" s="356" t="s">
        <v>1404</v>
      </c>
      <c r="F53" s="1362"/>
      <c r="I53" s="1899" t="s">
        <v>1541</v>
      </c>
      <c r="J53" s="2934">
        <f ca="1">IF(M47="住宅",IF(D1="——",MAX(J51,L48),MAX(J51,L48-'数据-取费表'!B24)),IF(D1="——",MIN(J51,L48),MIN(J51,L48-'数据-取费表'!B24)))</f>
        <v>46.47</v>
      </c>
      <c r="K53" s="3376" t="s">
        <v>1542</v>
      </c>
      <c r="L53" s="3377"/>
      <c r="O53" s="1878" t="s">
        <v>1042</v>
      </c>
      <c r="P53" s="1879" t="s">
        <v>1543</v>
      </c>
      <c r="Q53" s="1880">
        <f ca="1">Q47+Q48</f>
        <v>3657</v>
      </c>
      <c r="R53" s="1880" t="s">
        <v>1043</v>
      </c>
    </row>
    <row r="54" spans="1:18" s="1836" customFormat="1" ht="13.5" thickBot="1">
      <c r="A54" s="1402"/>
      <c r="B54" s="1819" t="s">
        <v>1382</v>
      </c>
      <c r="C54" s="1174"/>
      <c r="D54" s="1818"/>
      <c r="E54" s="2954"/>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5"/>
      <c r="O54" s="1863" t="s">
        <v>1544</v>
      </c>
      <c r="P54" s="1833"/>
      <c r="Q54" s="1833"/>
      <c r="R54" s="1833"/>
    </row>
    <row r="55" spans="1:18" s="1836" customFormat="1" ht="13.5" thickBot="1">
      <c r="A55" s="1329" t="s">
        <v>1071</v>
      </c>
      <c r="B55" s="1821" t="s">
        <v>1407</v>
      </c>
      <c r="C55" s="1330"/>
      <c r="D55" s="1818"/>
      <c r="E55" s="2954"/>
      <c r="F55" s="1900"/>
      <c r="I55" s="1903" t="s">
        <v>1545</v>
      </c>
      <c r="J55" s="1904" t="e">
        <f ca="1">ROUND(IF(J47="钢混",J57/J50,1-(1-2%)*(J50-J57)/J50),3)</f>
        <v>#VALUE!</v>
      </c>
      <c r="K55" s="1905" t="s">
        <v>1546</v>
      </c>
      <c r="L55" s="1906" t="s">
        <v>1547</v>
      </c>
      <c r="O55" s="1871" t="s">
        <v>1516</v>
      </c>
      <c r="P55" s="1872" t="s">
        <v>1517</v>
      </c>
      <c r="Q55" s="1873" t="s">
        <v>1518</v>
      </c>
      <c r="R55" s="1873" t="s">
        <v>1519</v>
      </c>
    </row>
    <row r="56" spans="1:18" s="1836" customFormat="1" ht="25.5" thickTop="1" thickBot="1">
      <c r="A56" s="1172">
        <v>2</v>
      </c>
      <c r="B56" s="1173" t="s">
        <v>1408</v>
      </c>
      <c r="C56" s="274">
        <f ca="1">C13</f>
        <v>2022</v>
      </c>
      <c r="D56" s="1907"/>
      <c r="E56" s="1908"/>
      <c r="F56" s="1900"/>
      <c r="I56" s="1909" t="s">
        <v>1548</v>
      </c>
      <c r="J56" s="1910" t="s">
        <v>4433</v>
      </c>
      <c r="K56" s="1881" t="s">
        <v>1549</v>
      </c>
      <c r="L56" s="1884" t="str">
        <f ca="1">IF(L48&lt;J51,"——",L48-J53)</f>
        <v>——</v>
      </c>
      <c r="O56" s="1878" t="s">
        <v>1036</v>
      </c>
      <c r="P56" s="1879" t="s">
        <v>1522</v>
      </c>
      <c r="Q56" s="1880">
        <f ca="1">C40+J29</f>
        <v>3657</v>
      </c>
      <c r="R56" s="1880" t="s">
        <v>1523</v>
      </c>
    </row>
    <row r="57" spans="1:18" s="1836" customFormat="1" ht="24.75" thickBot="1">
      <c r="A57" s="1911"/>
      <c r="B57" s="1165" t="s">
        <v>1472</v>
      </c>
      <c r="C57" s="280">
        <f ca="1">C29</f>
        <v>2022</v>
      </c>
      <c r="D57" s="1912"/>
      <c r="E57" s="1913"/>
      <c r="F57" s="1914"/>
      <c r="I57" s="1915" t="s">
        <v>1550</v>
      </c>
      <c r="J57" s="1916" t="str">
        <f ca="1">IF(OR(M47="住宅",J51&lt;L48,J56="是"),"——",J51-L48)</f>
        <v>——</v>
      </c>
      <c r="K57" s="1881" t="s">
        <v>1551</v>
      </c>
      <c r="L57" s="1884" t="str">
        <f ca="1">IF(L48&lt;J51,"——",IF(L55="比较法",L49,IF(L55="基准地价",L50,L51)))</f>
        <v>——</v>
      </c>
      <c r="O57" s="1878" t="s">
        <v>1037</v>
      </c>
      <c r="P57" s="1879" t="s">
        <v>1552</v>
      </c>
      <c r="Q57" s="1880">
        <f ca="1">L60</f>
        <v>0</v>
      </c>
      <c r="R57" s="1880" t="s">
        <v>1553</v>
      </c>
    </row>
    <row r="58" spans="1:18" s="1836" customFormat="1" ht="24.75" thickBot="1">
      <c r="A58" s="358" t="s">
        <v>1026</v>
      </c>
      <c r="B58" s="1173" t="s">
        <v>1418</v>
      </c>
      <c r="C58" s="359">
        <f ca="1">ROUND(C59+C64+C65+C66,0)</f>
        <v>204</v>
      </c>
      <c r="D58" s="1175" t="s">
        <v>1419</v>
      </c>
      <c r="E58" s="1176"/>
      <c r="F58" s="1177"/>
      <c r="I58" s="1915" t="s">
        <v>1554</v>
      </c>
      <c r="J58" s="1917" t="e">
        <f ca="1">IF(J55&lt;0.4,0.4,J55)</f>
        <v>#VALUE!</v>
      </c>
      <c r="K58" s="1894" t="s">
        <v>1555</v>
      </c>
      <c r="L58" s="1884" t="e">
        <f ca="1">ROUND(POWER(1+L52,L47-L48)*(POWER(1+L52,L48)-1)/(POWER(1+L52,L47)-1),4)</f>
        <v>#DIV/0!</v>
      </c>
      <c r="O58" s="1888" t="s">
        <v>1038</v>
      </c>
      <c r="P58" s="1879" t="s">
        <v>1556</v>
      </c>
      <c r="Q58" s="1880">
        <f>IF(L55="比较法",L49,IF(L55="基准地价",L50,0))</f>
        <v>0</v>
      </c>
      <c r="R58" s="1880" t="s">
        <v>1523</v>
      </c>
    </row>
    <row r="59" spans="1:18" s="1836" customFormat="1" ht="24.75" thickBot="1">
      <c r="A59" s="1197" t="s">
        <v>1031</v>
      </c>
      <c r="B59" s="1165" t="s">
        <v>1423</v>
      </c>
      <c r="C59" s="24">
        <f ca="1">ROUND(IF(项目基本情况!B11="自然人",C48*F59,C60+C61+C62),1)</f>
        <v>170.2</v>
      </c>
      <c r="D59" s="1178" t="s">
        <v>1424</v>
      </c>
      <c r="E59" s="1179" t="s">
        <v>1425</v>
      </c>
      <c r="F59" s="366" t="str">
        <f ca="1">IF(项目基本情况!B11="企业","",IF(INDIRECT("'数据-取费表'!c"&amp;$G$1)="住宅",5%,IF(F49*F50*F51/12/(1+'数据-取费表'!C42)&gt;20000,12%,7%)))</f>
        <v/>
      </c>
      <c r="I59" s="1915" t="s">
        <v>1557</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1039</v>
      </c>
      <c r="P59" s="1879" t="s">
        <v>1558</v>
      </c>
      <c r="Q59" s="1891">
        <f>L52</f>
        <v>0</v>
      </c>
      <c r="R59" s="1880"/>
    </row>
    <row r="60" spans="1:18" s="1836" customFormat="1" ht="16.5" thickBot="1">
      <c r="A60" s="1197" t="s">
        <v>1030</v>
      </c>
      <c r="B60" s="1165" t="s">
        <v>1427</v>
      </c>
      <c r="C60" s="24">
        <f ca="1">IF(项目基本情况!B11="自然人","——",ROUND(C48*F60/(1+'数据-取费表'!C42),2))</f>
        <v>0</v>
      </c>
      <c r="D60" s="1179" t="s">
        <v>1428</v>
      </c>
      <c r="E60" s="1165" t="s">
        <v>1416</v>
      </c>
      <c r="F60" s="375">
        <f t="shared" ref="F60:F66" si="0">F32</f>
        <v>5.5000000000000007E-2</v>
      </c>
      <c r="I60" s="1918" t="s">
        <v>1559</v>
      </c>
      <c r="J60" s="1919" t="str">
        <f ca="1">IF(OR(M47="住宅",J51&lt;L48,J56="是"),"0",ROUND(J59/(1+J52)^J53,0))</f>
        <v>0</v>
      </c>
      <c r="K60" s="1920" t="s">
        <v>1560</v>
      </c>
      <c r="L60" s="1919">
        <f ca="1">IF(OR(M47="住宅",L48&lt;J51),0,ROUND(L57*(L58/L59-1),0))</f>
        <v>0</v>
      </c>
      <c r="O60" s="1888" t="s">
        <v>1040</v>
      </c>
      <c r="P60" s="1879" t="s">
        <v>1561</v>
      </c>
      <c r="Q60" s="1880" t="e">
        <f ca="1">L58</f>
        <v>#DIV/0!</v>
      </c>
      <c r="R60" s="1880" t="s">
        <v>1562</v>
      </c>
    </row>
    <row r="61" spans="1:18" s="1836" customFormat="1" ht="13.5" thickBot="1">
      <c r="A61" s="1197" t="s">
        <v>1486</v>
      </c>
      <c r="B61" s="1165" t="s">
        <v>1431</v>
      </c>
      <c r="C61" s="24">
        <f ca="1">IF(项目基本情况!B11="自然人","——",IF(D61="按租金收入计税",ROUND(C48*F61,2),IF(D61="按房产原值计税",ROUND(C57*F61*0.7,2),INDIRECT("'数据-取费表'!Aj"&amp;$G$1))))</f>
        <v>169.85</v>
      </c>
      <c r="D61" s="1822" t="s">
        <v>1432</v>
      </c>
      <c r="E61" s="1165" t="s">
        <v>1416</v>
      </c>
      <c r="F61" s="365">
        <f t="shared" si="0"/>
        <v>0.12</v>
      </c>
      <c r="I61" s="1921"/>
      <c r="J61" s="1921"/>
      <c r="K61" s="1921"/>
      <c r="L61" s="1921"/>
      <c r="O61" s="1888" t="s">
        <v>1041</v>
      </c>
      <c r="P61" s="1879" t="str">
        <f>K59</f>
        <v>续建工期及建筑物耐用年限下的土地年期修正系数Kn</v>
      </c>
      <c r="Q61" s="1880" t="e">
        <f ca="1">L59</f>
        <v>#DIV/0!</v>
      </c>
      <c r="R61" s="1880" t="s">
        <v>1563</v>
      </c>
    </row>
    <row r="62" spans="1:18" s="1836" customFormat="1" ht="13.5" thickBot="1">
      <c r="A62" s="1197" t="s">
        <v>1489</v>
      </c>
      <c r="B62" s="1164" t="s">
        <v>1435</v>
      </c>
      <c r="C62" s="25">
        <f ca="1">IF(项目基本情况!B11="自然人","——",ROUND(F62*F63/10000,2))</f>
        <v>0.35</v>
      </c>
      <c r="D62" s="1180" t="s">
        <v>1436</v>
      </c>
      <c r="E62" s="1165" t="s">
        <v>1437</v>
      </c>
      <c r="F62" s="369">
        <f t="shared" si="0"/>
        <v>1.5</v>
      </c>
      <c r="I62" s="1922" t="s">
        <v>1564</v>
      </c>
      <c r="J62" s="1923" t="s">
        <v>1565</v>
      </c>
      <c r="K62" s="1923" t="s">
        <v>1566</v>
      </c>
      <c r="L62" s="1923" t="s">
        <v>1567</v>
      </c>
      <c r="M62" s="1924" t="s">
        <v>1568</v>
      </c>
      <c r="O62" s="1878" t="s">
        <v>1042</v>
      </c>
      <c r="P62" s="1879" t="s">
        <v>1543</v>
      </c>
      <c r="Q62" s="1880">
        <f ca="1">Q56+Q57</f>
        <v>3657</v>
      </c>
      <c r="R62" s="1880" t="s">
        <v>1043</v>
      </c>
    </row>
    <row r="63" spans="1:18" s="1836" customFormat="1" ht="13.5" thickBot="1">
      <c r="A63" s="370"/>
      <c r="B63" s="1171"/>
      <c r="C63" s="29"/>
      <c r="D63" s="1181"/>
      <c r="E63" s="1165" t="s">
        <v>1441</v>
      </c>
      <c r="F63" s="346">
        <f t="shared" ca="1" si="0"/>
        <v>2358.09</v>
      </c>
      <c r="I63" s="1922" t="s">
        <v>1570</v>
      </c>
      <c r="J63" s="1923">
        <v>70</v>
      </c>
      <c r="K63" s="1923">
        <v>50</v>
      </c>
      <c r="L63" s="1923">
        <v>80</v>
      </c>
      <c r="M63" s="1925">
        <v>0.02</v>
      </c>
      <c r="O63" s="1863" t="s">
        <v>1571</v>
      </c>
      <c r="P63" s="1833"/>
      <c r="Q63" s="1833"/>
      <c r="R63" s="1833"/>
    </row>
    <row r="64" spans="1:18" s="1836" customFormat="1" ht="13.5" thickBot="1">
      <c r="A64" s="1197" t="s">
        <v>1035</v>
      </c>
      <c r="B64" s="1165" t="s">
        <v>1443</v>
      </c>
      <c r="C64" s="24">
        <f ca="1">ROUND(C57*F64,1)</f>
        <v>30.3</v>
      </c>
      <c r="D64" s="1179" t="s">
        <v>1476</v>
      </c>
      <c r="E64" s="1165" t="s">
        <v>1416</v>
      </c>
      <c r="F64" s="372">
        <f t="shared" ca="1" si="0"/>
        <v>1.4999999999999999E-2</v>
      </c>
      <c r="I64" s="1922" t="s">
        <v>1572</v>
      </c>
      <c r="J64" s="1923">
        <v>50</v>
      </c>
      <c r="K64" s="1923">
        <v>35</v>
      </c>
      <c r="L64" s="1923">
        <v>60</v>
      </c>
      <c r="M64" s="1924">
        <v>0</v>
      </c>
      <c r="O64" s="1871" t="s">
        <v>1516</v>
      </c>
      <c r="P64" s="1872" t="s">
        <v>1517</v>
      </c>
      <c r="Q64" s="1873" t="s">
        <v>1518</v>
      </c>
      <c r="R64" s="1873" t="s">
        <v>1519</v>
      </c>
    </row>
    <row r="65" spans="1:18" s="1836" customFormat="1" ht="13.5" thickBot="1">
      <c r="A65" s="1197" t="s">
        <v>1497</v>
      </c>
      <c r="B65" s="1165" t="s">
        <v>1447</v>
      </c>
      <c r="C65" s="24">
        <f ca="1">ROUND(C56*F65,1)</f>
        <v>3</v>
      </c>
      <c r="D65" s="1179" t="s">
        <v>1448</v>
      </c>
      <c r="E65" s="1165" t="s">
        <v>1416</v>
      </c>
      <c r="F65" s="374">
        <f t="shared" ca="1" si="0"/>
        <v>1.5E-3</v>
      </c>
      <c r="I65" s="1922" t="s">
        <v>1573</v>
      </c>
      <c r="J65" s="1923">
        <v>40</v>
      </c>
      <c r="K65" s="1923">
        <v>30</v>
      </c>
      <c r="L65" s="1923">
        <v>50</v>
      </c>
      <c r="M65" s="1925">
        <v>0.02</v>
      </c>
      <c r="O65" s="1878" t="s">
        <v>1036</v>
      </c>
      <c r="P65" s="1879" t="s">
        <v>1522</v>
      </c>
      <c r="Q65" s="1880">
        <f ca="1">C40+J29</f>
        <v>3657</v>
      </c>
      <c r="R65" s="1880" t="s">
        <v>1523</v>
      </c>
    </row>
    <row r="66" spans="1:18" s="1836" customFormat="1" ht="16.5" thickBot="1">
      <c r="A66" s="1197" t="s">
        <v>1498</v>
      </c>
      <c r="B66" s="1165" t="s">
        <v>1433</v>
      </c>
      <c r="C66" s="24">
        <f ca="1">ROUND(C48*F66,1)</f>
        <v>0</v>
      </c>
      <c r="D66" s="1179" t="s">
        <v>1453</v>
      </c>
      <c r="E66" s="1165" t="s">
        <v>1416</v>
      </c>
      <c r="F66" s="355">
        <f t="shared" ca="1" si="0"/>
        <v>0.01</v>
      </c>
      <c r="O66" s="1878" t="s">
        <v>1037</v>
      </c>
      <c r="P66" s="1879" t="s">
        <v>1552</v>
      </c>
      <c r="Q66" s="1880">
        <f ca="1">L60</f>
        <v>0</v>
      </c>
      <c r="R66" s="1880" t="s">
        <v>1575</v>
      </c>
    </row>
    <row r="67" spans="1:18" s="1836" customFormat="1" ht="16.5" thickBot="1">
      <c r="A67" s="1172" t="s">
        <v>1027</v>
      </c>
      <c r="B67" s="1182" t="s">
        <v>1457</v>
      </c>
      <c r="C67" s="359">
        <f ca="1">C48-C58</f>
        <v>-204</v>
      </c>
      <c r="D67" s="1178" t="s">
        <v>1458</v>
      </c>
      <c r="E67" s="1183"/>
      <c r="F67" s="1184"/>
      <c r="O67" s="1888" t="s">
        <v>1038</v>
      </c>
      <c r="P67" s="1879" t="s">
        <v>1556</v>
      </c>
      <c r="Q67" s="1926">
        <f ca="1">L51</f>
        <v>362</v>
      </c>
      <c r="R67" s="1880" t="s">
        <v>1576</v>
      </c>
    </row>
    <row r="68" spans="1:18" s="1836" customFormat="1" ht="16.5" thickBot="1">
      <c r="A68" s="1162" t="s">
        <v>1028</v>
      </c>
      <c r="B68" s="1163" t="s">
        <v>1479</v>
      </c>
      <c r="C68" s="344">
        <f ca="1">ROUND(C67*(1-((1+F70)/(1+F68))^F69)/(F68-F70),0)</f>
        <v>-3947</v>
      </c>
      <c r="D68" s="1180" t="s">
        <v>1463</v>
      </c>
      <c r="E68" s="1165" t="s">
        <v>1464</v>
      </c>
      <c r="F68" s="355">
        <f ca="1">F40</f>
        <v>4.4999999999999998E-2</v>
      </c>
      <c r="O68" s="1888" t="s">
        <v>1039</v>
      </c>
      <c r="P68" s="1927" t="s">
        <v>1577</v>
      </c>
      <c r="Q68" s="1880">
        <f ca="1">ROUND(Q69-Q70*Q71,0)</f>
        <v>17</v>
      </c>
      <c r="R68" s="1880" t="s">
        <v>1047</v>
      </c>
    </row>
    <row r="69" spans="1:18" s="1836" customFormat="1" ht="13.5" thickBot="1">
      <c r="A69" s="1166"/>
      <c r="B69" s="1167"/>
      <c r="C69" s="349"/>
      <c r="D69" s="1185" t="s">
        <v>1467</v>
      </c>
      <c r="E69" s="1165" t="s">
        <v>1468</v>
      </c>
      <c r="F69" s="377">
        <f ca="1">F41</f>
        <v>46.47</v>
      </c>
      <c r="O69" s="1888" t="s">
        <v>1044</v>
      </c>
      <c r="P69" s="1927" t="s">
        <v>1578</v>
      </c>
      <c r="Q69" s="1880">
        <f ca="1">C39</f>
        <v>189</v>
      </c>
      <c r="R69" s="1880" t="s">
        <v>1523</v>
      </c>
    </row>
    <row r="70" spans="1:18" s="1836" customFormat="1" ht="13.5" thickBot="1">
      <c r="A70" s="1169"/>
      <c r="B70" s="1170"/>
      <c r="C70" s="353"/>
      <c r="D70" s="1181"/>
      <c r="E70" s="1165" t="s">
        <v>1471</v>
      </c>
      <c r="F70" s="1271"/>
      <c r="O70" s="1888" t="s">
        <v>1045</v>
      </c>
      <c r="P70" s="1927" t="s">
        <v>1579</v>
      </c>
      <c r="Q70" s="1880">
        <f ca="1">C13</f>
        <v>2022</v>
      </c>
      <c r="R70" s="1880" t="s">
        <v>1523</v>
      </c>
    </row>
    <row r="71" spans="1:18" s="1836" customFormat="1" ht="13.5" thickBot="1">
      <c r="A71" s="1186" t="s">
        <v>1029</v>
      </c>
      <c r="B71" s="1187" t="s">
        <v>1481</v>
      </c>
      <c r="C71" s="380">
        <f ca="1">ROUND(C68*10000/F71,0)</f>
        <v>-6773</v>
      </c>
      <c r="D71" s="1188" t="s">
        <v>1482</v>
      </c>
      <c r="E71" s="1189" t="s">
        <v>1483</v>
      </c>
      <c r="F71" s="383">
        <f ca="1">F43</f>
        <v>5827.19</v>
      </c>
      <c r="O71" s="1888" t="s">
        <v>1046</v>
      </c>
      <c r="P71" s="1927" t="s">
        <v>1580</v>
      </c>
      <c r="Q71" s="1891">
        <f ca="1">C76</f>
        <v>8.5000000000000006E-2</v>
      </c>
      <c r="R71" s="1880"/>
    </row>
    <row r="72" spans="1:18" s="1836" customFormat="1" ht="13.5" thickBot="1">
      <c r="B72" s="794"/>
      <c r="C72" s="794"/>
      <c r="O72" s="1888" t="s">
        <v>1040</v>
      </c>
      <c r="P72" s="1879" t="s">
        <v>1558</v>
      </c>
      <c r="Q72" s="1891">
        <f>L52</f>
        <v>0</v>
      </c>
      <c r="R72" s="1880"/>
    </row>
    <row r="73" spans="1:18" ht="16.5" thickBot="1">
      <c r="A73" s="1836"/>
      <c r="B73" s="794"/>
      <c r="C73" s="794"/>
      <c r="D73" s="1836"/>
      <c r="E73" s="1836"/>
      <c r="F73" s="1836"/>
      <c r="O73" s="1888" t="s">
        <v>1041</v>
      </c>
      <c r="P73" s="1879" t="s">
        <v>1561</v>
      </c>
      <c r="Q73" s="1880" t="e">
        <f ca="1">L58</f>
        <v>#DIV/0!</v>
      </c>
      <c r="R73" s="1880" t="s">
        <v>1562</v>
      </c>
    </row>
    <row r="74" spans="1:18" ht="13.5" thickBot="1">
      <c r="A74" s="1836"/>
      <c r="B74" s="315" t="s">
        <v>1581</v>
      </c>
      <c r="C74" s="1929"/>
      <c r="D74" s="1836"/>
      <c r="E74" s="1836"/>
      <c r="F74" s="1836"/>
      <c r="O74" s="1888" t="s">
        <v>1048</v>
      </c>
      <c r="P74" s="1879" t="str">
        <f>K59</f>
        <v>续建工期及建筑物耐用年限下的土地年期修正系数Kn</v>
      </c>
      <c r="Q74" s="1880" t="e">
        <f ca="1">L59</f>
        <v>#DIV/0!</v>
      </c>
      <c r="R74" s="1880" t="s">
        <v>1563</v>
      </c>
    </row>
    <row r="75" spans="1:18" ht="13.5" thickBot="1">
      <c r="A75" s="1836"/>
      <c r="B75" s="384" t="s">
        <v>1500</v>
      </c>
      <c r="C75" s="385">
        <f ca="1">ROUND(C13*C76,0)</f>
        <v>172</v>
      </c>
      <c r="D75" s="1836"/>
      <c r="E75" s="1836"/>
      <c r="F75" s="1836"/>
      <c r="K75" s="1862"/>
      <c r="L75" s="1836"/>
      <c r="O75" s="1878" t="s">
        <v>1042</v>
      </c>
      <c r="P75" s="1879" t="s">
        <v>1543</v>
      </c>
      <c r="Q75" s="1880">
        <f ca="1">Q65+Q66</f>
        <v>3657</v>
      </c>
      <c r="R75" s="1880" t="s">
        <v>1043</v>
      </c>
    </row>
    <row r="76" spans="1:18">
      <c r="B76" s="386" t="s">
        <v>1501</v>
      </c>
      <c r="C76" s="387">
        <f ca="1">INDIRECT("'数据-取费表'!j"&amp;$G$1)</f>
        <v>8.5000000000000006E-2</v>
      </c>
      <c r="I76" s="1836"/>
      <c r="J76" s="1836"/>
      <c r="K76" s="1862"/>
      <c r="L76" s="1836"/>
    </row>
    <row r="77" spans="1:18">
      <c r="B77" s="388" t="s">
        <v>1502</v>
      </c>
      <c r="C77" s="389"/>
      <c r="I77" s="1836"/>
      <c r="J77" s="1836"/>
      <c r="K77" s="1862"/>
      <c r="L77" s="1836"/>
    </row>
    <row r="78" spans="1:18">
      <c r="B78" s="312" t="s">
        <v>1503</v>
      </c>
      <c r="C78" s="390"/>
    </row>
    <row r="79" spans="1:18">
      <c r="B79" s="384" t="s">
        <v>1504</v>
      </c>
      <c r="C79" s="316">
        <f ca="1">1-C80</f>
        <v>8.9999999999999969E-2</v>
      </c>
    </row>
    <row r="80" spans="1:18">
      <c r="B80" s="384" t="s">
        <v>1505</v>
      </c>
      <c r="C80" s="316">
        <f ca="1">ROUND(C75/C39,3)</f>
        <v>0.91</v>
      </c>
    </row>
    <row r="81" spans="2:3">
      <c r="B81" s="312" t="s">
        <v>1506</v>
      </c>
      <c r="C81" s="280"/>
    </row>
    <row r="82" spans="2:3">
      <c r="B82" s="315" t="s">
        <v>1507</v>
      </c>
      <c r="C82" s="317">
        <f ca="1">1-C83</f>
        <v>0.44699999999999995</v>
      </c>
    </row>
    <row r="83" spans="2:3">
      <c r="B83" s="315" t="s">
        <v>1508</v>
      </c>
      <c r="C83" s="316">
        <f ca="1">ROUND(C13/C40,3)</f>
        <v>0.55300000000000005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8" customWidth="1"/>
    <col min="2" max="2" width="12" style="1938" customWidth="1"/>
    <col min="3" max="3" width="9" style="1938"/>
    <col min="4" max="4" width="14.125" style="1938" customWidth="1"/>
    <col min="5" max="5" width="9" style="1938"/>
    <col min="6" max="6" width="12.875" style="1938" customWidth="1"/>
    <col min="7" max="16384" width="9" style="1938"/>
  </cols>
  <sheetData>
    <row r="1" spans="1:6" ht="21">
      <c r="A1" s="2545" t="s">
        <v>2508</v>
      </c>
      <c r="B1" s="2546"/>
      <c r="C1" s="2546"/>
      <c r="D1" s="2546"/>
      <c r="E1" s="2547"/>
    </row>
    <row r="2" spans="1:6" ht="15.75">
      <c r="A2" s="2548" t="s">
        <v>2312</v>
      </c>
      <c r="B2" s="2549">
        <f ca="1">SUMIF(B6:B13,"&lt;&gt;#ref!",B6:B13)</f>
        <v>50879</v>
      </c>
      <c r="C2" s="2550" t="s">
        <v>2501</v>
      </c>
      <c r="D2" s="2551" t="s">
        <v>2502</v>
      </c>
      <c r="E2" s="2552">
        <f>SUM(E6:E13)</f>
        <v>61622.53</v>
      </c>
    </row>
    <row r="3" spans="1:6" ht="15.75">
      <c r="A3" s="2548" t="s">
        <v>1389</v>
      </c>
      <c r="B3" s="2549">
        <f ca="1">ROUND(B2*10000/E2,0)</f>
        <v>8257</v>
      </c>
      <c r="C3" s="2550" t="s">
        <v>2509</v>
      </c>
      <c r="D3" s="2553"/>
      <c r="E3" s="2554"/>
    </row>
    <row r="4" spans="1:6" ht="15.75">
      <c r="A4" s="2555"/>
      <c r="B4" s="2553"/>
      <c r="C4" s="2553"/>
      <c r="D4" s="2553"/>
      <c r="E4" s="2554"/>
    </row>
    <row r="5" spans="1:6" ht="15">
      <c r="A5" s="2556" t="s">
        <v>2503</v>
      </c>
      <c r="B5" s="3383" t="s">
        <v>2504</v>
      </c>
      <c r="C5" s="3383"/>
      <c r="D5" s="2557"/>
      <c r="E5" s="2558" t="s">
        <v>2505</v>
      </c>
      <c r="F5" s="2559" t="s">
        <v>2506</v>
      </c>
    </row>
    <row r="6" spans="1:6">
      <c r="A6" s="2560">
        <f>'数据-取费表'!AN6</f>
        <v>0</v>
      </c>
      <c r="B6" s="2559" t="e">
        <f ca="1">IF(F6="是",'数据-取费表'!AO6,0)</f>
        <v>#REF!</v>
      </c>
      <c r="C6" s="2550" t="s">
        <v>2501</v>
      </c>
      <c r="D6" s="2553"/>
      <c r="E6" s="2561">
        <f>IF(OR(A6=0,F6="否"),0,'数据-取费表'!K6+'数据-取费表'!S6)</f>
        <v>0</v>
      </c>
      <c r="F6" s="2562" t="s">
        <v>2507</v>
      </c>
    </row>
    <row r="7" spans="1:6">
      <c r="A7" s="2560">
        <f>'数据-取费表'!AN7</f>
        <v>0</v>
      </c>
      <c r="B7" s="2559" t="e">
        <f ca="1">IF(F7="是",'数据-取费表'!AO7,0)</f>
        <v>#REF!</v>
      </c>
      <c r="C7" s="2550" t="s">
        <v>2501</v>
      </c>
      <c r="D7" s="2553"/>
      <c r="E7" s="2561">
        <f>IF(OR(A7=0,F7="否"),0,'数据-取费表'!K7+'数据-取费表'!S7)</f>
        <v>0</v>
      </c>
      <c r="F7" s="2562" t="s">
        <v>2507</v>
      </c>
    </row>
    <row r="8" spans="1:6">
      <c r="A8" s="2560" t="str">
        <f>'数据-取费表'!AN8</f>
        <v>收益法（自持住宅）</v>
      </c>
      <c r="B8" s="2559">
        <f ca="1">IF(F8="是",'数据-取费表'!AO8,0)</f>
        <v>45806</v>
      </c>
      <c r="C8" s="2550" t="s">
        <v>2501</v>
      </c>
      <c r="D8" s="2553"/>
      <c r="E8" s="2561">
        <f>IF(OR(A8=0,F8="否"),0,'数据-取费表'!K8+'数据-取费表'!S8)</f>
        <v>32976.26</v>
      </c>
      <c r="F8" s="2562" t="s">
        <v>2507</v>
      </c>
    </row>
    <row r="9" spans="1:6">
      <c r="A9" s="2560" t="str">
        <f>'数据-取费表'!AN9</f>
        <v>收益法（商业）</v>
      </c>
      <c r="B9" s="2559">
        <f ca="1">IF(F9="是",'数据-取费表'!AO9,0)</f>
        <v>1435</v>
      </c>
      <c r="C9" s="2550" t="s">
        <v>2501</v>
      </c>
      <c r="D9" s="2553"/>
      <c r="E9" s="2561">
        <f>IF(OR(A9=0,F9="否"),0,'数据-取费表'!K9+'数据-取费表'!S9)</f>
        <v>657.68000000000006</v>
      </c>
      <c r="F9" s="2562" t="s">
        <v>2507</v>
      </c>
    </row>
    <row r="10" spans="1:6">
      <c r="A10" s="2560" t="str">
        <f>'数据-取费表'!AN10</f>
        <v>收益法（车库）</v>
      </c>
      <c r="B10" s="2559">
        <f ca="1">IF(F10="是",'数据-取费表'!AO10,0)</f>
        <v>-19</v>
      </c>
      <c r="C10" s="2550" t="s">
        <v>2501</v>
      </c>
      <c r="D10" s="2553"/>
      <c r="E10" s="2561">
        <f>IF(OR(A10=0,F10="否"),0,'数据-取费表'!K10+'数据-取费表'!S10)</f>
        <v>22055.699999999997</v>
      </c>
      <c r="F10" s="2562" t="s">
        <v>2507</v>
      </c>
    </row>
    <row r="11" spans="1:6">
      <c r="A11" s="2560" t="str">
        <f>'数据-取费表'!AN11</f>
        <v>收益法（仓储）</v>
      </c>
      <c r="B11" s="2559">
        <f ca="1">IF(F11="是",'数据-取费表'!AO11,0)</f>
        <v>3657</v>
      </c>
      <c r="C11" s="2550" t="s">
        <v>2501</v>
      </c>
      <c r="D11" s="2553"/>
      <c r="E11" s="2561">
        <f>IF(OR(A11=0,F11="否"),0,'数据-取费表'!K11+'数据-取费表'!S11)</f>
        <v>5932.8899999999994</v>
      </c>
      <c r="F11" s="2562" t="s">
        <v>2507</v>
      </c>
    </row>
    <row r="12" spans="1:6">
      <c r="A12" s="2560">
        <f>'数据-取费表'!AN12</f>
        <v>0</v>
      </c>
      <c r="B12" s="2559" t="e">
        <f ca="1">IF(F12="是",'数据-取费表'!AO12,0)</f>
        <v>#REF!</v>
      </c>
      <c r="C12" s="2550" t="s">
        <v>2501</v>
      </c>
      <c r="D12" s="2553"/>
      <c r="E12" s="2561">
        <f>IF(OR(A12=0,F12="否"),0,'数据-取费表'!K12+'数据-取费表'!S12)</f>
        <v>0</v>
      </c>
      <c r="F12" s="2562" t="s">
        <v>2507</v>
      </c>
    </row>
    <row r="13" spans="1:6" ht="15" thickBot="1">
      <c r="A13" s="2563">
        <f>'数据-取费表'!AN13</f>
        <v>0</v>
      </c>
      <c r="B13" s="2559" t="e">
        <f ca="1">IF(F13="是",'数据-取费表'!AO13,0)</f>
        <v>#REF!</v>
      </c>
      <c r="C13" s="2564" t="s">
        <v>2501</v>
      </c>
      <c r="D13" s="2565"/>
      <c r="E13" s="2561">
        <f>IF(OR(A13=0,F13="否"),0,'数据-取费表'!K13+'数据-取费表'!S13)</f>
        <v>0</v>
      </c>
      <c r="F13" s="2562" t="s">
        <v>2507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400" t="s">
        <v>1072</v>
      </c>
      <c r="B1" s="3401"/>
      <c r="C1" s="3402"/>
      <c r="D1" s="3403">
        <f>SUM(I10,I15,I20,I21,I23)</f>
        <v>0</v>
      </c>
      <c r="E1" s="3403"/>
      <c r="F1" s="3403"/>
      <c r="G1" s="3403"/>
      <c r="H1" s="3403"/>
      <c r="I1" s="3404"/>
    </row>
    <row r="2" spans="1:9">
      <c r="A2" s="3390" t="s">
        <v>1073</v>
      </c>
      <c r="B2" s="3391" t="s">
        <v>1074</v>
      </c>
      <c r="C2" s="3391"/>
      <c r="D2" s="1297" t="s">
        <v>1075</v>
      </c>
      <c r="E2" s="1297" t="s">
        <v>1076</v>
      </c>
      <c r="F2" s="1297" t="s">
        <v>1077</v>
      </c>
      <c r="G2" s="1297" t="s">
        <v>1078</v>
      </c>
      <c r="H2" s="1297" t="s">
        <v>1079</v>
      </c>
      <c r="I2" s="1298" t="s">
        <v>1080</v>
      </c>
    </row>
    <row r="3" spans="1:9">
      <c r="A3" s="3390"/>
      <c r="B3" s="3391" t="s">
        <v>1081</v>
      </c>
      <c r="C3" s="3391"/>
      <c r="D3" s="1299"/>
      <c r="E3" s="1297"/>
      <c r="F3" s="1300"/>
      <c r="G3" s="1300"/>
      <c r="H3" s="1301"/>
      <c r="I3" s="1302">
        <f>ROUND(D3*E3*F3*G3*H3/10000,0)</f>
        <v>0</v>
      </c>
    </row>
    <row r="4" spans="1:9">
      <c r="A4" s="3390"/>
      <c r="B4" s="3391" t="s">
        <v>1082</v>
      </c>
      <c r="C4" s="3391"/>
      <c r="D4" s="1299"/>
      <c r="E4" s="1297"/>
      <c r="F4" s="1300"/>
      <c r="G4" s="1300"/>
      <c r="H4" s="1301"/>
      <c r="I4" s="1302">
        <f t="shared" ref="I4:I9" si="0">ROUND(D4*E4*F4*G4*H4/10000,0)</f>
        <v>0</v>
      </c>
    </row>
    <row r="5" spans="1:9">
      <c r="A5" s="3390"/>
      <c r="B5" s="3391" t="s">
        <v>1083</v>
      </c>
      <c r="C5" s="3391"/>
      <c r="D5" s="1299"/>
      <c r="E5" s="1297"/>
      <c r="F5" s="1300"/>
      <c r="G5" s="1300"/>
      <c r="H5" s="1301"/>
      <c r="I5" s="1302">
        <f t="shared" si="0"/>
        <v>0</v>
      </c>
    </row>
    <row r="6" spans="1:9">
      <c r="A6" s="3390"/>
      <c r="B6" s="3391" t="s">
        <v>1084</v>
      </c>
      <c r="C6" s="3391"/>
      <c r="D6" s="1299"/>
      <c r="E6" s="1297"/>
      <c r="F6" s="1300"/>
      <c r="G6" s="1300"/>
      <c r="H6" s="1301"/>
      <c r="I6" s="1302">
        <f t="shared" si="0"/>
        <v>0</v>
      </c>
    </row>
    <row r="7" spans="1:9">
      <c r="A7" s="3390"/>
      <c r="B7" s="3391" t="s">
        <v>1085</v>
      </c>
      <c r="C7" s="3391"/>
      <c r="D7" s="1299"/>
      <c r="E7" s="1297"/>
      <c r="F7" s="1300"/>
      <c r="G7" s="1300"/>
      <c r="H7" s="1301"/>
      <c r="I7" s="1302">
        <f t="shared" si="0"/>
        <v>0</v>
      </c>
    </row>
    <row r="8" spans="1:9">
      <c r="A8" s="3390"/>
      <c r="B8" s="3391" t="s">
        <v>1086</v>
      </c>
      <c r="C8" s="3391"/>
      <c r="D8" s="1299"/>
      <c r="E8" s="1297"/>
      <c r="F8" s="1300"/>
      <c r="G8" s="1300"/>
      <c r="H8" s="1301"/>
      <c r="I8" s="1302">
        <f t="shared" si="0"/>
        <v>0</v>
      </c>
    </row>
    <row r="9" spans="1:9">
      <c r="A9" s="3390"/>
      <c r="B9" s="3391" t="s">
        <v>1087</v>
      </c>
      <c r="C9" s="3391"/>
      <c r="D9" s="1299"/>
      <c r="E9" s="1297"/>
      <c r="F9" s="1300"/>
      <c r="G9" s="1300"/>
      <c r="H9" s="1301"/>
      <c r="I9" s="1302">
        <f t="shared" si="0"/>
        <v>0</v>
      </c>
    </row>
    <row r="10" spans="1:9">
      <c r="A10" s="3390"/>
      <c r="B10" s="3392" t="s">
        <v>1088</v>
      </c>
      <c r="C10" s="3392"/>
      <c r="D10" s="1303"/>
      <c r="E10" s="1303" t="e">
        <f>ROUND(D1*10000/D10/H9,0)</f>
        <v>#DIV/0!</v>
      </c>
      <c r="F10" s="1304"/>
      <c r="G10" s="1304"/>
      <c r="H10" s="1305"/>
      <c r="I10" s="1306">
        <f>SUM(I3:I9)</f>
        <v>0</v>
      </c>
    </row>
    <row r="11" spans="1:9" ht="14.25">
      <c r="A11" s="3390" t="s">
        <v>1089</v>
      </c>
      <c r="B11" s="3391" t="s">
        <v>1090</v>
      </c>
      <c r="C11" s="3391"/>
      <c r="D11" s="1299" t="s">
        <v>1091</v>
      </c>
      <c r="E11" s="1299" t="s">
        <v>1092</v>
      </c>
      <c r="F11" s="1300" t="s">
        <v>1093</v>
      </c>
      <c r="G11" s="1300" t="s">
        <v>1079</v>
      </c>
      <c r="H11" s="1307" t="s">
        <v>1094</v>
      </c>
      <c r="I11" s="1298" t="s">
        <v>1080</v>
      </c>
    </row>
    <row r="12" spans="1:9">
      <c r="A12" s="3390"/>
      <c r="B12" s="3391" t="s">
        <v>1095</v>
      </c>
      <c r="C12" s="3391"/>
      <c r="D12" s="1299"/>
      <c r="E12" s="1299"/>
      <c r="F12" s="1300"/>
      <c r="G12" s="1301"/>
      <c r="H12" s="1308"/>
      <c r="I12" s="1298">
        <f>ROUND(D12*E12*F12*G12/10000,0)</f>
        <v>0</v>
      </c>
    </row>
    <row r="13" spans="1:9">
      <c r="A13" s="3390"/>
      <c r="B13" s="3391" t="s">
        <v>1096</v>
      </c>
      <c r="C13" s="3391"/>
      <c r="D13" s="1299"/>
      <c r="E13" s="1299"/>
      <c r="F13" s="1300"/>
      <c r="G13" s="1301"/>
      <c r="H13" s="1308"/>
      <c r="I13" s="1298">
        <f>ROUND(D13*E13*F13*G13/10000,0)</f>
        <v>0</v>
      </c>
    </row>
    <row r="14" spans="1:9">
      <c r="A14" s="3390"/>
      <c r="B14" s="3391" t="s">
        <v>1097</v>
      </c>
      <c r="C14" s="3391"/>
      <c r="D14" s="1299"/>
      <c r="E14" s="1299"/>
      <c r="F14" s="1300"/>
      <c r="G14" s="1301"/>
      <c r="H14" s="1308"/>
      <c r="I14" s="1298">
        <f>ROUND(D14*E14*F14*G14/10000,0)</f>
        <v>0</v>
      </c>
    </row>
    <row r="15" spans="1:9">
      <c r="A15" s="3390"/>
      <c r="B15" s="3392" t="s">
        <v>1088</v>
      </c>
      <c r="C15" s="3392"/>
      <c r="D15" s="1303"/>
      <c r="E15" s="1303">
        <f>SUM(E12:E14)</f>
        <v>0</v>
      </c>
      <c r="F15" s="1304"/>
      <c r="G15" s="1301"/>
      <c r="H15" s="1308"/>
      <c r="I15" s="1309">
        <f>SUM(I12:I14)</f>
        <v>0</v>
      </c>
    </row>
    <row r="16" spans="1:9" ht="24">
      <c r="A16" s="3390" t="s">
        <v>1098</v>
      </c>
      <c r="B16" s="3391" t="s">
        <v>1099</v>
      </c>
      <c r="C16" s="3391"/>
      <c r="D16" s="1299" t="s">
        <v>1075</v>
      </c>
      <c r="E16" s="1310" t="s">
        <v>1100</v>
      </c>
      <c r="F16" s="1300" t="s">
        <v>1101</v>
      </c>
      <c r="G16" s="1301" t="s">
        <v>1079</v>
      </c>
      <c r="H16" s="1307" t="s">
        <v>1094</v>
      </c>
      <c r="I16" s="1298" t="s">
        <v>1080</v>
      </c>
    </row>
    <row r="17" spans="1:9" ht="14.25">
      <c r="A17" s="3390"/>
      <c r="B17" s="3391" t="s">
        <v>1102</v>
      </c>
      <c r="C17" s="3391"/>
      <c r="D17" s="1299"/>
      <c r="E17" s="1299"/>
      <c r="F17" s="1300"/>
      <c r="G17" s="1301"/>
      <c r="H17" s="1311"/>
      <c r="I17" s="1312">
        <f>ROUND(D17*E17*F17*G17/10000,0)</f>
        <v>0</v>
      </c>
    </row>
    <row r="18" spans="1:9" ht="14.25">
      <c r="A18" s="3390"/>
      <c r="B18" s="3391" t="s">
        <v>1103</v>
      </c>
      <c r="C18" s="3391"/>
      <c r="D18" s="1299"/>
      <c r="E18" s="1299"/>
      <c r="F18" s="1300"/>
      <c r="G18" s="1301"/>
      <c r="H18" s="1311"/>
      <c r="I18" s="1312">
        <f>ROUND(D18*E18*F18*G18/10000,0)</f>
        <v>0</v>
      </c>
    </row>
    <row r="19" spans="1:9" ht="14.25">
      <c r="A19" s="3390"/>
      <c r="B19" s="3391" t="s">
        <v>1104</v>
      </c>
      <c r="C19" s="3391"/>
      <c r="D19" s="1299"/>
      <c r="E19" s="1299"/>
      <c r="F19" s="1300"/>
      <c r="G19" s="1301"/>
      <c r="H19" s="1311"/>
      <c r="I19" s="1312">
        <f>ROUND(D19*E19*F19*G19/10000,0)</f>
        <v>0</v>
      </c>
    </row>
    <row r="20" spans="1:9">
      <c r="A20" s="3390"/>
      <c r="B20" s="3392" t="s">
        <v>1088</v>
      </c>
      <c r="C20" s="3392"/>
      <c r="D20" s="1303">
        <f>SUM(D17:D19)</f>
        <v>0</v>
      </c>
      <c r="E20" s="1303"/>
      <c r="F20" s="1304"/>
      <c r="G20" s="1301"/>
      <c r="H20" s="1308"/>
      <c r="I20" s="1309">
        <f>SUM(I17:I19)</f>
        <v>0</v>
      </c>
    </row>
    <row r="21" spans="1:9">
      <c r="A21" s="3390" t="s">
        <v>1105</v>
      </c>
      <c r="B21" s="3393"/>
      <c r="C21" s="3393"/>
      <c r="D21" s="3393"/>
      <c r="E21" s="3393"/>
      <c r="F21" s="3393"/>
      <c r="G21" s="3393"/>
      <c r="H21" s="1759">
        <v>0.1</v>
      </c>
      <c r="I21" s="1306">
        <f>ROUND(I10*H21,0)</f>
        <v>0</v>
      </c>
    </row>
    <row r="22" spans="1:9" ht="14.25">
      <c r="A22" s="3394" t="s">
        <v>1106</v>
      </c>
      <c r="B22" s="3395"/>
      <c r="C22" s="3396"/>
      <c r="D22" s="1313" t="s">
        <v>1107</v>
      </c>
      <c r="E22" s="1313" t="s">
        <v>1108</v>
      </c>
      <c r="F22" s="1314" t="s">
        <v>1109</v>
      </c>
      <c r="G22" s="1314" t="s">
        <v>1110</v>
      </c>
      <c r="H22" s="1307" t="s">
        <v>1111</v>
      </c>
      <c r="I22" s="1298" t="s">
        <v>1112</v>
      </c>
    </row>
    <row r="23" spans="1:9" ht="14.25" thickBot="1">
      <c r="A23" s="3397"/>
      <c r="B23" s="3398"/>
      <c r="C23" s="3399"/>
      <c r="D23" s="1315"/>
      <c r="E23" s="1315"/>
      <c r="F23" s="1315"/>
      <c r="G23" s="1316"/>
      <c r="H23" s="1317"/>
      <c r="I23" s="1318">
        <f>ROUND(E23*D23*F23*(1-G23)/10000,0)</f>
        <v>0</v>
      </c>
    </row>
    <row r="26" spans="1:9">
      <c r="A26" s="1319" t="s">
        <v>1113</v>
      </c>
      <c r="B26" s="1319"/>
      <c r="C26" s="1319"/>
      <c r="D26" s="1319"/>
      <c r="E26" s="3387">
        <f>C27-C30-C31-C32</f>
        <v>0</v>
      </c>
      <c r="F26" s="3387"/>
      <c r="G26" s="3387"/>
      <c r="H26" s="1731" t="s">
        <v>1335</v>
      </c>
    </row>
    <row r="27" spans="1:9">
      <c r="A27" s="1320">
        <v>1</v>
      </c>
      <c r="B27" s="1321" t="s">
        <v>1114</v>
      </c>
      <c r="C27" s="1321">
        <f>C28+C29</f>
        <v>0</v>
      </c>
      <c r="D27" s="1321"/>
      <c r="E27" s="3388"/>
      <c r="F27" s="3388"/>
      <c r="G27" s="3388"/>
    </row>
    <row r="28" spans="1:9">
      <c r="A28" s="1322" t="s">
        <v>1115</v>
      </c>
      <c r="B28" s="1321" t="s">
        <v>1116</v>
      </c>
      <c r="C28" s="1321"/>
      <c r="D28" s="1321"/>
      <c r="E28" s="3388"/>
      <c r="F28" s="3388"/>
      <c r="G28" s="3388"/>
    </row>
    <row r="29" spans="1:9">
      <c r="A29" s="1322" t="s">
        <v>1117</v>
      </c>
      <c r="B29" s="1321" t="s">
        <v>1118</v>
      </c>
      <c r="C29" s="1321"/>
      <c r="D29" s="1321"/>
      <c r="E29" s="1321" t="s">
        <v>1119</v>
      </c>
      <c r="F29" s="1321"/>
      <c r="G29" s="1321"/>
    </row>
    <row r="30" spans="1:9">
      <c r="A30" s="1320">
        <v>2</v>
      </c>
      <c r="B30" s="1321" t="s">
        <v>1120</v>
      </c>
      <c r="C30" s="1321">
        <f>C27*D30</f>
        <v>0</v>
      </c>
      <c r="D30" s="1323">
        <v>0.2</v>
      </c>
      <c r="E30" s="1321" t="s">
        <v>1121</v>
      </c>
      <c r="F30" s="1321"/>
      <c r="G30" s="1321"/>
    </row>
    <row r="31" spans="1:9">
      <c r="A31" s="1320">
        <v>3</v>
      </c>
      <c r="B31" s="1321" t="s">
        <v>1122</v>
      </c>
      <c r="C31" s="1321">
        <f>C25*D31</f>
        <v>0</v>
      </c>
      <c r="D31" s="1323">
        <v>0.15</v>
      </c>
      <c r="E31" s="1321" t="s">
        <v>1123</v>
      </c>
      <c r="F31" s="1321"/>
      <c r="G31" s="1321"/>
    </row>
    <row r="32" spans="1:9">
      <c r="A32" s="1320">
        <v>4</v>
      </c>
      <c r="B32" s="1321" t="s">
        <v>1124</v>
      </c>
      <c r="C32" s="1321">
        <f>C27*D32</f>
        <v>0</v>
      </c>
      <c r="D32" s="1323">
        <v>0.05</v>
      </c>
      <c r="E32" s="3389"/>
      <c r="F32" s="3389"/>
      <c r="G32" s="3389"/>
    </row>
    <row r="33" spans="1:7" hidden="1">
      <c r="A33" s="3384" t="s">
        <v>1125</v>
      </c>
      <c r="B33" s="3385"/>
      <c r="C33" s="3385"/>
      <c r="D33" s="3386"/>
      <c r="E33" s="3387"/>
      <c r="F33" s="3387"/>
      <c r="G33" s="3387"/>
    </row>
    <row r="34" spans="1:7" hidden="1">
      <c r="A34" s="1324">
        <v>1</v>
      </c>
      <c r="B34" s="1321" t="s">
        <v>1126</v>
      </c>
      <c r="C34" s="1321"/>
      <c r="D34" s="1321"/>
      <c r="E34" s="3388"/>
      <c r="F34" s="3388"/>
      <c r="G34" s="3388"/>
    </row>
    <row r="35" spans="1:7" hidden="1">
      <c r="A35" s="1324">
        <v>2</v>
      </c>
      <c r="B35" s="1321" t="s">
        <v>1127</v>
      </c>
      <c r="C35" s="1321"/>
      <c r="D35" s="1321"/>
      <c r="E35" s="3388"/>
      <c r="F35" s="3388"/>
      <c r="G35" s="3388"/>
    </row>
    <row r="36" spans="1:7" hidden="1">
      <c r="A36" s="1324">
        <v>3</v>
      </c>
      <c r="B36" s="1321" t="s">
        <v>1128</v>
      </c>
      <c r="C36" s="1321"/>
      <c r="D36" s="1321"/>
      <c r="E36" s="3388"/>
      <c r="F36" s="3388"/>
      <c r="G36" s="3388"/>
    </row>
    <row r="37" spans="1:7" hidden="1">
      <c r="A37" s="1324">
        <v>4</v>
      </c>
      <c r="B37" s="1321" t="s">
        <v>1129</v>
      </c>
      <c r="C37" s="1321"/>
      <c r="D37" s="1321"/>
      <c r="E37" s="3388"/>
      <c r="F37" s="3388"/>
      <c r="G37" s="3388"/>
    </row>
    <row r="38" spans="1:7" hidden="1">
      <c r="A38" s="3384" t="s">
        <v>1130</v>
      </c>
      <c r="B38" s="3385"/>
      <c r="C38" s="3385"/>
      <c r="D38" s="3386"/>
      <c r="E38" s="3387"/>
      <c r="F38" s="3387"/>
      <c r="G38" s="338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0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2510</v>
      </c>
      <c r="B1" s="2566" t="s">
        <v>2511</v>
      </c>
      <c r="C1" s="1628" t="s">
        <v>2512</v>
      </c>
      <c r="D1" s="1615"/>
      <c r="E1" s="2567"/>
      <c r="F1" s="2568" t="s">
        <v>2513</v>
      </c>
      <c r="G1" s="1625" t="s">
        <v>2514</v>
      </c>
      <c r="H1" s="1624"/>
      <c r="I1" s="1624"/>
      <c r="J1" s="1624"/>
      <c r="K1" s="1626"/>
      <c r="L1" s="1627"/>
      <c r="M1" s="1628"/>
      <c r="N1" s="1628"/>
      <c r="O1" s="1628"/>
      <c r="P1" s="2569"/>
      <c r="Q1" s="1614"/>
      <c r="R1" s="1614"/>
      <c r="S1" s="1614"/>
      <c r="T1" s="1614"/>
      <c r="U1" s="1614"/>
      <c r="V1" s="1614"/>
      <c r="W1" s="1614"/>
      <c r="X1" s="1614"/>
      <c r="Y1" s="1614"/>
      <c r="Z1" s="1614"/>
      <c r="AA1" s="1614"/>
      <c r="AB1" s="1614"/>
      <c r="AC1" s="1622"/>
    </row>
    <row r="2" spans="1:29" s="391" customFormat="1" ht="28.5" customHeight="1" thickTop="1">
      <c r="A2" s="1611" t="s">
        <v>1388</v>
      </c>
      <c r="B2" s="1414" t="e">
        <f ca="1">IF(C2="——",ROUND(C49*D3/10000,0),ROUND(C49*D3/10000,0)-D2)</f>
        <v>#DIV/0!</v>
      </c>
      <c r="C2" s="2570"/>
      <c r="D2" s="1361" t="e">
        <f ca="1">SUMIF(INDIRECT("'"&amp;F2&amp;"'"&amp;"!A:A"),"承租人权益价值",INDIRECT("'"&amp;F2&amp;"'"&amp;"!c:c"))</f>
        <v>#REF!</v>
      </c>
      <c r="E2" s="2571" t="s">
        <v>2515</v>
      </c>
      <c r="F2" s="2572"/>
      <c r="G2" s="1120"/>
      <c r="H2" s="1120"/>
      <c r="I2" s="1120"/>
      <c r="J2" s="1120"/>
      <c r="K2" s="2573"/>
      <c r="L2" s="2574"/>
      <c r="M2" s="2575"/>
      <c r="N2" s="2575"/>
      <c r="O2" s="2575"/>
      <c r="P2" s="2576"/>
      <c r="Q2" s="2577"/>
      <c r="R2" s="2577"/>
      <c r="S2" s="2577"/>
      <c r="T2" s="2577"/>
      <c r="U2" s="2577"/>
      <c r="V2" s="2577"/>
      <c r="W2" s="2577"/>
      <c r="X2" s="2577"/>
      <c r="Y2" s="2577"/>
      <c r="Z2" s="2577"/>
      <c r="AA2" s="2577"/>
      <c r="AB2" s="2577"/>
      <c r="AC2" s="2578"/>
    </row>
    <row r="3" spans="1:29" s="391" customFormat="1" ht="28.5" customHeight="1" thickBot="1">
      <c r="A3" s="245" t="s">
        <v>1389</v>
      </c>
      <c r="B3" s="397" t="e">
        <f ca="1">IF(C2="——",C49,ROUND(B2*10000/D3,0))</f>
        <v>#DIV/0!</v>
      </c>
      <c r="C3" s="398" t="s">
        <v>2516</v>
      </c>
      <c r="D3" s="397">
        <f>IF(D1="",'数据-汇总表'!E3,SUMIF('数据-汇总表'!$C19:$C33,D1,'数据-汇总表'!$E19:$E33))</f>
        <v>149246.95000000001</v>
      </c>
      <c r="E3" s="1120"/>
      <c r="F3" s="2579"/>
      <c r="G3" s="1120"/>
      <c r="H3" s="1120"/>
      <c r="I3" s="1120"/>
      <c r="J3" s="1120"/>
      <c r="K3" s="2573"/>
      <c r="L3" s="2574"/>
      <c r="M3" s="2575"/>
      <c r="N3" s="2575"/>
      <c r="O3" s="2575"/>
      <c r="P3" s="2576"/>
      <c r="Q3" s="2577"/>
      <c r="R3" s="2577"/>
      <c r="S3" s="2577"/>
      <c r="T3" s="2577"/>
      <c r="U3" s="2577"/>
      <c r="V3" s="2577"/>
      <c r="W3" s="2577"/>
      <c r="X3" s="2577"/>
      <c r="Y3" s="2577"/>
      <c r="Z3" s="2577"/>
      <c r="AA3" s="2577"/>
      <c r="AB3" s="2577"/>
      <c r="AC3" s="1278"/>
    </row>
    <row r="4" spans="1:29" ht="15">
      <c r="A4" s="399" t="s">
        <v>2517</v>
      </c>
      <c r="B4" s="400"/>
      <c r="C4" s="3337" t="s">
        <v>2518</v>
      </c>
      <c r="D4" s="3350"/>
      <c r="E4" s="3351" t="s">
        <v>2519</v>
      </c>
      <c r="F4" s="3352"/>
      <c r="G4" s="3337" t="s">
        <v>2520</v>
      </c>
      <c r="H4" s="3350"/>
      <c r="I4" s="3337" t="s">
        <v>2521</v>
      </c>
      <c r="J4" s="3350"/>
      <c r="K4" s="2580" t="s">
        <v>2522</v>
      </c>
      <c r="L4" s="1126"/>
      <c r="M4" s="1127"/>
      <c r="N4" s="1127"/>
      <c r="O4" s="1127"/>
      <c r="P4" s="3353" t="s">
        <v>2523</v>
      </c>
      <c r="Q4" s="3354"/>
      <c r="R4" s="3359" t="s">
        <v>2519</v>
      </c>
      <c r="S4" s="3360"/>
      <c r="T4" s="3359" t="s">
        <v>2520</v>
      </c>
      <c r="U4" s="3360"/>
      <c r="V4" s="3346" t="s">
        <v>2521</v>
      </c>
      <c r="W4" s="3346"/>
      <c r="X4" s="1807"/>
      <c r="Y4" s="3359" t="s">
        <v>2523</v>
      </c>
      <c r="Z4" s="3360"/>
      <c r="AA4" s="3347" t="s">
        <v>2519</v>
      </c>
      <c r="AB4" s="3347" t="s">
        <v>2520</v>
      </c>
      <c r="AC4" s="3347" t="s">
        <v>2521</v>
      </c>
    </row>
    <row r="5" spans="1:29" ht="15">
      <c r="A5" s="402"/>
      <c r="B5" s="403"/>
      <c r="C5" s="3367" t="s">
        <v>2524</v>
      </c>
      <c r="D5" s="3368"/>
      <c r="E5" s="3374" t="s">
        <v>2525</v>
      </c>
      <c r="F5" s="3375"/>
      <c r="G5" s="3367" t="s">
        <v>2526</v>
      </c>
      <c r="H5" s="3368"/>
      <c r="I5" s="3367" t="s">
        <v>2527</v>
      </c>
      <c r="J5" s="3368"/>
      <c r="K5" s="2581"/>
      <c r="L5" s="1126"/>
      <c r="M5" s="1127"/>
      <c r="N5" s="1127"/>
      <c r="O5" s="1127"/>
      <c r="P5" s="3355"/>
      <c r="Q5" s="3356"/>
      <c r="R5" s="3361"/>
      <c r="S5" s="3362"/>
      <c r="T5" s="3361"/>
      <c r="U5" s="3362"/>
      <c r="V5" s="3346"/>
      <c r="W5" s="3346"/>
      <c r="X5" s="1807"/>
      <c r="Y5" s="3361"/>
      <c r="Z5" s="3362"/>
      <c r="AA5" s="3348"/>
      <c r="AB5" s="3348"/>
      <c r="AC5" s="3348"/>
    </row>
    <row r="6" spans="1:29" ht="15.75" thickBot="1">
      <c r="A6" s="404"/>
      <c r="B6" s="405"/>
      <c r="C6" s="3365" t="s">
        <v>2528</v>
      </c>
      <c r="D6" s="3366"/>
      <c r="E6" s="3372" t="s">
        <v>2528</v>
      </c>
      <c r="F6" s="3373"/>
      <c r="G6" s="3365" t="s">
        <v>2528</v>
      </c>
      <c r="H6" s="3366"/>
      <c r="I6" s="3365" t="s">
        <v>2528</v>
      </c>
      <c r="J6" s="3366"/>
      <c r="K6" s="2581" t="s">
        <v>2529</v>
      </c>
      <c r="L6" s="1126"/>
      <c r="M6" s="1127"/>
      <c r="N6" s="1127"/>
      <c r="O6" s="1127"/>
      <c r="P6" s="3357"/>
      <c r="Q6" s="3358"/>
      <c r="R6" s="3361"/>
      <c r="S6" s="3362"/>
      <c r="T6" s="3363"/>
      <c r="U6" s="3364"/>
      <c r="V6" s="3346"/>
      <c r="W6" s="3346"/>
      <c r="X6" s="1807"/>
      <c r="Y6" s="3363"/>
      <c r="Z6" s="3364"/>
      <c r="AA6" s="3349"/>
      <c r="AB6" s="3349"/>
      <c r="AC6" s="3349"/>
    </row>
    <row r="7" spans="1:29" s="115" customFormat="1" ht="15.75" thickBot="1">
      <c r="A7" s="406" t="s">
        <v>2530</v>
      </c>
      <c r="B7" s="407"/>
      <c r="C7" s="408">
        <f>'数据-取费表'!B2</f>
        <v>43878</v>
      </c>
      <c r="D7" s="409">
        <v>100</v>
      </c>
      <c r="E7" s="410"/>
      <c r="F7" s="411">
        <f>SUMIF(58:58,YEAR(E7)&amp;"-"&amp;MONTH(E7),59:59)</f>
        <v>0</v>
      </c>
      <c r="G7" s="410"/>
      <c r="H7" s="409">
        <f>SUMIF(58:58,YEAR(G7)&amp;"-"&amp;MONTH(G7),59:59)</f>
        <v>0</v>
      </c>
      <c r="I7" s="410"/>
      <c r="J7" s="409">
        <f>SUMIF(58:58,YEAR(I7)&amp;"-"&amp;MONTH(I7),59:59)</f>
        <v>0</v>
      </c>
      <c r="K7" s="2582"/>
      <c r="L7" s="1128"/>
      <c r="M7" s="1129"/>
      <c r="N7" s="1129"/>
      <c r="O7" s="1129"/>
      <c r="P7" s="3369" t="s">
        <v>2531</v>
      </c>
      <c r="Q7" s="3371"/>
      <c r="R7" s="768" t="s">
        <v>23</v>
      </c>
      <c r="S7" s="769">
        <f t="shared" ref="S7:S15" si="0">F7</f>
        <v>0</v>
      </c>
      <c r="T7" s="768" t="s">
        <v>23</v>
      </c>
      <c r="U7" s="769">
        <f t="shared" ref="U7:U15" si="1">H7</f>
        <v>0</v>
      </c>
      <c r="V7" s="768" t="s">
        <v>23</v>
      </c>
      <c r="W7" s="769">
        <f t="shared" ref="W7:W15" si="2">J7</f>
        <v>0</v>
      </c>
      <c r="X7" s="770"/>
      <c r="Y7" s="3369" t="s">
        <v>2531</v>
      </c>
      <c r="Z7" s="3370"/>
      <c r="AA7" s="771" t="e">
        <f>D7/F7</f>
        <v>#DIV/0!</v>
      </c>
      <c r="AB7" s="771" t="e">
        <f>D7/H7</f>
        <v>#DIV/0!</v>
      </c>
      <c r="AC7" s="771" t="e">
        <f>D7/J7</f>
        <v>#DIV/0!</v>
      </c>
    </row>
    <row r="8" spans="1:29" s="115" customFormat="1" ht="15.75" thickBot="1">
      <c r="A8" s="406" t="s">
        <v>2532</v>
      </c>
      <c r="B8" s="407"/>
      <c r="C8" s="412" t="s">
        <v>2533</v>
      </c>
      <c r="D8" s="409">
        <v>100</v>
      </c>
      <c r="E8" s="2583"/>
      <c r="F8" s="411">
        <f>SUMIF(61:61,E8,62:62)-SUMIF(61:61,C8,62:62)+100</f>
        <v>0</v>
      </c>
      <c r="G8" s="412"/>
      <c r="H8" s="409">
        <f>SUMIF(61:61,G8,62:62)-SUMIF(61:61,C8,62:62)+100</f>
        <v>0</v>
      </c>
      <c r="I8" s="2583"/>
      <c r="J8" s="409">
        <f>SUMIF(61:61,I8,62:62)-SUMIF(61:61,C8,62:62)+100</f>
        <v>0</v>
      </c>
      <c r="K8" s="2582"/>
      <c r="L8" s="1128"/>
      <c r="M8" s="1129"/>
      <c r="N8" s="1129"/>
      <c r="O8" s="1129"/>
      <c r="P8" s="3369" t="s">
        <v>2534</v>
      </c>
      <c r="Q8" s="3370"/>
      <c r="R8" s="768" t="s">
        <v>23</v>
      </c>
      <c r="S8" s="769">
        <f t="shared" si="0"/>
        <v>0</v>
      </c>
      <c r="T8" s="768" t="s">
        <v>23</v>
      </c>
      <c r="U8" s="769">
        <f t="shared" si="1"/>
        <v>0</v>
      </c>
      <c r="V8" s="768" t="s">
        <v>23</v>
      </c>
      <c r="W8" s="769">
        <f t="shared" si="2"/>
        <v>0</v>
      </c>
      <c r="X8" s="770"/>
      <c r="Y8" s="3369" t="s">
        <v>2534</v>
      </c>
      <c r="Z8" s="3370"/>
      <c r="AA8" s="771" t="e">
        <f t="shared" ref="AA8:AA19" si="3">D8/F8</f>
        <v>#DIV/0!</v>
      </c>
      <c r="AB8" s="771" t="e">
        <f t="shared" ref="AB8:AB19" si="4">D8/H8</f>
        <v>#DIV/0!</v>
      </c>
      <c r="AC8" s="771" t="e">
        <f t="shared" ref="AC8:AC19" si="5">D8/J8</f>
        <v>#DIV/0!</v>
      </c>
    </row>
    <row r="9" spans="1:29" s="115" customFormat="1">
      <c r="A9" s="413" t="s">
        <v>2535</v>
      </c>
      <c r="B9" s="70" t="s">
        <v>2536</v>
      </c>
      <c r="C9" s="414"/>
      <c r="D9" s="133">
        <v>100</v>
      </c>
      <c r="E9" s="415"/>
      <c r="F9" s="416">
        <f>SUMIF(63:63,E9,64:64)-SUMIF(63:63,C9,64:64)+100</f>
        <v>100</v>
      </c>
      <c r="G9" s="417"/>
      <c r="H9" s="133">
        <f>SUMIF(63:63,G9,64:64)-SUMIF(63:63,C9,64:64)+100</f>
        <v>100</v>
      </c>
      <c r="I9" s="417"/>
      <c r="J9" s="133">
        <f>SUMIF(63:63,I9,64:64)-SUMIF(63:63,C9,64:64)+100</f>
        <v>100</v>
      </c>
      <c r="K9" s="2582"/>
      <c r="L9" s="1128"/>
      <c r="M9" s="1129"/>
      <c r="N9" s="1129"/>
      <c r="O9" s="1129"/>
      <c r="P9" s="3339" t="s">
        <v>2537</v>
      </c>
      <c r="Q9" s="1789" t="str">
        <f t="shared" ref="Q9:Q15" si="6">B9</f>
        <v>用途</v>
      </c>
      <c r="R9" s="768" t="s">
        <v>17</v>
      </c>
      <c r="S9" s="769">
        <f t="shared" si="0"/>
        <v>100</v>
      </c>
      <c r="T9" s="768" t="s">
        <v>17</v>
      </c>
      <c r="U9" s="769">
        <f t="shared" si="1"/>
        <v>100</v>
      </c>
      <c r="V9" s="768" t="s">
        <v>17</v>
      </c>
      <c r="W9" s="769">
        <f t="shared" si="2"/>
        <v>100</v>
      </c>
      <c r="X9" s="770"/>
      <c r="Y9" s="3168" t="s">
        <v>2538</v>
      </c>
      <c r="Z9" s="55" t="str">
        <f t="shared" ref="Z9:Z15" si="7">Q9</f>
        <v>用途</v>
      </c>
      <c r="AA9" s="771">
        <f t="shared" si="3"/>
        <v>1</v>
      </c>
      <c r="AB9" s="771">
        <f t="shared" si="4"/>
        <v>1</v>
      </c>
      <c r="AC9" s="771">
        <f t="shared" si="5"/>
        <v>1</v>
      </c>
    </row>
    <row r="10" spans="1:29" s="425" customFormat="1" ht="27">
      <c r="A10" s="419"/>
      <c r="B10" s="420" t="s">
        <v>2539</v>
      </c>
      <c r="C10" s="421"/>
      <c r="D10" s="134">
        <v>100</v>
      </c>
      <c r="E10" s="422"/>
      <c r="F10" s="423">
        <f>SUMIF(65:65,E10,66:66)-SUMIF(65:65,C10,66:66)+100</f>
        <v>100</v>
      </c>
      <c r="G10" s="421"/>
      <c r="H10" s="134">
        <f>SUMIF(65:65,G10,66:66)-SUMIF(65:65,C10,66:66)+100</f>
        <v>100</v>
      </c>
      <c r="I10" s="421"/>
      <c r="J10" s="134">
        <f>SUMIF(65:65,I10,66:66)-SUMIF(65:65,C10,66:66)+100</f>
        <v>100</v>
      </c>
      <c r="K10" s="424"/>
      <c r="L10" s="1131"/>
      <c r="M10" s="1132"/>
      <c r="N10" s="1132"/>
      <c r="O10" s="1132"/>
      <c r="P10" s="3339"/>
      <c r="Q10" s="1789" t="str">
        <f t="shared" si="6"/>
        <v>土地使用年限（年）</v>
      </c>
      <c r="R10" s="768" t="s">
        <v>17</v>
      </c>
      <c r="S10" s="769">
        <f t="shared" si="0"/>
        <v>100</v>
      </c>
      <c r="T10" s="768" t="s">
        <v>17</v>
      </c>
      <c r="U10" s="769">
        <f t="shared" si="1"/>
        <v>100</v>
      </c>
      <c r="V10" s="768" t="s">
        <v>17</v>
      </c>
      <c r="W10" s="769">
        <f t="shared" si="2"/>
        <v>100</v>
      </c>
      <c r="X10" s="770"/>
      <c r="Y10" s="3168"/>
      <c r="Z10" s="55" t="str">
        <f t="shared" si="7"/>
        <v>土地使用年限（年）</v>
      </c>
      <c r="AA10" s="771">
        <f t="shared" si="3"/>
        <v>1</v>
      </c>
      <c r="AB10" s="771">
        <f t="shared" si="4"/>
        <v>1</v>
      </c>
      <c r="AC10" s="771">
        <f t="shared" si="5"/>
        <v>1</v>
      </c>
    </row>
    <row r="11" spans="1:29" ht="15">
      <c r="A11" s="426"/>
      <c r="B11" s="420" t="s">
        <v>2540</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4"/>
      <c r="M11" s="1127"/>
      <c r="N11" s="1127"/>
      <c r="O11" s="1127"/>
      <c r="P11" s="3339"/>
      <c r="Q11" s="1789" t="str">
        <f t="shared" si="6"/>
        <v>容积率</v>
      </c>
      <c r="R11" s="768" t="s">
        <v>21</v>
      </c>
      <c r="S11" s="769" t="e">
        <f t="shared" si="0"/>
        <v>#N/A</v>
      </c>
      <c r="T11" s="768" t="s">
        <v>21</v>
      </c>
      <c r="U11" s="769" t="e">
        <f t="shared" si="1"/>
        <v>#N/A</v>
      </c>
      <c r="V11" s="768" t="s">
        <v>21</v>
      </c>
      <c r="W11" s="769" t="e">
        <f t="shared" si="2"/>
        <v>#N/A</v>
      </c>
      <c r="X11" s="770"/>
      <c r="Y11" s="3168"/>
      <c r="Z11" s="55" t="str">
        <f t="shared" si="7"/>
        <v>容积率</v>
      </c>
      <c r="AA11" s="771" t="e">
        <f t="shared" si="3"/>
        <v>#N/A</v>
      </c>
      <c r="AB11" s="771" t="e">
        <f t="shared" si="4"/>
        <v>#N/A</v>
      </c>
      <c r="AC11" s="771" t="e">
        <f t="shared" si="5"/>
        <v>#N/A</v>
      </c>
    </row>
    <row r="12" spans="1:29" s="115" customFormat="1" ht="15">
      <c r="A12" s="429"/>
      <c r="B12" s="2584">
        <v>111</v>
      </c>
      <c r="C12" s="430"/>
      <c r="D12" s="431">
        <v>100</v>
      </c>
      <c r="E12" s="430"/>
      <c r="F12" s="423">
        <f>SUMIF(70:70,E12,71:71)-SUMIF(70:70,C12,71:71)+100</f>
        <v>100</v>
      </c>
      <c r="G12" s="430"/>
      <c r="H12" s="134">
        <f>SUMIF(70:70,G12,71:71)-SUMIF(70:70,C12,71:71)+100</f>
        <v>100</v>
      </c>
      <c r="I12" s="430"/>
      <c r="J12" s="134">
        <f>SUMIF(70:70,I12,71:71)-SUMIF(70:70,C12,71:71)+100</f>
        <v>100</v>
      </c>
      <c r="K12" s="2585"/>
      <c r="L12" s="1128"/>
      <c r="M12" s="1129"/>
      <c r="N12" s="1129"/>
      <c r="O12" s="1129"/>
      <c r="P12" s="3339"/>
      <c r="Q12" s="1789">
        <f t="shared" si="6"/>
        <v>111</v>
      </c>
      <c r="R12" s="768" t="s">
        <v>21</v>
      </c>
      <c r="S12" s="769">
        <f t="shared" si="0"/>
        <v>100</v>
      </c>
      <c r="T12" s="768" t="s">
        <v>21</v>
      </c>
      <c r="U12" s="769">
        <f t="shared" si="1"/>
        <v>100</v>
      </c>
      <c r="V12" s="768" t="s">
        <v>21</v>
      </c>
      <c r="W12" s="769">
        <f t="shared" si="2"/>
        <v>100</v>
      </c>
      <c r="X12" s="770"/>
      <c r="Y12" s="3168"/>
      <c r="Z12" s="55">
        <f t="shared" si="7"/>
        <v>111</v>
      </c>
      <c r="AA12" s="771">
        <f>D12/F12</f>
        <v>1</v>
      </c>
      <c r="AB12" s="771">
        <f>D12/H12</f>
        <v>1</v>
      </c>
      <c r="AC12" s="771">
        <f>D12/J12</f>
        <v>1</v>
      </c>
    </row>
    <row r="13" spans="1:29" ht="15">
      <c r="A13" s="426"/>
      <c r="B13" s="2584">
        <v>111</v>
      </c>
      <c r="C13" s="432"/>
      <c r="D13" s="433">
        <v>100</v>
      </c>
      <c r="E13" s="432"/>
      <c r="F13" s="423">
        <f>SUMIF(72:72,E13,73:73)-SUMIF(72:72,C13,73:73)+100</f>
        <v>100</v>
      </c>
      <c r="G13" s="432"/>
      <c r="H13" s="433">
        <f>SUMIF(72:72,G13,73:73)-SUMIF(72:72,C13,73:73)+100</f>
        <v>100</v>
      </c>
      <c r="I13" s="432"/>
      <c r="J13" s="433">
        <f>SUMIF(72:72,I13,73:73)-SUMIF(72:72,C13,73:73)+100</f>
        <v>100</v>
      </c>
      <c r="K13" s="2585"/>
      <c r="L13" s="1136"/>
      <c r="M13" s="1127"/>
      <c r="N13" s="1127"/>
      <c r="O13" s="1127"/>
      <c r="P13" s="3339"/>
      <c r="Q13" s="1789">
        <f t="shared" si="6"/>
        <v>111</v>
      </c>
      <c r="R13" s="768" t="s">
        <v>21</v>
      </c>
      <c r="S13" s="769">
        <f t="shared" si="0"/>
        <v>100</v>
      </c>
      <c r="T13" s="768" t="s">
        <v>21</v>
      </c>
      <c r="U13" s="769">
        <f t="shared" si="1"/>
        <v>100</v>
      </c>
      <c r="V13" s="768" t="s">
        <v>21</v>
      </c>
      <c r="W13" s="769">
        <f t="shared" si="2"/>
        <v>100</v>
      </c>
      <c r="X13" s="770"/>
      <c r="Y13" s="3168"/>
      <c r="Z13" s="55">
        <f t="shared" si="7"/>
        <v>111</v>
      </c>
      <c r="AA13" s="771">
        <f t="shared" si="3"/>
        <v>1</v>
      </c>
      <c r="AB13" s="771">
        <f t="shared" si="4"/>
        <v>1</v>
      </c>
      <c r="AC13" s="771">
        <f t="shared" si="5"/>
        <v>1</v>
      </c>
    </row>
    <row r="14" spans="1:29" ht="15.75" thickBot="1">
      <c r="A14" s="434"/>
      <c r="B14" s="2586">
        <v>111</v>
      </c>
      <c r="C14" s="435"/>
      <c r="D14" s="436">
        <v>100</v>
      </c>
      <c r="E14" s="435"/>
      <c r="F14" s="437">
        <f>SUMIF(74:74,E14,75:75)-SUMIF(74:74,C14,75:75)+100</f>
        <v>100</v>
      </c>
      <c r="G14" s="435"/>
      <c r="H14" s="436">
        <f>SUMIF(74:74,G14,75:75)-SUMIF(74:74,C14,75:75)+100</f>
        <v>100</v>
      </c>
      <c r="I14" s="435"/>
      <c r="J14" s="436">
        <f>SUMIF(74:74,I14,75:75)-SUMIF(74:74,C14,75:75)+100</f>
        <v>100</v>
      </c>
      <c r="K14" s="2585"/>
      <c r="L14" s="1136"/>
      <c r="M14" s="1127"/>
      <c r="N14" s="1127"/>
      <c r="O14" s="1127"/>
      <c r="P14" s="3339"/>
      <c r="Q14" s="1789">
        <f t="shared" si="6"/>
        <v>111</v>
      </c>
      <c r="R14" s="768" t="s">
        <v>21</v>
      </c>
      <c r="S14" s="769">
        <f t="shared" si="0"/>
        <v>100</v>
      </c>
      <c r="T14" s="768" t="s">
        <v>21</v>
      </c>
      <c r="U14" s="769">
        <f t="shared" si="1"/>
        <v>100</v>
      </c>
      <c r="V14" s="768" t="s">
        <v>21</v>
      </c>
      <c r="W14" s="769">
        <f t="shared" si="2"/>
        <v>100</v>
      </c>
      <c r="X14" s="770"/>
      <c r="Y14" s="3168"/>
      <c r="Z14" s="55">
        <f t="shared" si="7"/>
        <v>111</v>
      </c>
      <c r="AA14" s="771">
        <f t="shared" si="3"/>
        <v>1</v>
      </c>
      <c r="AB14" s="771">
        <f t="shared" si="4"/>
        <v>1</v>
      </c>
      <c r="AC14" s="771">
        <f t="shared" si="5"/>
        <v>1</v>
      </c>
    </row>
    <row r="15" spans="1:29" ht="15">
      <c r="A15" s="438" t="s">
        <v>2541</v>
      </c>
      <c r="B15" s="68" t="s">
        <v>2077</v>
      </c>
      <c r="C15" s="2587" t="str">
        <f>估价对象房地状况!C3</f>
        <v>一般</v>
      </c>
      <c r="D15" s="439">
        <v>100</v>
      </c>
      <c r="E15" s="442"/>
      <c r="F15" s="439">
        <f>SUMIF(76:76,E16,77:77)-SUMIF(76:76,C16,77:77)+100</f>
        <v>100</v>
      </c>
      <c r="G15" s="440"/>
      <c r="H15" s="439">
        <f>SUMIF(76:76,G16,77:77)-SUMIF(76:76,C16,77:77)+100</f>
        <v>100</v>
      </c>
      <c r="I15" s="440"/>
      <c r="J15" s="439">
        <f>SUMIF(76:76,I16,77:77)-SUMIF(76:76,C16,77:77)+100</f>
        <v>100</v>
      </c>
      <c r="K15" s="443"/>
      <c r="L15" s="1136"/>
      <c r="M15" s="1127"/>
      <c r="N15" s="1127"/>
      <c r="O15" s="1127"/>
      <c r="P15" s="3409" t="s">
        <v>2542</v>
      </c>
      <c r="Q15" s="1804" t="str">
        <f t="shared" si="6"/>
        <v>居住社区成熟度</v>
      </c>
      <c r="R15" s="772" t="s">
        <v>21</v>
      </c>
      <c r="S15" s="773">
        <f t="shared" si="0"/>
        <v>100</v>
      </c>
      <c r="T15" s="772" t="s">
        <v>21</v>
      </c>
      <c r="U15" s="773">
        <f t="shared" si="1"/>
        <v>100</v>
      </c>
      <c r="V15" s="772" t="s">
        <v>21</v>
      </c>
      <c r="W15" s="773">
        <f t="shared" si="2"/>
        <v>100</v>
      </c>
      <c r="X15" s="1807"/>
      <c r="Y15" s="3342" t="s">
        <v>2542</v>
      </c>
      <c r="Z15" s="1808" t="str">
        <f t="shared" si="7"/>
        <v>居住社区成熟度</v>
      </c>
      <c r="AA15" s="1805">
        <f t="shared" si="3"/>
        <v>1</v>
      </c>
      <c r="AB15" s="1805">
        <f t="shared" si="4"/>
        <v>1</v>
      </c>
      <c r="AC15" s="1805">
        <f t="shared" si="5"/>
        <v>1</v>
      </c>
    </row>
    <row r="16" spans="1:29" ht="15">
      <c r="A16" s="426"/>
      <c r="B16" s="444"/>
      <c r="C16" s="445"/>
      <c r="D16" s="446"/>
      <c r="E16" s="2588"/>
      <c r="F16" s="446"/>
      <c r="G16" s="2589"/>
      <c r="H16" s="448"/>
      <c r="I16" s="2589"/>
      <c r="J16" s="446"/>
      <c r="K16" s="2590"/>
      <c r="L16" s="1136"/>
      <c r="M16" s="1127"/>
      <c r="N16" s="1127"/>
      <c r="O16" s="1127"/>
      <c r="P16" s="3410"/>
      <c r="Q16" s="1804"/>
      <c r="R16" s="772"/>
      <c r="S16" s="773"/>
      <c r="T16" s="772"/>
      <c r="U16" s="773"/>
      <c r="V16" s="772"/>
      <c r="W16" s="773"/>
      <c r="X16" s="1807"/>
      <c r="Y16" s="3343"/>
      <c r="Z16" s="1808"/>
      <c r="AA16" s="1805">
        <v>1</v>
      </c>
      <c r="AB16" s="1805">
        <v>1</v>
      </c>
      <c r="AC16" s="1805">
        <v>1</v>
      </c>
    </row>
    <row r="17" spans="1:29" ht="15">
      <c r="A17" s="426"/>
      <c r="B17" s="449" t="s">
        <v>2083</v>
      </c>
      <c r="C17" s="2591" t="str">
        <f>估价对象房地状况!C6</f>
        <v>一般</v>
      </c>
      <c r="D17" s="448">
        <v>100</v>
      </c>
      <c r="E17" s="452"/>
      <c r="F17" s="448">
        <f>SUMIF(78:78,E18,79:79)-SUMIF(78:78,C18,79:79)+100</f>
        <v>100</v>
      </c>
      <c r="G17" s="450"/>
      <c r="H17" s="453">
        <f>SUMIF(78:78,G18,79:79)-SUMIF(78:78,C18,79:79)+100</f>
        <v>100</v>
      </c>
      <c r="I17" s="450"/>
      <c r="J17" s="453">
        <f>SUMIF(78:78,I18,79:79)-SUMIF(78:78,C18,79:79)+100</f>
        <v>100</v>
      </c>
      <c r="K17" s="443"/>
      <c r="L17" s="1136"/>
      <c r="M17" s="1127"/>
      <c r="N17" s="1127"/>
      <c r="O17" s="1127"/>
      <c r="P17" s="3410"/>
      <c r="Q17" s="1804" t="str">
        <f>B17</f>
        <v>交通便捷度</v>
      </c>
      <c r="R17" s="772" t="s">
        <v>21</v>
      </c>
      <c r="S17" s="773">
        <f>F17</f>
        <v>100</v>
      </c>
      <c r="T17" s="772" t="s">
        <v>21</v>
      </c>
      <c r="U17" s="773">
        <f>H17</f>
        <v>100</v>
      </c>
      <c r="V17" s="772" t="s">
        <v>21</v>
      </c>
      <c r="W17" s="773">
        <f>J17</f>
        <v>100</v>
      </c>
      <c r="X17" s="1807"/>
      <c r="Y17" s="3343"/>
      <c r="Z17" s="1808" t="str">
        <f>Q17</f>
        <v>交通便捷度</v>
      </c>
      <c r="AA17" s="1805">
        <f t="shared" si="3"/>
        <v>1</v>
      </c>
      <c r="AB17" s="1805">
        <f t="shared" si="4"/>
        <v>1</v>
      </c>
      <c r="AC17" s="1805">
        <f t="shared" si="5"/>
        <v>1</v>
      </c>
    </row>
    <row r="18" spans="1:29" ht="15">
      <c r="A18" s="426"/>
      <c r="B18" s="454"/>
      <c r="C18" s="2592"/>
      <c r="D18" s="448"/>
      <c r="E18" s="2593"/>
      <c r="F18" s="448"/>
      <c r="G18" s="2594"/>
      <c r="H18" s="446"/>
      <c r="I18" s="2594"/>
      <c r="J18" s="446"/>
      <c r="K18" s="2590"/>
      <c r="L18" s="1136"/>
      <c r="M18" s="1127"/>
      <c r="N18" s="1127"/>
      <c r="O18" s="1127"/>
      <c r="P18" s="3410"/>
      <c r="Q18" s="1804"/>
      <c r="R18" s="772"/>
      <c r="S18" s="773"/>
      <c r="T18" s="772"/>
      <c r="U18" s="773"/>
      <c r="V18" s="772"/>
      <c r="W18" s="773"/>
      <c r="X18" s="1807"/>
      <c r="Y18" s="3343"/>
      <c r="Z18" s="1808"/>
      <c r="AA18" s="1805">
        <v>1</v>
      </c>
      <c r="AB18" s="1805">
        <v>1</v>
      </c>
      <c r="AC18" s="1805">
        <v>1</v>
      </c>
    </row>
    <row r="19" spans="1:29" ht="15">
      <c r="A19" s="426"/>
      <c r="B19" s="449" t="s">
        <v>2082</v>
      </c>
      <c r="C19" s="2591" t="str">
        <f>估价对象房地状况!C7</f>
        <v>一般</v>
      </c>
      <c r="D19" s="453">
        <v>100</v>
      </c>
      <c r="E19" s="457"/>
      <c r="F19" s="453">
        <f>SUMIF(80:80,E20,81:81)-SUMIF(80:80,C20,81:81)+100</f>
        <v>100</v>
      </c>
      <c r="G19" s="455"/>
      <c r="H19" s="448">
        <f>SUMIF(80:80,G20,81:81)-SUMIF(80:80,C20,81:81)+100</f>
        <v>100</v>
      </c>
      <c r="I19" s="455"/>
      <c r="J19" s="448">
        <f>SUMIF(80:80,I20,81:81)-SUMIF(80:80,C20,81:81)+100</f>
        <v>100</v>
      </c>
      <c r="K19" s="443"/>
      <c r="L19" s="1136"/>
      <c r="M19" s="1127"/>
      <c r="N19" s="1127"/>
      <c r="O19" s="1127"/>
      <c r="P19" s="3410"/>
      <c r="Q19" s="1804" t="str">
        <f>B19</f>
        <v>公共配套设施</v>
      </c>
      <c r="R19" s="772" t="s">
        <v>21</v>
      </c>
      <c r="S19" s="773">
        <f>F19</f>
        <v>100</v>
      </c>
      <c r="T19" s="772" t="s">
        <v>21</v>
      </c>
      <c r="U19" s="773">
        <f>H19</f>
        <v>100</v>
      </c>
      <c r="V19" s="772" t="s">
        <v>21</v>
      </c>
      <c r="W19" s="773">
        <f>J19</f>
        <v>100</v>
      </c>
      <c r="X19" s="1807"/>
      <c r="Y19" s="3343"/>
      <c r="Z19" s="1808" t="str">
        <f>Q19</f>
        <v>公共配套设施</v>
      </c>
      <c r="AA19" s="1805">
        <f t="shared" si="3"/>
        <v>1</v>
      </c>
      <c r="AB19" s="1805">
        <f t="shared" si="4"/>
        <v>1</v>
      </c>
      <c r="AC19" s="1805">
        <f t="shared" si="5"/>
        <v>1</v>
      </c>
    </row>
    <row r="20" spans="1:29" ht="15">
      <c r="A20" s="426"/>
      <c r="B20" s="454"/>
      <c r="C20" s="445"/>
      <c r="D20" s="446"/>
      <c r="E20" s="2588"/>
      <c r="F20" s="446"/>
      <c r="G20" s="2589"/>
      <c r="H20" s="446"/>
      <c r="I20" s="2589"/>
      <c r="J20" s="446"/>
      <c r="K20" s="2590"/>
      <c r="L20" s="1136"/>
      <c r="M20" s="1127"/>
      <c r="N20" s="1127"/>
      <c r="O20" s="1127"/>
      <c r="P20" s="3410"/>
      <c r="Q20" s="1804"/>
      <c r="R20" s="772"/>
      <c r="S20" s="773"/>
      <c r="T20" s="772"/>
      <c r="U20" s="773"/>
      <c r="V20" s="772"/>
      <c r="W20" s="773"/>
      <c r="X20" s="1807"/>
      <c r="Y20" s="3343"/>
      <c r="Z20" s="1808"/>
      <c r="AA20" s="1805">
        <v>1</v>
      </c>
      <c r="AB20" s="1805">
        <v>1</v>
      </c>
      <c r="AC20" s="1805">
        <v>1</v>
      </c>
    </row>
    <row r="21" spans="1:29" ht="15">
      <c r="A21" s="426"/>
      <c r="B21" s="1380" t="s">
        <v>2084</v>
      </c>
      <c r="C21" s="2591" t="str">
        <f>估价对象房地状况!C8</f>
        <v>七通</v>
      </c>
      <c r="D21" s="448">
        <v>100</v>
      </c>
      <c r="E21" s="457"/>
      <c r="F21" s="453">
        <f>SUMIF(82:82,E22,83:83)-SUMIF(82:82,C22,83:83)+100</f>
        <v>100</v>
      </c>
      <c r="G21" s="455"/>
      <c r="H21" s="448">
        <f>SUMIF(82:82,G22,83:83)-SUMIF(82:82,C22,83:83)+100</f>
        <v>100</v>
      </c>
      <c r="I21" s="455"/>
      <c r="J21" s="448">
        <f>SUMIF(82:82,I22,83:83)-SUMIF(82:82,C22,83:83)+100</f>
        <v>100</v>
      </c>
      <c r="K21" s="443"/>
      <c r="L21" s="1136"/>
      <c r="M21" s="1127"/>
      <c r="N21" s="1127"/>
      <c r="O21" s="1127"/>
      <c r="P21" s="3410"/>
      <c r="Q21" s="1804" t="str">
        <f>B21</f>
        <v>基础设施水平</v>
      </c>
      <c r="R21" s="772" t="s">
        <v>17</v>
      </c>
      <c r="S21" s="773">
        <f>F21</f>
        <v>100</v>
      </c>
      <c r="T21" s="772" t="s">
        <v>17</v>
      </c>
      <c r="U21" s="773">
        <f>H21</f>
        <v>100</v>
      </c>
      <c r="V21" s="772" t="s">
        <v>17</v>
      </c>
      <c r="W21" s="773">
        <f>J21</f>
        <v>100</v>
      </c>
      <c r="X21" s="1807"/>
      <c r="Y21" s="3343"/>
      <c r="Z21" s="1808" t="str">
        <f>Q21</f>
        <v>基础设施水平</v>
      </c>
      <c r="AA21" s="1805">
        <f t="shared" ref="AA21" si="8">D21/F21</f>
        <v>1</v>
      </c>
      <c r="AB21" s="1805">
        <f t="shared" ref="AB21" si="9">D21/H21</f>
        <v>1</v>
      </c>
      <c r="AC21" s="1805">
        <f t="shared" ref="AC21" si="10">D21/J21</f>
        <v>1</v>
      </c>
    </row>
    <row r="22" spans="1:29" ht="15">
      <c r="A22" s="426"/>
      <c r="B22" s="1380"/>
      <c r="C22" s="2592"/>
      <c r="D22" s="446"/>
      <c r="E22" s="445"/>
      <c r="F22" s="446"/>
      <c r="G22" s="2595"/>
      <c r="H22" s="446"/>
      <c r="I22" s="445"/>
      <c r="J22" s="446"/>
      <c r="K22" s="2596"/>
      <c r="L22" s="1136"/>
      <c r="M22" s="1127"/>
      <c r="N22" s="1127"/>
      <c r="O22" s="1127"/>
      <c r="P22" s="3410"/>
      <c r="Q22" s="1804"/>
      <c r="R22" s="772"/>
      <c r="S22" s="773"/>
      <c r="T22" s="772"/>
      <c r="U22" s="773"/>
      <c r="V22" s="772"/>
      <c r="W22" s="773"/>
      <c r="X22" s="1807"/>
      <c r="Y22" s="3343"/>
      <c r="Z22" s="1808"/>
      <c r="AA22" s="1805">
        <v>1</v>
      </c>
      <c r="AB22" s="1805">
        <v>1</v>
      </c>
      <c r="AC22" s="1805">
        <v>1</v>
      </c>
    </row>
    <row r="23" spans="1:29" ht="15">
      <c r="A23" s="426"/>
      <c r="B23" s="449" t="s">
        <v>2086</v>
      </c>
      <c r="C23" s="2591" t="str">
        <f>估价对象房地状况!C9</f>
        <v>一般</v>
      </c>
      <c r="D23" s="448">
        <v>100</v>
      </c>
      <c r="E23" s="452"/>
      <c r="F23" s="448">
        <f>SUMIF(84:84,E24,85:85)-SUMIF(84:84,C24,85:85)+100</f>
        <v>100</v>
      </c>
      <c r="G23" s="450"/>
      <c r="H23" s="448">
        <f>SUMIF(84:84,G24,85:85)-SUMIF(84:84,C24,85:85)+100</f>
        <v>100</v>
      </c>
      <c r="I23" s="450"/>
      <c r="J23" s="448">
        <f>SUMIF(84:84,I24,85:85)-SUMIF(84:84,C24,85:85)+100</f>
        <v>100</v>
      </c>
      <c r="K23" s="443"/>
      <c r="L23" s="1136"/>
      <c r="M23" s="1127"/>
      <c r="N23" s="1127"/>
      <c r="O23" s="1127"/>
      <c r="P23" s="3410"/>
      <c r="Q23" s="1804" t="str">
        <f>B23</f>
        <v>自然及人文环境</v>
      </c>
      <c r="R23" s="772" t="s">
        <v>21</v>
      </c>
      <c r="S23" s="773">
        <f>F23</f>
        <v>100</v>
      </c>
      <c r="T23" s="772" t="s">
        <v>21</v>
      </c>
      <c r="U23" s="773">
        <f>H23</f>
        <v>100</v>
      </c>
      <c r="V23" s="772" t="s">
        <v>21</v>
      </c>
      <c r="W23" s="773">
        <f>J23</f>
        <v>100</v>
      </c>
      <c r="X23" s="1807"/>
      <c r="Y23" s="3343"/>
      <c r="Z23" s="1808" t="str">
        <f>Q23</f>
        <v>自然及人文环境</v>
      </c>
      <c r="AA23" s="1805">
        <f>D23/F23</f>
        <v>1</v>
      </c>
      <c r="AB23" s="1805">
        <f>D23/H23</f>
        <v>1</v>
      </c>
      <c r="AC23" s="1805">
        <f>D23/J23</f>
        <v>1</v>
      </c>
    </row>
    <row r="24" spans="1:29" ht="15">
      <c r="A24" s="426"/>
      <c r="B24" s="454"/>
      <c r="C24" s="445"/>
      <c r="D24" s="446"/>
      <c r="E24" s="2588"/>
      <c r="F24" s="446"/>
      <c r="G24" s="2589"/>
      <c r="H24" s="446"/>
      <c r="I24" s="2589"/>
      <c r="J24" s="446"/>
      <c r="K24" s="2590"/>
      <c r="L24" s="1136"/>
      <c r="M24" s="1127"/>
      <c r="N24" s="1127"/>
      <c r="O24" s="1127"/>
      <c r="P24" s="3410"/>
      <c r="Q24" s="1804"/>
      <c r="R24" s="772"/>
      <c r="S24" s="773"/>
      <c r="T24" s="772"/>
      <c r="U24" s="773"/>
      <c r="V24" s="772"/>
      <c r="W24" s="773"/>
      <c r="X24" s="1807"/>
      <c r="Y24" s="3343"/>
      <c r="Z24" s="1808"/>
      <c r="AA24" s="1805">
        <v>1</v>
      </c>
      <c r="AB24" s="1805">
        <v>1</v>
      </c>
      <c r="AC24" s="1805">
        <v>1</v>
      </c>
    </row>
    <row r="25" spans="1:29" ht="15">
      <c r="A25" s="426"/>
      <c r="B25" s="420" t="s">
        <v>2543</v>
      </c>
      <c r="C25" s="458"/>
      <c r="D25" s="433">
        <v>100</v>
      </c>
      <c r="E25" s="2597"/>
      <c r="F25" s="433">
        <f>SUMIF(86:86,E25,87:87)-SUMIF(86:86,C25,87:87)+100</f>
        <v>100</v>
      </c>
      <c r="G25" s="2598"/>
      <c r="H25" s="433">
        <f>SUMIF(86:86,G25,87:87)-SUMIF(86:86,C25,87:87)+100</f>
        <v>100</v>
      </c>
      <c r="I25" s="2598"/>
      <c r="J25" s="433">
        <f>SUMIF(86:86,I25,87:87)-SUMIF(86:86,C25,87:87)+100</f>
        <v>100</v>
      </c>
      <c r="K25" s="424"/>
      <c r="L25" s="1136"/>
      <c r="M25" s="1127"/>
      <c r="N25" s="1127"/>
      <c r="O25" s="1127"/>
      <c r="P25" s="3410"/>
      <c r="Q25" s="1804" t="str">
        <f t="shared" ref="Q25:Q46" si="11">B25</f>
        <v>楼层-1</v>
      </c>
      <c r="R25" s="772" t="s">
        <v>21</v>
      </c>
      <c r="S25" s="773">
        <f t="shared" ref="S25:S46" si="12">F25</f>
        <v>100</v>
      </c>
      <c r="T25" s="772" t="s">
        <v>21</v>
      </c>
      <c r="U25" s="773">
        <f t="shared" ref="U25:U46" si="13">H25</f>
        <v>100</v>
      </c>
      <c r="V25" s="772" t="s">
        <v>21</v>
      </c>
      <c r="W25" s="773">
        <f t="shared" ref="W25:W46" si="14">J25</f>
        <v>100</v>
      </c>
      <c r="X25" s="1807"/>
      <c r="Y25" s="3343"/>
      <c r="Z25" s="1808" t="str">
        <f>Q25</f>
        <v>楼层-1</v>
      </c>
      <c r="AA25" s="1805">
        <f t="shared" ref="AA25:AA46" si="15">D25/F25</f>
        <v>1</v>
      </c>
      <c r="AB25" s="1805">
        <f t="shared" ref="AB25:AB46" si="16">D25/H25</f>
        <v>1</v>
      </c>
      <c r="AC25" s="1805">
        <f t="shared" ref="AC25:AC46" si="17">D25/J25</f>
        <v>1</v>
      </c>
    </row>
    <row r="26" spans="1:29" ht="15">
      <c r="A26" s="426"/>
      <c r="B26" s="420" t="s">
        <v>2544</v>
      </c>
      <c r="C26" s="458"/>
      <c r="D26" s="433">
        <v>100</v>
      </c>
      <c r="E26" s="2597"/>
      <c r="F26" s="433">
        <f>SUMIF(88:88,E26,89:89)-SUMIF(88:88,C26,89:89)+100</f>
        <v>100</v>
      </c>
      <c r="G26" s="2598"/>
      <c r="H26" s="433">
        <f>SUMIF(88:88,G26,89:89)-SUMIF(88:88,C26,89:89)+100</f>
        <v>100</v>
      </c>
      <c r="I26" s="2598"/>
      <c r="J26" s="433">
        <f>SUMIF(88:88,I26,89:89)-SUMIF(88:88,C26,89:89)+100</f>
        <v>100</v>
      </c>
      <c r="K26" s="424"/>
      <c r="L26" s="1136"/>
      <c r="M26" s="1127"/>
      <c r="N26" s="1127"/>
      <c r="O26" s="1127"/>
      <c r="P26" s="3410"/>
      <c r="Q26" s="1804" t="str">
        <f t="shared" si="11"/>
        <v>朝向</v>
      </c>
      <c r="R26" s="772" t="s">
        <v>21</v>
      </c>
      <c r="S26" s="773">
        <f t="shared" si="12"/>
        <v>100</v>
      </c>
      <c r="T26" s="772" t="s">
        <v>21</v>
      </c>
      <c r="U26" s="773">
        <f t="shared" si="13"/>
        <v>100</v>
      </c>
      <c r="V26" s="772" t="s">
        <v>21</v>
      </c>
      <c r="W26" s="773">
        <f t="shared" si="14"/>
        <v>100</v>
      </c>
      <c r="X26" s="1807"/>
      <c r="Y26" s="3343"/>
      <c r="Z26" s="1808" t="str">
        <f>Q26</f>
        <v>朝向</v>
      </c>
      <c r="AA26" s="1805">
        <f t="shared" si="15"/>
        <v>1</v>
      </c>
      <c r="AB26" s="1805">
        <f t="shared" si="16"/>
        <v>1</v>
      </c>
      <c r="AC26" s="1805">
        <f t="shared" si="17"/>
        <v>1</v>
      </c>
    </row>
    <row r="27" spans="1:29" s="115" customFormat="1" ht="15">
      <c r="A27" s="429"/>
      <c r="B27" s="1382">
        <v>111</v>
      </c>
      <c r="C27" s="430"/>
      <c r="D27" s="460">
        <v>100</v>
      </c>
      <c r="E27" s="463"/>
      <c r="F27" s="460">
        <f>SUMIF(90:90,E27,91:91)-SUMIF(90:90,C27,91:91)+100</f>
        <v>100</v>
      </c>
      <c r="G27" s="461"/>
      <c r="H27" s="460">
        <f>SUMIF(90:90,G27,91:91)-SUMIF(90:90,C27,91:91)+100</f>
        <v>100</v>
      </c>
      <c r="I27" s="461"/>
      <c r="J27" s="460">
        <f>SUMIF(90:90,I27,91:91)-SUMIF(90:90,C27,91:91)+100</f>
        <v>100</v>
      </c>
      <c r="K27" s="2585"/>
      <c r="L27" s="1128"/>
      <c r="M27" s="1129"/>
      <c r="N27" s="1129"/>
      <c r="O27" s="1129"/>
      <c r="P27" s="3410"/>
      <c r="Q27" s="1789">
        <f t="shared" si="11"/>
        <v>111</v>
      </c>
      <c r="R27" s="768" t="s">
        <v>21</v>
      </c>
      <c r="S27" s="769">
        <f t="shared" si="12"/>
        <v>100</v>
      </c>
      <c r="T27" s="768" t="s">
        <v>21</v>
      </c>
      <c r="U27" s="769">
        <f t="shared" si="13"/>
        <v>100</v>
      </c>
      <c r="V27" s="768" t="s">
        <v>21</v>
      </c>
      <c r="W27" s="769">
        <f t="shared" si="14"/>
        <v>100</v>
      </c>
      <c r="X27" s="770"/>
      <c r="Y27" s="3343"/>
      <c r="Z27" s="55">
        <f>Q27</f>
        <v>111</v>
      </c>
      <c r="AA27" s="1805">
        <f t="shared" si="15"/>
        <v>1</v>
      </c>
      <c r="AB27" s="1805">
        <f t="shared" si="16"/>
        <v>1</v>
      </c>
      <c r="AC27" s="1805">
        <f t="shared" si="17"/>
        <v>1</v>
      </c>
    </row>
    <row r="28" spans="1:29" ht="15">
      <c r="A28" s="426"/>
      <c r="B28" s="1382">
        <v>111</v>
      </c>
      <c r="C28" s="432"/>
      <c r="D28" s="433">
        <v>100</v>
      </c>
      <c r="E28" s="432"/>
      <c r="F28" s="433">
        <f>SUMIF(92:92,E28,93:93)-SUMIF(92:92,C28,93:93)+100</f>
        <v>100</v>
      </c>
      <c r="G28" s="2599"/>
      <c r="H28" s="433">
        <f>SUMIF(92:92,G28,93:93)-SUMIF(92:92,C28,93:93)+100</f>
        <v>100</v>
      </c>
      <c r="I28" s="432"/>
      <c r="J28" s="433">
        <f>SUMIF(92:92,I28,93:93)-SUMIF(92:92,C28,93:93)+100</f>
        <v>100</v>
      </c>
      <c r="K28" s="2585"/>
      <c r="L28" s="1136"/>
      <c r="M28" s="1127"/>
      <c r="N28" s="1127"/>
      <c r="O28" s="1127"/>
      <c r="P28" s="3410"/>
      <c r="Q28" s="1804">
        <f t="shared" si="11"/>
        <v>111</v>
      </c>
      <c r="R28" s="772" t="s">
        <v>21</v>
      </c>
      <c r="S28" s="773">
        <f t="shared" si="12"/>
        <v>100</v>
      </c>
      <c r="T28" s="772" t="s">
        <v>21</v>
      </c>
      <c r="U28" s="773">
        <f t="shared" si="13"/>
        <v>100</v>
      </c>
      <c r="V28" s="772" t="s">
        <v>21</v>
      </c>
      <c r="W28" s="773">
        <f t="shared" si="14"/>
        <v>100</v>
      </c>
      <c r="X28" s="1807"/>
      <c r="Y28" s="3343"/>
      <c r="Z28" s="1808">
        <f t="shared" ref="Z28:Z46" si="18">Q28</f>
        <v>111</v>
      </c>
      <c r="AA28" s="1805">
        <f t="shared" si="15"/>
        <v>1</v>
      </c>
      <c r="AB28" s="1805">
        <f t="shared" si="16"/>
        <v>1</v>
      </c>
      <c r="AC28" s="1805">
        <f t="shared" si="17"/>
        <v>1</v>
      </c>
    </row>
    <row r="29" spans="1:29" ht="15">
      <c r="A29" s="426"/>
      <c r="B29" s="1382">
        <v>111</v>
      </c>
      <c r="C29" s="432"/>
      <c r="D29" s="433">
        <v>100</v>
      </c>
      <c r="E29" s="432"/>
      <c r="F29" s="433">
        <f>SUMIF(94:94,E29,95:95)-SUMIF(94:94,C29,95:95)+100</f>
        <v>100</v>
      </c>
      <c r="G29" s="2599"/>
      <c r="H29" s="433">
        <f>SUMIF(94:94,G29,95:95)-SUMIF(94:94,C29,95:95)+100</f>
        <v>100</v>
      </c>
      <c r="I29" s="432"/>
      <c r="J29" s="433">
        <f>SUMIF(94:94,I29,95:95)-SUMIF(94:94,C29,95:95)+100</f>
        <v>100</v>
      </c>
      <c r="K29" s="2585"/>
      <c r="L29" s="1136"/>
      <c r="M29" s="1127"/>
      <c r="N29" s="1127"/>
      <c r="O29" s="1127"/>
      <c r="P29" s="3410"/>
      <c r="Q29" s="1804">
        <f t="shared" si="11"/>
        <v>111</v>
      </c>
      <c r="R29" s="772" t="s">
        <v>21</v>
      </c>
      <c r="S29" s="773">
        <f t="shared" si="12"/>
        <v>100</v>
      </c>
      <c r="T29" s="772" t="s">
        <v>21</v>
      </c>
      <c r="U29" s="773">
        <f t="shared" si="13"/>
        <v>100</v>
      </c>
      <c r="V29" s="772" t="s">
        <v>21</v>
      </c>
      <c r="W29" s="773">
        <f t="shared" si="14"/>
        <v>100</v>
      </c>
      <c r="X29" s="1807"/>
      <c r="Y29" s="3343"/>
      <c r="Z29" s="1808">
        <f t="shared" si="18"/>
        <v>111</v>
      </c>
      <c r="AA29" s="1805">
        <f t="shared" si="15"/>
        <v>1</v>
      </c>
      <c r="AB29" s="1805">
        <f t="shared" si="16"/>
        <v>1</v>
      </c>
      <c r="AC29" s="1805">
        <f t="shared" si="17"/>
        <v>1</v>
      </c>
    </row>
    <row r="30" spans="1:29" ht="15">
      <c r="A30" s="426"/>
      <c r="B30" s="1382">
        <v>111</v>
      </c>
      <c r="C30" s="432"/>
      <c r="D30" s="433">
        <v>100</v>
      </c>
      <c r="E30" s="432"/>
      <c r="F30" s="433">
        <f>SUMIF(96:96,E30,97:97)-SUMIF(96:96,C30,97:97)+100</f>
        <v>100</v>
      </c>
      <c r="G30" s="2599"/>
      <c r="H30" s="433">
        <f>SUMIF(96:96,G30,97:97)-SUMIF(96:96,C30,97:97)+100</f>
        <v>100</v>
      </c>
      <c r="I30" s="432"/>
      <c r="J30" s="433">
        <f>SUMIF(96:96,I30,97:97)-SUMIF(96:96,C30,97:97)+100</f>
        <v>100</v>
      </c>
      <c r="K30" s="2585"/>
      <c r="L30" s="1136"/>
      <c r="M30" s="1127"/>
      <c r="N30" s="1127"/>
      <c r="O30" s="1127"/>
      <c r="P30" s="3410"/>
      <c r="Q30" s="1804">
        <f t="shared" si="11"/>
        <v>111</v>
      </c>
      <c r="R30" s="772" t="s">
        <v>21</v>
      </c>
      <c r="S30" s="773">
        <f t="shared" si="12"/>
        <v>100</v>
      </c>
      <c r="T30" s="772" t="s">
        <v>21</v>
      </c>
      <c r="U30" s="773">
        <f t="shared" si="13"/>
        <v>100</v>
      </c>
      <c r="V30" s="772" t="s">
        <v>21</v>
      </c>
      <c r="W30" s="773">
        <f t="shared" si="14"/>
        <v>100</v>
      </c>
      <c r="X30" s="1807"/>
      <c r="Y30" s="3343"/>
      <c r="Z30" s="1808">
        <f t="shared" si="18"/>
        <v>111</v>
      </c>
      <c r="AA30" s="1805">
        <f t="shared" si="15"/>
        <v>1</v>
      </c>
      <c r="AB30" s="1805">
        <f t="shared" si="16"/>
        <v>1</v>
      </c>
      <c r="AC30" s="1805">
        <f t="shared" si="17"/>
        <v>1</v>
      </c>
    </row>
    <row r="31" spans="1:29" ht="15.75" thickBot="1">
      <c r="A31" s="434"/>
      <c r="B31" s="1382">
        <v>111</v>
      </c>
      <c r="C31" s="435"/>
      <c r="D31" s="436">
        <v>100</v>
      </c>
      <c r="E31" s="435"/>
      <c r="F31" s="436">
        <f>SUMIF(98:98,E31,99:99)-SUMIF(98:98,C31,99:99)+100</f>
        <v>100</v>
      </c>
      <c r="G31" s="2600"/>
      <c r="H31" s="436">
        <f>SUMIF(98:98,G31,99:99)-SUMIF(98:98,C31,99:99)+100</f>
        <v>100</v>
      </c>
      <c r="I31" s="435"/>
      <c r="J31" s="436">
        <f>SUMIF(98:98,I31,99:99)-SUMIF(98:98,C31,99:99)+100</f>
        <v>100</v>
      </c>
      <c r="K31" s="2585"/>
      <c r="L31" s="1136"/>
      <c r="M31" s="1127"/>
      <c r="N31" s="1127"/>
      <c r="O31" s="1127"/>
      <c r="P31" s="3410"/>
      <c r="Q31" s="1804">
        <f t="shared" si="11"/>
        <v>111</v>
      </c>
      <c r="R31" s="772" t="s">
        <v>21</v>
      </c>
      <c r="S31" s="773">
        <f t="shared" si="12"/>
        <v>100</v>
      </c>
      <c r="T31" s="772" t="s">
        <v>21</v>
      </c>
      <c r="U31" s="773">
        <f t="shared" si="13"/>
        <v>100</v>
      </c>
      <c r="V31" s="772" t="s">
        <v>21</v>
      </c>
      <c r="W31" s="773">
        <f t="shared" si="14"/>
        <v>100</v>
      </c>
      <c r="X31" s="1807"/>
      <c r="Y31" s="3343"/>
      <c r="Z31" s="1808">
        <f t="shared" si="18"/>
        <v>111</v>
      </c>
      <c r="AA31" s="1805">
        <f t="shared" si="15"/>
        <v>1</v>
      </c>
      <c r="AB31" s="1805">
        <f t="shared" si="16"/>
        <v>1</v>
      </c>
      <c r="AC31" s="1805">
        <f t="shared" si="17"/>
        <v>1</v>
      </c>
    </row>
    <row r="32" spans="1:29" ht="15">
      <c r="A32" s="438" t="s">
        <v>2545</v>
      </c>
      <c r="B32" s="70" t="s">
        <v>2546</v>
      </c>
      <c r="C32" s="2601"/>
      <c r="D32" s="465">
        <v>100</v>
      </c>
      <c r="E32" s="2602"/>
      <c r="F32" s="459">
        <f>SUMIF(100:100,E32,101:101)-SUMIF(100:100,C32,101:101)+100</f>
        <v>100</v>
      </c>
      <c r="G32" s="2601"/>
      <c r="H32" s="465">
        <f>SUMIF(100:100,G32,101:101)-SUMIF(100:100,C32,101:101)+100</f>
        <v>100</v>
      </c>
      <c r="I32" s="2602"/>
      <c r="J32" s="433">
        <f>SUMIF(100:100,I32,101:101)-SUMIF(100:100,C32,101:101)+100</f>
        <v>100</v>
      </c>
      <c r="K32" s="424"/>
      <c r="L32" s="1136"/>
      <c r="M32" s="1127"/>
      <c r="N32" s="1127"/>
      <c r="O32" s="1127"/>
      <c r="P32" s="3405" t="s">
        <v>2547</v>
      </c>
      <c r="Q32" s="1804" t="str">
        <f t="shared" si="11"/>
        <v>建筑类型</v>
      </c>
      <c r="R32" s="772" t="s">
        <v>21</v>
      </c>
      <c r="S32" s="773">
        <f t="shared" si="12"/>
        <v>100</v>
      </c>
      <c r="T32" s="772" t="s">
        <v>21</v>
      </c>
      <c r="U32" s="773">
        <f t="shared" si="13"/>
        <v>100</v>
      </c>
      <c r="V32" s="772" t="s">
        <v>21</v>
      </c>
      <c r="W32" s="773">
        <f t="shared" si="14"/>
        <v>100</v>
      </c>
      <c r="X32" s="1807"/>
      <c r="Y32" s="3345" t="s">
        <v>2547</v>
      </c>
      <c r="Z32" s="1808" t="str">
        <f t="shared" si="18"/>
        <v>建筑类型</v>
      </c>
      <c r="AA32" s="1805">
        <f t="shared" si="15"/>
        <v>1</v>
      </c>
      <c r="AB32" s="1805">
        <f t="shared" si="16"/>
        <v>1</v>
      </c>
      <c r="AC32" s="1805">
        <f t="shared" si="17"/>
        <v>1</v>
      </c>
    </row>
    <row r="33" spans="1:29" s="469" customFormat="1" ht="15">
      <c r="A33" s="466"/>
      <c r="B33" s="420" t="s">
        <v>2548</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85"/>
      <c r="L33" s="1134"/>
      <c r="M33" s="1137"/>
      <c r="N33" s="1137"/>
      <c r="O33" s="1137"/>
      <c r="P33" s="3406"/>
      <c r="Q33" s="774" t="str">
        <f t="shared" si="11"/>
        <v>项目建筑规模</v>
      </c>
      <c r="R33" s="775" t="s">
        <v>21</v>
      </c>
      <c r="S33" s="776" t="e">
        <f t="shared" si="12"/>
        <v>#N/A</v>
      </c>
      <c r="T33" s="775" t="s">
        <v>21</v>
      </c>
      <c r="U33" s="776" t="e">
        <f t="shared" si="13"/>
        <v>#N/A</v>
      </c>
      <c r="V33" s="775" t="s">
        <v>21</v>
      </c>
      <c r="W33" s="776" t="e">
        <f t="shared" si="14"/>
        <v>#N/A</v>
      </c>
      <c r="X33" s="777"/>
      <c r="Y33" s="3345"/>
      <c r="Z33" s="778" t="str">
        <f t="shared" si="18"/>
        <v>项目建筑规模</v>
      </c>
      <c r="AA33" s="1805" t="e">
        <f t="shared" si="15"/>
        <v>#N/A</v>
      </c>
      <c r="AB33" s="1805" t="e">
        <f t="shared" si="16"/>
        <v>#N/A</v>
      </c>
      <c r="AC33" s="1805" t="e">
        <f t="shared" si="17"/>
        <v>#N/A</v>
      </c>
    </row>
    <row r="34" spans="1:29" ht="15">
      <c r="A34" s="470"/>
      <c r="B34" s="420" t="s">
        <v>2549</v>
      </c>
      <c r="C34" s="2603"/>
      <c r="D34" s="433">
        <v>100</v>
      </c>
      <c r="E34" s="2604"/>
      <c r="F34" s="459">
        <f>SUMIF(105:105,E34,106:106)-SUMIF(105:105,C34,106:106)+100</f>
        <v>100</v>
      </c>
      <c r="G34" s="2603"/>
      <c r="H34" s="433">
        <f>SUMIF(105:105,G34,106:106)-SUMIF(105:105,C34,106:106)+100</f>
        <v>100</v>
      </c>
      <c r="I34" s="2604"/>
      <c r="J34" s="433">
        <f>SUMIF(105:105,I34,106:106)-SUMIF(105:105,C34,106:106)+100</f>
        <v>100</v>
      </c>
      <c r="K34" s="424"/>
      <c r="L34" s="1136"/>
      <c r="M34" s="1127"/>
      <c r="N34" s="1127"/>
      <c r="O34" s="1127"/>
      <c r="P34" s="3406"/>
      <c r="Q34" s="1804" t="str">
        <f t="shared" si="11"/>
        <v>建筑结构</v>
      </c>
      <c r="R34" s="772" t="s">
        <v>21</v>
      </c>
      <c r="S34" s="773">
        <f t="shared" si="12"/>
        <v>100</v>
      </c>
      <c r="T34" s="772" t="s">
        <v>21</v>
      </c>
      <c r="U34" s="773">
        <f t="shared" si="13"/>
        <v>100</v>
      </c>
      <c r="V34" s="772" t="s">
        <v>21</v>
      </c>
      <c r="W34" s="773">
        <f t="shared" si="14"/>
        <v>100</v>
      </c>
      <c r="X34" s="1807"/>
      <c r="Y34" s="3345"/>
      <c r="Z34" s="1808" t="str">
        <f t="shared" si="18"/>
        <v>建筑结构</v>
      </c>
      <c r="AA34" s="1805">
        <f t="shared" si="15"/>
        <v>1</v>
      </c>
      <c r="AB34" s="1805">
        <f t="shared" si="16"/>
        <v>1</v>
      </c>
      <c r="AC34" s="1805">
        <f t="shared" si="17"/>
        <v>1</v>
      </c>
    </row>
    <row r="35" spans="1:29" ht="15">
      <c r="A35" s="470"/>
      <c r="B35" s="420" t="s">
        <v>2550</v>
      </c>
      <c r="C35" s="2597"/>
      <c r="D35" s="433">
        <v>100</v>
      </c>
      <c r="E35" s="2598"/>
      <c r="F35" s="459">
        <f>SUMIF(107:107,E35,108:108)-SUMIF(107:107,C35,108:108)+100</f>
        <v>100</v>
      </c>
      <c r="G35" s="2597"/>
      <c r="H35" s="433">
        <f>SUMIF(107:107,G35,108:108)-SUMIF(107:107,C35,108:108)+100</f>
        <v>100</v>
      </c>
      <c r="I35" s="2598"/>
      <c r="J35" s="433">
        <f>SUMIF(107:107,I35,108:108)-SUMIF(107:107,C35,108:108)+100</f>
        <v>100</v>
      </c>
      <c r="K35" s="424"/>
      <c r="L35" s="1136"/>
      <c r="M35" s="1127"/>
      <c r="N35" s="1127"/>
      <c r="O35" s="1127"/>
      <c r="P35" s="3406"/>
      <c r="Q35" s="1804" t="str">
        <f t="shared" si="11"/>
        <v>建筑品质</v>
      </c>
      <c r="R35" s="772" t="s">
        <v>21</v>
      </c>
      <c r="S35" s="773">
        <f t="shared" si="12"/>
        <v>100</v>
      </c>
      <c r="T35" s="772" t="s">
        <v>21</v>
      </c>
      <c r="U35" s="773">
        <f t="shared" si="13"/>
        <v>100</v>
      </c>
      <c r="V35" s="772" t="s">
        <v>21</v>
      </c>
      <c r="W35" s="773">
        <f t="shared" si="14"/>
        <v>100</v>
      </c>
      <c r="X35" s="1807"/>
      <c r="Y35" s="3345"/>
      <c r="Z35" s="1808" t="str">
        <f t="shared" si="18"/>
        <v>建筑品质</v>
      </c>
      <c r="AA35" s="1805">
        <f t="shared" si="15"/>
        <v>1</v>
      </c>
      <c r="AB35" s="1805">
        <f t="shared" si="16"/>
        <v>1</v>
      </c>
      <c r="AC35" s="1805">
        <f t="shared" si="17"/>
        <v>1</v>
      </c>
    </row>
    <row r="36" spans="1:29" ht="15">
      <c r="A36" s="470"/>
      <c r="B36" s="420" t="s">
        <v>2551</v>
      </c>
      <c r="C36" s="2597"/>
      <c r="D36" s="433">
        <v>100</v>
      </c>
      <c r="E36" s="2598"/>
      <c r="F36" s="459">
        <f>SUMIF(109:109,E36,110:110)-SUMIF(109:109,C36,110:110)+100</f>
        <v>100</v>
      </c>
      <c r="G36" s="2597"/>
      <c r="H36" s="433">
        <f>SUMIF(109:109,G36,110:110)-SUMIF(109:109,C36,110:110)+100</f>
        <v>100</v>
      </c>
      <c r="I36" s="2598"/>
      <c r="J36" s="433">
        <f>SUMIF(109:109,I36,110:110)-SUMIF(109:109,C36,110:110)+100</f>
        <v>100</v>
      </c>
      <c r="K36" s="424"/>
      <c r="L36" s="1136"/>
      <c r="M36" s="1127"/>
      <c r="N36" s="1127"/>
      <c r="O36" s="1127"/>
      <c r="P36" s="3406"/>
      <c r="Q36" s="1804" t="str">
        <f t="shared" si="11"/>
        <v>公共部分装修</v>
      </c>
      <c r="R36" s="772" t="s">
        <v>21</v>
      </c>
      <c r="S36" s="773">
        <f t="shared" si="12"/>
        <v>100</v>
      </c>
      <c r="T36" s="772" t="s">
        <v>21</v>
      </c>
      <c r="U36" s="773">
        <f t="shared" si="13"/>
        <v>100</v>
      </c>
      <c r="V36" s="772" t="s">
        <v>21</v>
      </c>
      <c r="W36" s="773">
        <f t="shared" si="14"/>
        <v>100</v>
      </c>
      <c r="X36" s="1807"/>
      <c r="Y36" s="3345"/>
      <c r="Z36" s="1808" t="str">
        <f t="shared" si="18"/>
        <v>公共部分装修</v>
      </c>
      <c r="AA36" s="1805">
        <f t="shared" si="15"/>
        <v>1</v>
      </c>
      <c r="AB36" s="1805">
        <f t="shared" si="16"/>
        <v>1</v>
      </c>
      <c r="AC36" s="1805">
        <f t="shared" si="17"/>
        <v>1</v>
      </c>
    </row>
    <row r="37" spans="1:29" s="115" customFormat="1" ht="15">
      <c r="A37" s="471"/>
      <c r="B37" s="420" t="s">
        <v>2552</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8"/>
      <c r="M37" s="1129"/>
      <c r="N37" s="1129"/>
      <c r="O37" s="1129"/>
      <c r="P37" s="3406"/>
      <c r="Q37" s="1789" t="str">
        <f t="shared" si="11"/>
        <v>成新度</v>
      </c>
      <c r="R37" s="768" t="s">
        <v>21</v>
      </c>
      <c r="S37" s="769" t="e">
        <f t="shared" si="12"/>
        <v>#N/A</v>
      </c>
      <c r="T37" s="768" t="s">
        <v>21</v>
      </c>
      <c r="U37" s="769" t="e">
        <f t="shared" si="13"/>
        <v>#N/A</v>
      </c>
      <c r="V37" s="768" t="s">
        <v>21</v>
      </c>
      <c r="W37" s="769" t="e">
        <f t="shared" si="14"/>
        <v>#N/A</v>
      </c>
      <c r="X37" s="770"/>
      <c r="Y37" s="3345"/>
      <c r="Z37" s="55" t="str">
        <f t="shared" si="18"/>
        <v>成新度</v>
      </c>
      <c r="AA37" s="771" t="e">
        <f t="shared" si="15"/>
        <v>#N/A</v>
      </c>
      <c r="AB37" s="771" t="e">
        <f t="shared" si="16"/>
        <v>#N/A</v>
      </c>
      <c r="AC37" s="771" t="e">
        <f t="shared" si="17"/>
        <v>#N/A</v>
      </c>
    </row>
    <row r="38" spans="1:29" ht="15">
      <c r="A38" s="470"/>
      <c r="B38" s="420" t="s">
        <v>2553</v>
      </c>
      <c r="C38" s="2597"/>
      <c r="D38" s="433">
        <v>100</v>
      </c>
      <c r="E38" s="2598"/>
      <c r="F38" s="459">
        <f>SUMIF(114:114,E38,115:115)-SUMIF(114:114,C38,115:115)+100</f>
        <v>100</v>
      </c>
      <c r="G38" s="2597"/>
      <c r="H38" s="433">
        <f>SUMIF(114:114,G38,115:115)-SUMIF(114:114,C38,115:115)+100</f>
        <v>100</v>
      </c>
      <c r="I38" s="2598"/>
      <c r="J38" s="433">
        <f>SUMIF(114:114,I38,115:115)-SUMIF(114:114,C38,115:115)+100</f>
        <v>100</v>
      </c>
      <c r="K38" s="424"/>
      <c r="L38" s="1136"/>
      <c r="M38" s="1127"/>
      <c r="N38" s="1127"/>
      <c r="O38" s="1127"/>
      <c r="P38" s="3406" t="s">
        <v>2547</v>
      </c>
      <c r="Q38" s="1804" t="str">
        <f t="shared" si="11"/>
        <v>物业管理</v>
      </c>
      <c r="R38" s="772" t="s">
        <v>21</v>
      </c>
      <c r="S38" s="773">
        <f t="shared" si="12"/>
        <v>100</v>
      </c>
      <c r="T38" s="772" t="s">
        <v>21</v>
      </c>
      <c r="U38" s="773">
        <f t="shared" si="13"/>
        <v>100</v>
      </c>
      <c r="V38" s="772" t="s">
        <v>21</v>
      </c>
      <c r="W38" s="773">
        <f t="shared" si="14"/>
        <v>100</v>
      </c>
      <c r="X38" s="1807"/>
      <c r="Y38" s="3345" t="s">
        <v>2547</v>
      </c>
      <c r="Z38" s="1808" t="str">
        <f t="shared" si="18"/>
        <v>物业管理</v>
      </c>
      <c r="AA38" s="1805">
        <f t="shared" si="15"/>
        <v>1</v>
      </c>
      <c r="AB38" s="1805">
        <f t="shared" si="16"/>
        <v>1</v>
      </c>
      <c r="AC38" s="1805">
        <f t="shared" si="17"/>
        <v>1</v>
      </c>
    </row>
    <row r="39" spans="1:29" ht="15">
      <c r="A39" s="470"/>
      <c r="B39" s="420" t="s">
        <v>2554</v>
      </c>
      <c r="C39" s="2597"/>
      <c r="D39" s="433">
        <v>100</v>
      </c>
      <c r="E39" s="2598"/>
      <c r="F39" s="459">
        <f>SUMIF(116:116,E39,117:117)-SUMIF(116:116,C39,117:117)+100</f>
        <v>100</v>
      </c>
      <c r="G39" s="2597"/>
      <c r="H39" s="433">
        <f>SUMIF(116:116,G39,117:117)-SUMIF(116:116,C39,117:117)+100</f>
        <v>100</v>
      </c>
      <c r="I39" s="2598"/>
      <c r="J39" s="433">
        <f>SUMIF(116:116,I39,117:117)-SUMIF(116:116,C39,117:117)+100</f>
        <v>100</v>
      </c>
      <c r="K39" s="424"/>
      <c r="L39" s="1136"/>
      <c r="M39" s="1127"/>
      <c r="N39" s="1127"/>
      <c r="O39" s="1127"/>
      <c r="P39" s="3406"/>
      <c r="Q39" s="1804" t="str">
        <f t="shared" si="11"/>
        <v>市政基础设施</v>
      </c>
      <c r="R39" s="772" t="s">
        <v>21</v>
      </c>
      <c r="S39" s="773">
        <f t="shared" si="12"/>
        <v>100</v>
      </c>
      <c r="T39" s="772" t="s">
        <v>21</v>
      </c>
      <c r="U39" s="773">
        <f t="shared" si="13"/>
        <v>100</v>
      </c>
      <c r="V39" s="772" t="s">
        <v>21</v>
      </c>
      <c r="W39" s="773">
        <f t="shared" si="14"/>
        <v>100</v>
      </c>
      <c r="X39" s="1807"/>
      <c r="Y39" s="3345"/>
      <c r="Z39" s="1808" t="str">
        <f t="shared" si="18"/>
        <v>市政基础设施</v>
      </c>
      <c r="AA39" s="1805">
        <f t="shared" si="15"/>
        <v>1</v>
      </c>
      <c r="AB39" s="1805">
        <f t="shared" si="16"/>
        <v>1</v>
      </c>
      <c r="AC39" s="1805">
        <f t="shared" si="17"/>
        <v>1</v>
      </c>
    </row>
    <row r="40" spans="1:29" ht="15">
      <c r="A40" s="470"/>
      <c r="B40" s="420" t="s">
        <v>2555</v>
      </c>
      <c r="C40" s="2597"/>
      <c r="D40" s="433">
        <v>100</v>
      </c>
      <c r="E40" s="2598"/>
      <c r="F40" s="459">
        <f>SUMIF(118:118,E40,119:119)-SUMIF(118:118,C40,119:119)+100</f>
        <v>100</v>
      </c>
      <c r="G40" s="2597"/>
      <c r="H40" s="433">
        <f>SUMIF(118:118,G40,119:119)-SUMIF(118:118,C40,119:119)+100</f>
        <v>100</v>
      </c>
      <c r="I40" s="2598"/>
      <c r="J40" s="433">
        <f>SUMIF(118:118,I40,119:119)-SUMIF(118:118,C40,119:119)+100</f>
        <v>100</v>
      </c>
      <c r="K40" s="424"/>
      <c r="L40" s="1136"/>
      <c r="M40" s="1127"/>
      <c r="N40" s="1127"/>
      <c r="O40" s="1127"/>
      <c r="P40" s="3406"/>
      <c r="Q40" s="1804" t="str">
        <f t="shared" si="11"/>
        <v>房型</v>
      </c>
      <c r="R40" s="772" t="s">
        <v>21</v>
      </c>
      <c r="S40" s="773">
        <f t="shared" si="12"/>
        <v>100</v>
      </c>
      <c r="T40" s="772" t="s">
        <v>21</v>
      </c>
      <c r="U40" s="773">
        <f t="shared" si="13"/>
        <v>100</v>
      </c>
      <c r="V40" s="772" t="s">
        <v>21</v>
      </c>
      <c r="W40" s="773">
        <f t="shared" si="14"/>
        <v>100</v>
      </c>
      <c r="X40" s="1807"/>
      <c r="Y40" s="3345"/>
      <c r="Z40" s="1808" t="str">
        <f t="shared" si="18"/>
        <v>房型</v>
      </c>
      <c r="AA40" s="1805">
        <f t="shared" si="15"/>
        <v>1</v>
      </c>
      <c r="AB40" s="1805">
        <f t="shared" si="16"/>
        <v>1</v>
      </c>
      <c r="AC40" s="1805">
        <f t="shared" si="17"/>
        <v>1</v>
      </c>
    </row>
    <row r="41" spans="1:29" s="469" customFormat="1" ht="28.5">
      <c r="A41" s="466"/>
      <c r="B41" s="420" t="s">
        <v>2556</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85"/>
      <c r="L41" s="1134"/>
      <c r="M41" s="1137"/>
      <c r="N41" s="1137"/>
      <c r="O41" s="1137"/>
      <c r="P41" s="3406"/>
      <c r="Q41" s="774" t="str">
        <f t="shared" si="11"/>
        <v>单套/主力户型建筑面积</v>
      </c>
      <c r="R41" s="775" t="s">
        <v>21</v>
      </c>
      <c r="S41" s="776">
        <f t="shared" si="12"/>
        <v>100</v>
      </c>
      <c r="T41" s="775" t="s">
        <v>21</v>
      </c>
      <c r="U41" s="776">
        <f t="shared" si="13"/>
        <v>100</v>
      </c>
      <c r="V41" s="775" t="s">
        <v>21</v>
      </c>
      <c r="W41" s="776">
        <f t="shared" si="14"/>
        <v>100</v>
      </c>
      <c r="X41" s="777"/>
      <c r="Y41" s="3345"/>
      <c r="Z41" s="778" t="str">
        <f t="shared" si="18"/>
        <v>单套/主力户型建筑面积</v>
      </c>
      <c r="AA41" s="1805">
        <f t="shared" si="15"/>
        <v>1</v>
      </c>
      <c r="AB41" s="1805">
        <f t="shared" si="16"/>
        <v>1</v>
      </c>
      <c r="AC41" s="1805">
        <f t="shared" si="17"/>
        <v>1</v>
      </c>
    </row>
    <row r="42" spans="1:29" ht="15">
      <c r="A42" s="470"/>
      <c r="B42" s="420" t="s">
        <v>2557</v>
      </c>
      <c r="C42" s="2597"/>
      <c r="D42" s="433">
        <v>100</v>
      </c>
      <c r="E42" s="2598"/>
      <c r="F42" s="459">
        <f>SUMIF(122:122,E42,123:123)-SUMIF(122:122,C42,123:123)+100</f>
        <v>100</v>
      </c>
      <c r="G42" s="2597"/>
      <c r="H42" s="433">
        <f>SUMIF(122:122,G42,123:123)-SUMIF(122:122,C42,123:123)+100</f>
        <v>100</v>
      </c>
      <c r="I42" s="2598"/>
      <c r="J42" s="433">
        <f>SUMIF(122:122,I42,123:123)-SUMIF(122:122,C42,123:123)+100</f>
        <v>100</v>
      </c>
      <c r="K42" s="424"/>
      <c r="L42" s="1136"/>
      <c r="M42" s="1127"/>
      <c r="N42" s="1127"/>
      <c r="O42" s="1127"/>
      <c r="P42" s="3406"/>
      <c r="Q42" s="1804" t="str">
        <f t="shared" si="11"/>
        <v>内部装修</v>
      </c>
      <c r="R42" s="772" t="s">
        <v>21</v>
      </c>
      <c r="S42" s="773">
        <f t="shared" si="12"/>
        <v>100</v>
      </c>
      <c r="T42" s="772" t="s">
        <v>21</v>
      </c>
      <c r="U42" s="773">
        <f t="shared" si="13"/>
        <v>100</v>
      </c>
      <c r="V42" s="772" t="s">
        <v>21</v>
      </c>
      <c r="W42" s="773">
        <f t="shared" si="14"/>
        <v>100</v>
      </c>
      <c r="X42" s="1807"/>
      <c r="Y42" s="3345"/>
      <c r="Z42" s="1808" t="str">
        <f t="shared" si="18"/>
        <v>内部装修</v>
      </c>
      <c r="AA42" s="1805">
        <f t="shared" si="15"/>
        <v>1</v>
      </c>
      <c r="AB42" s="1805">
        <f t="shared" si="16"/>
        <v>1</v>
      </c>
      <c r="AC42" s="1805">
        <f t="shared" si="17"/>
        <v>1</v>
      </c>
    </row>
    <row r="43" spans="1:29" ht="15">
      <c r="A43" s="470"/>
      <c r="B43" s="420" t="s">
        <v>2558</v>
      </c>
      <c r="C43" s="2597"/>
      <c r="D43" s="433">
        <v>100</v>
      </c>
      <c r="E43" s="2598"/>
      <c r="F43" s="459">
        <f>SUMIF(124:124,E43,125:125)-SUMIF(124:124,C43,125:125)+100</f>
        <v>100</v>
      </c>
      <c r="G43" s="2597"/>
      <c r="H43" s="433">
        <f>SUMIF(124:124,G43,125:125)-SUMIF(124:124,C43,125:125)+100</f>
        <v>100</v>
      </c>
      <c r="I43" s="2598"/>
      <c r="J43" s="433">
        <f>SUMIF(124:124,I43,125:125)-SUMIF(124:124,C43,125:125)+100</f>
        <v>100</v>
      </c>
      <c r="K43" s="424"/>
      <c r="L43" s="1136"/>
      <c r="M43" s="1127"/>
      <c r="N43" s="1127"/>
      <c r="O43" s="1127"/>
      <c r="P43" s="3406"/>
      <c r="Q43" s="1804" t="str">
        <f t="shared" si="11"/>
        <v>内部装修维护情况</v>
      </c>
      <c r="R43" s="772" t="s">
        <v>21</v>
      </c>
      <c r="S43" s="773">
        <f t="shared" si="12"/>
        <v>100</v>
      </c>
      <c r="T43" s="772" t="s">
        <v>21</v>
      </c>
      <c r="U43" s="773">
        <f t="shared" si="13"/>
        <v>100</v>
      </c>
      <c r="V43" s="772" t="s">
        <v>21</v>
      </c>
      <c r="W43" s="773">
        <f t="shared" si="14"/>
        <v>100</v>
      </c>
      <c r="X43" s="1807"/>
      <c r="Y43" s="3345"/>
      <c r="Z43" s="1808" t="str">
        <f t="shared" si="18"/>
        <v>内部装修维护情况</v>
      </c>
      <c r="AA43" s="1805">
        <f t="shared" si="15"/>
        <v>1</v>
      </c>
      <c r="AB43" s="1805">
        <f t="shared" si="16"/>
        <v>1</v>
      </c>
      <c r="AC43" s="1805">
        <f t="shared" si="17"/>
        <v>1</v>
      </c>
    </row>
    <row r="44" spans="1:29" s="115" customFormat="1" ht="15">
      <c r="A44" s="471"/>
      <c r="B44" s="1382">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85"/>
      <c r="L44" s="1128"/>
      <c r="M44" s="1129"/>
      <c r="N44" s="1129"/>
      <c r="O44" s="1129"/>
      <c r="P44" s="3406"/>
      <c r="Q44" s="1789">
        <f t="shared" si="11"/>
        <v>111</v>
      </c>
      <c r="R44" s="768" t="s">
        <v>21</v>
      </c>
      <c r="S44" s="769">
        <f t="shared" si="12"/>
        <v>100</v>
      </c>
      <c r="T44" s="768" t="s">
        <v>21</v>
      </c>
      <c r="U44" s="769">
        <f t="shared" si="13"/>
        <v>100</v>
      </c>
      <c r="V44" s="768" t="s">
        <v>21</v>
      </c>
      <c r="W44" s="769">
        <f t="shared" si="14"/>
        <v>100</v>
      </c>
      <c r="X44" s="770"/>
      <c r="Y44" s="3345"/>
      <c r="Z44" s="55">
        <f t="shared" si="18"/>
        <v>111</v>
      </c>
      <c r="AA44" s="771">
        <f t="shared" si="15"/>
        <v>1</v>
      </c>
      <c r="AB44" s="771">
        <f t="shared" si="16"/>
        <v>1</v>
      </c>
      <c r="AC44" s="771">
        <f t="shared" si="17"/>
        <v>1</v>
      </c>
    </row>
    <row r="45" spans="1:29" ht="15">
      <c r="A45" s="470"/>
      <c r="B45" s="1382">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85"/>
      <c r="L45" s="1136"/>
      <c r="M45" s="1127"/>
      <c r="N45" s="1127"/>
      <c r="O45" s="1127"/>
      <c r="P45" s="3406"/>
      <c r="Q45" s="1804">
        <f t="shared" si="11"/>
        <v>111</v>
      </c>
      <c r="R45" s="772" t="s">
        <v>21</v>
      </c>
      <c r="S45" s="773">
        <f t="shared" si="12"/>
        <v>100</v>
      </c>
      <c r="T45" s="772" t="s">
        <v>21</v>
      </c>
      <c r="U45" s="773">
        <f t="shared" si="13"/>
        <v>100</v>
      </c>
      <c r="V45" s="772" t="s">
        <v>21</v>
      </c>
      <c r="W45" s="773">
        <f t="shared" si="14"/>
        <v>100</v>
      </c>
      <c r="X45" s="1807"/>
      <c r="Y45" s="3345"/>
      <c r="Z45" s="1808">
        <f t="shared" si="18"/>
        <v>111</v>
      </c>
      <c r="AA45" s="1805">
        <f t="shared" si="15"/>
        <v>1</v>
      </c>
      <c r="AB45" s="1805">
        <f t="shared" si="16"/>
        <v>1</v>
      </c>
      <c r="AC45" s="1805">
        <f t="shared" si="17"/>
        <v>1</v>
      </c>
    </row>
    <row r="46" spans="1:29" ht="15.75" thickBot="1">
      <c r="A46" s="476"/>
      <c r="B46" s="2586">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85"/>
      <c r="L46" s="1136"/>
      <c r="M46" s="1127"/>
      <c r="N46" s="1127"/>
      <c r="O46" s="1127"/>
      <c r="P46" s="3407"/>
      <c r="Q46" s="1804">
        <f t="shared" si="11"/>
        <v>111</v>
      </c>
      <c r="R46" s="772" t="s">
        <v>20</v>
      </c>
      <c r="S46" s="773">
        <f t="shared" si="12"/>
        <v>100</v>
      </c>
      <c r="T46" s="772" t="s">
        <v>20</v>
      </c>
      <c r="U46" s="773">
        <f t="shared" si="13"/>
        <v>100</v>
      </c>
      <c r="V46" s="772" t="s">
        <v>20</v>
      </c>
      <c r="W46" s="773">
        <f t="shared" si="14"/>
        <v>100</v>
      </c>
      <c r="X46" s="1807"/>
      <c r="Y46" s="3408"/>
      <c r="Z46" s="1808">
        <f t="shared" si="18"/>
        <v>111</v>
      </c>
      <c r="AA46" s="1805">
        <f t="shared" si="15"/>
        <v>1</v>
      </c>
      <c r="AB46" s="1805">
        <f t="shared" si="16"/>
        <v>1</v>
      </c>
      <c r="AC46" s="1805">
        <f t="shared" si="17"/>
        <v>1</v>
      </c>
    </row>
    <row r="47" spans="1:29" ht="15">
      <c r="A47" s="477" t="s">
        <v>2559</v>
      </c>
      <c r="B47" s="478"/>
      <c r="C47" s="1403" t="s">
        <v>19</v>
      </c>
      <c r="D47" s="1404"/>
      <c r="E47" s="1405"/>
      <c r="F47" s="1406"/>
      <c r="G47" s="1407"/>
      <c r="H47" s="1408"/>
      <c r="I47" s="1405"/>
      <c r="J47" s="1408"/>
      <c r="K47" s="2605"/>
      <c r="L47" s="1139"/>
      <c r="M47" s="1140"/>
      <c r="N47" s="1127"/>
      <c r="O47" s="1140"/>
      <c r="P47" s="3340" t="str">
        <f>A47</f>
        <v>成交单价（元/平方米）</v>
      </c>
      <c r="Q47" s="3340"/>
      <c r="R47" s="3381">
        <f>E47</f>
        <v>0</v>
      </c>
      <c r="S47" s="3381"/>
      <c r="T47" s="3381">
        <f>G47</f>
        <v>0</v>
      </c>
      <c r="U47" s="3381"/>
      <c r="V47" s="3381">
        <f>I47</f>
        <v>0</v>
      </c>
      <c r="W47" s="3381"/>
      <c r="X47" s="757"/>
      <c r="Y47" s="779"/>
      <c r="Z47" s="757"/>
      <c r="AA47" s="757"/>
      <c r="AB47" s="757"/>
      <c r="AC47" s="757"/>
    </row>
    <row r="48" spans="1:29" ht="15.75" thickBot="1">
      <c r="A48" s="484" t="s">
        <v>2560</v>
      </c>
      <c r="B48" s="485"/>
      <c r="C48" s="1409" t="e">
        <f>R49</f>
        <v>#DIV/0!</v>
      </c>
      <c r="D48" s="1410"/>
      <c r="E48" s="1411" t="e">
        <f>R48</f>
        <v>#DIV/0!</v>
      </c>
      <c r="F48" s="1411"/>
      <c r="G48" s="1409" t="e">
        <f>T48</f>
        <v>#DIV/0!</v>
      </c>
      <c r="H48" s="1410"/>
      <c r="I48" s="1411" t="e">
        <f>V48</f>
        <v>#DIV/0!</v>
      </c>
      <c r="J48" s="1410"/>
      <c r="K48" s="2606"/>
      <c r="L48" s="1139"/>
      <c r="M48" s="1140"/>
      <c r="N48" s="1140"/>
      <c r="O48" s="1140"/>
      <c r="P48" s="3340" t="str">
        <f>A48</f>
        <v>比较价值（元/平方米）</v>
      </c>
      <c r="Q48" s="3340"/>
      <c r="R48" s="3381" t="e">
        <f>IF(F1="售价",ROUND(PRODUCT(R47,AA7:AA46),0),ROUND(PRODUCT(R47,AA7:AA46),1))</f>
        <v>#DIV/0!</v>
      </c>
      <c r="S48" s="3381"/>
      <c r="T48" s="3381" t="e">
        <f>IF(F1="售价",ROUND(PRODUCT(T47,AB7:AB46),0),ROUND(PRODUCT(T47,AB7:AB46),1))</f>
        <v>#DIV/0!</v>
      </c>
      <c r="U48" s="3381"/>
      <c r="V48" s="3381" t="e">
        <f>IF(F1="售价",ROUND(PRODUCT(V47,AC7:AC46),0),ROUND(PRODUCT(V47,AC7:AC46),1))</f>
        <v>#DIV/0!</v>
      </c>
      <c r="W48" s="3381"/>
      <c r="X48" s="757"/>
      <c r="Y48" s="757"/>
      <c r="Z48" s="757"/>
      <c r="AA48" s="757"/>
      <c r="AB48" s="757"/>
      <c r="AC48" s="757"/>
    </row>
    <row r="49" spans="1:29" ht="15.75" thickBot="1">
      <c r="A49" s="490" t="s">
        <v>2561</v>
      </c>
      <c r="B49" s="491"/>
      <c r="C49" s="1412" t="e">
        <f>R49</f>
        <v>#DIV/0!</v>
      </c>
      <c r="D49" s="1413"/>
      <c r="E49" s="1413"/>
      <c r="F49" s="1413"/>
      <c r="G49" s="1413"/>
      <c r="H49" s="1413"/>
      <c r="I49" s="1413"/>
      <c r="J49" s="1413"/>
      <c r="K49" s="2607"/>
      <c r="L49" s="1139"/>
      <c r="M49" s="1140"/>
      <c r="N49" s="1140"/>
      <c r="O49" s="1140"/>
      <c r="P49" s="3334" t="str">
        <f>A49</f>
        <v>估价对象XX用房的比较价值（楼面单价，元/平方米）</v>
      </c>
      <c r="Q49" s="3335"/>
      <c r="R49" s="3382" t="e">
        <f>IF(F1="售价",ROUND(AVERAGE(R48:V48),0),ROUND(AVERAGE(R48:V48),1))</f>
        <v>#DIV/0!</v>
      </c>
      <c r="S49" s="3382"/>
      <c r="T49" s="3382"/>
      <c r="U49" s="3382"/>
      <c r="V49" s="3382"/>
      <c r="W49" s="3382"/>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5" t="s">
        <v>2562</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1"/>
      <c r="L52" s="1102"/>
      <c r="M52" s="1140"/>
      <c r="N52" s="1140"/>
      <c r="O52" s="1140"/>
    </row>
    <row r="53" spans="1:29" ht="13.5" customHeight="1">
      <c r="A53" s="1140"/>
      <c r="B53" s="1140"/>
      <c r="C53" s="495" t="s">
        <v>2563</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1"/>
      <c r="L53" s="1102"/>
      <c r="M53" s="1140"/>
      <c r="N53" s="1140"/>
      <c r="O53" s="1140"/>
    </row>
    <row r="54" spans="1:29" s="500" customFormat="1" ht="13.5" customHeight="1">
      <c r="A54" s="1141"/>
      <c r="B54" s="1141"/>
      <c r="C54" s="495" t="s">
        <v>2564</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4"/>
      <c r="L54" s="1145"/>
      <c r="M54" s="1141"/>
      <c r="N54" s="1141"/>
      <c r="O54" s="1141"/>
      <c r="P54" s="2609"/>
    </row>
    <row r="55" spans="1:29" s="500" customFormat="1">
      <c r="A55" s="1141"/>
      <c r="B55" s="1142"/>
      <c r="C55" s="1146"/>
      <c r="D55" s="1141"/>
      <c r="E55" s="1141"/>
      <c r="F55" s="1141"/>
      <c r="G55" s="1141"/>
      <c r="H55" s="1141"/>
      <c r="I55" s="1141"/>
      <c r="J55" s="1141"/>
      <c r="K55" s="1144"/>
      <c r="L55" s="1145"/>
      <c r="M55" s="1141"/>
      <c r="N55" s="1141"/>
      <c r="O55" s="1141"/>
      <c r="P55" s="2609"/>
    </row>
    <row r="56" spans="1:29">
      <c r="A56" s="1140"/>
      <c r="B56" s="1142"/>
      <c r="C56" s="1146"/>
      <c r="D56" s="1140"/>
      <c r="E56" s="1140"/>
      <c r="F56" s="1140"/>
      <c r="G56" s="1140"/>
      <c r="H56" s="1140"/>
      <c r="I56" s="1140"/>
      <c r="J56" s="1140"/>
      <c r="K56" s="1101"/>
      <c r="L56" s="1102"/>
      <c r="M56" s="1140"/>
      <c r="N56" s="1140"/>
      <c r="O56" s="1140"/>
    </row>
    <row r="57" spans="1:29" ht="21.75" thickBot="1">
      <c r="A57" s="761" t="s">
        <v>2565</v>
      </c>
      <c r="B57" s="757"/>
      <c r="C57" s="762"/>
      <c r="D57" s="762"/>
      <c r="E57" s="762"/>
      <c r="F57" s="763"/>
      <c r="G57" s="763"/>
      <c r="H57" s="762"/>
      <c r="I57" s="762"/>
      <c r="J57" s="762"/>
      <c r="K57" s="1156"/>
      <c r="L57" s="1157"/>
      <c r="M57" s="1155"/>
      <c r="N57" s="1155"/>
      <c r="O57" s="1155"/>
      <c r="P57" s="2610"/>
      <c r="Q57" s="502"/>
    </row>
    <row r="58" spans="1:29" s="506" customFormat="1" ht="15">
      <c r="A58" s="503" t="s">
        <v>2566</v>
      </c>
      <c r="B58" s="504"/>
      <c r="C58" s="1570" t="str">
        <f>YEAR(C7)&amp;"-"&amp;MONTH(C7)</f>
        <v>2020-2</v>
      </c>
      <c r="D58" s="1569">
        <f>EDATE(C58,-1)</f>
        <v>43831</v>
      </c>
      <c r="E58" s="1569">
        <f>EDATE(D58,-1)</f>
        <v>43800</v>
      </c>
      <c r="F58" s="1569">
        <f t="shared" ref="F58:O58" si="19">EDATE(E58,-1)</f>
        <v>43770</v>
      </c>
      <c r="G58" s="1569">
        <f t="shared" si="19"/>
        <v>43739</v>
      </c>
      <c r="H58" s="1569">
        <f t="shared" si="19"/>
        <v>43709</v>
      </c>
      <c r="I58" s="1569">
        <f t="shared" si="19"/>
        <v>43678</v>
      </c>
      <c r="J58" s="1569">
        <f t="shared" si="19"/>
        <v>43647</v>
      </c>
      <c r="K58" s="1569">
        <f t="shared" si="19"/>
        <v>43617</v>
      </c>
      <c r="L58" s="1569">
        <f t="shared" si="19"/>
        <v>43586</v>
      </c>
      <c r="M58" s="1569">
        <f t="shared" si="19"/>
        <v>43556</v>
      </c>
      <c r="N58" s="1569">
        <f t="shared" si="19"/>
        <v>43525</v>
      </c>
      <c r="O58" s="1569">
        <f t="shared" si="19"/>
        <v>43497</v>
      </c>
      <c r="P58" s="1564"/>
    </row>
    <row r="59" spans="1:29" s="115" customFormat="1" ht="15">
      <c r="A59" s="507"/>
      <c r="B59" s="2611"/>
      <c r="C59" s="1567">
        <v>100</v>
      </c>
      <c r="D59" s="509"/>
      <c r="E59" s="510"/>
      <c r="F59" s="510"/>
      <c r="G59" s="510"/>
      <c r="H59" s="510"/>
      <c r="I59" s="510"/>
      <c r="J59" s="510"/>
      <c r="K59" s="510"/>
      <c r="L59" s="510"/>
      <c r="M59" s="511"/>
      <c r="N59" s="510"/>
      <c r="O59" s="511"/>
      <c r="P59" s="2612"/>
    </row>
    <row r="60" spans="1:29" s="115" customFormat="1" ht="15.75" thickBot="1">
      <c r="A60" s="513" t="s">
        <v>2567</v>
      </c>
      <c r="B60" s="514"/>
      <c r="C60" s="515"/>
      <c r="D60" s="516"/>
      <c r="E60" s="516"/>
      <c r="F60" s="516"/>
      <c r="G60" s="516"/>
      <c r="H60" s="516"/>
      <c r="I60" s="516"/>
      <c r="J60" s="516"/>
      <c r="K60" s="516"/>
      <c r="L60" s="516"/>
      <c r="M60" s="517"/>
      <c r="N60" s="516"/>
      <c r="O60" s="517"/>
      <c r="P60" s="2612"/>
      <c r="Q60" s="502"/>
    </row>
    <row r="61" spans="1:29" s="115" customFormat="1" ht="15">
      <c r="A61" s="519" t="s">
        <v>2568</v>
      </c>
      <c r="B61" s="508"/>
      <c r="C61" s="520" t="s">
        <v>2569</v>
      </c>
      <c r="D61" s="521"/>
      <c r="E61" s="521"/>
      <c r="F61" s="521"/>
      <c r="G61" s="521"/>
      <c r="H61" s="521"/>
      <c r="I61" s="521"/>
      <c r="J61" s="521"/>
      <c r="K61" s="521"/>
      <c r="L61" s="522"/>
      <c r="M61" s="523"/>
      <c r="N61" s="1147"/>
      <c r="O61" s="1147"/>
      <c r="P61" s="2613"/>
      <c r="Q61" s="502"/>
    </row>
    <row r="62" spans="1:29" s="115" customFormat="1" ht="15.75" thickBot="1">
      <c r="A62" s="519"/>
      <c r="B62" s="508"/>
      <c r="C62" s="509">
        <v>100</v>
      </c>
      <c r="D62" s="510"/>
      <c r="E62" s="510"/>
      <c r="F62" s="510"/>
      <c r="G62" s="510"/>
      <c r="H62" s="510"/>
      <c r="I62" s="510"/>
      <c r="J62" s="510"/>
      <c r="K62" s="510"/>
      <c r="L62" s="510"/>
      <c r="M62" s="512"/>
      <c r="N62" s="1147"/>
      <c r="O62" s="1147"/>
      <c r="P62" s="2612"/>
      <c r="Q62" s="502"/>
    </row>
    <row r="63" spans="1:29">
      <c r="A63" s="525" t="s">
        <v>2570</v>
      </c>
      <c r="B63" s="526" t="s">
        <v>2536</v>
      </c>
      <c r="C63" s="527">
        <f>C9</f>
        <v>0</v>
      </c>
      <c r="D63" s="528"/>
      <c r="E63" s="528"/>
      <c r="F63" s="528"/>
      <c r="G63" s="528"/>
      <c r="H63" s="528"/>
      <c r="I63" s="528"/>
      <c r="J63" s="528"/>
      <c r="K63" s="529"/>
      <c r="L63" s="530"/>
      <c r="M63" s="531"/>
      <c r="N63" s="1148"/>
      <c r="O63" s="1148"/>
      <c r="P63" s="2614"/>
      <c r="Q63" s="502"/>
    </row>
    <row r="64" spans="1:29" ht="15.75" thickBot="1">
      <c r="A64" s="532"/>
      <c r="B64" s="533"/>
      <c r="C64" s="534">
        <v>100</v>
      </c>
      <c r="D64" s="534"/>
      <c r="E64" s="534"/>
      <c r="F64" s="534"/>
      <c r="G64" s="534"/>
      <c r="H64" s="534"/>
      <c r="I64" s="534"/>
      <c r="J64" s="534"/>
      <c r="K64" s="534"/>
      <c r="L64" s="534"/>
      <c r="M64" s="535"/>
      <c r="N64" s="1149"/>
      <c r="O64" s="1149"/>
      <c r="P64" s="2614"/>
      <c r="Q64" s="502"/>
    </row>
    <row r="65" spans="1:17" ht="27.75" thickTop="1">
      <c r="A65" s="532"/>
      <c r="B65" s="536" t="s">
        <v>2539</v>
      </c>
      <c r="C65" s="537" t="s">
        <v>2571</v>
      </c>
      <c r="D65" s="537" t="s">
        <v>2572</v>
      </c>
      <c r="E65" s="537" t="s">
        <v>2573</v>
      </c>
      <c r="F65" s="537" t="s">
        <v>2574</v>
      </c>
      <c r="G65" s="537" t="s">
        <v>2575</v>
      </c>
      <c r="H65" s="537" t="s">
        <v>2576</v>
      </c>
      <c r="I65" s="537" t="s">
        <v>2577</v>
      </c>
      <c r="J65" s="537"/>
      <c r="K65" s="538"/>
      <c r="L65" s="539"/>
      <c r="M65" s="540"/>
      <c r="N65" s="1148"/>
      <c r="O65" s="1148"/>
      <c r="P65" s="2614"/>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49"/>
      <c r="O66" s="1149"/>
      <c r="P66" s="2614"/>
      <c r="Q66" s="502"/>
    </row>
    <row r="67" spans="1:17" ht="15.75" thickTop="1">
      <c r="A67" s="532"/>
      <c r="B67" s="544" t="s">
        <v>2540</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49"/>
      <c r="O67" s="1149"/>
      <c r="P67" s="2614"/>
      <c r="Q67" s="502"/>
    </row>
    <row r="68" spans="1:17" ht="15">
      <c r="A68" s="532"/>
      <c r="B68" s="546"/>
      <c r="C68" s="547"/>
      <c r="D68" s="547"/>
      <c r="E68" s="547"/>
      <c r="F68" s="547"/>
      <c r="G68" s="547"/>
      <c r="H68" s="547"/>
      <c r="I68" s="547"/>
      <c r="J68" s="547"/>
      <c r="K68" s="548"/>
      <c r="L68" s="549"/>
      <c r="M68" s="550"/>
      <c r="N68" s="1148"/>
      <c r="O68" s="1148"/>
      <c r="P68" s="2614"/>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49"/>
      <c r="O69" s="1149"/>
      <c r="P69" s="2614"/>
      <c r="Q69" s="502"/>
    </row>
    <row r="70" spans="1:17" s="469" customFormat="1" ht="15.75" thickTop="1">
      <c r="A70" s="551"/>
      <c r="B70" s="536">
        <f>B12</f>
        <v>111</v>
      </c>
      <c r="C70" s="552"/>
      <c r="D70" s="552"/>
      <c r="E70" s="552"/>
      <c r="F70" s="552"/>
      <c r="G70" s="552"/>
      <c r="H70" s="553"/>
      <c r="I70" s="553"/>
      <c r="J70" s="553"/>
      <c r="K70" s="553"/>
      <c r="L70" s="554"/>
      <c r="M70" s="555"/>
      <c r="N70" s="1150"/>
      <c r="O70" s="1150"/>
      <c r="P70" s="2615"/>
      <c r="Q70" s="557"/>
    </row>
    <row r="71" spans="1:17" s="469" customFormat="1" ht="15.75" thickBot="1">
      <c r="A71" s="551"/>
      <c r="B71" s="541"/>
      <c r="C71" s="558"/>
      <c r="D71" s="534"/>
      <c r="E71" s="534"/>
      <c r="F71" s="534"/>
      <c r="G71" s="534"/>
      <c r="H71" s="534"/>
      <c r="I71" s="534"/>
      <c r="J71" s="534"/>
      <c r="K71" s="534"/>
      <c r="L71" s="534"/>
      <c r="M71" s="535"/>
      <c r="N71" s="1149"/>
      <c r="O71" s="1149"/>
      <c r="P71" s="2615"/>
      <c r="Q71" s="557"/>
    </row>
    <row r="72" spans="1:17" s="469" customFormat="1" ht="15.75" thickTop="1">
      <c r="A72" s="551"/>
      <c r="B72" s="536">
        <f>B13</f>
        <v>111</v>
      </c>
      <c r="C72" s="552"/>
      <c r="D72" s="552"/>
      <c r="E72" s="552"/>
      <c r="F72" s="552"/>
      <c r="G72" s="552"/>
      <c r="H72" s="553"/>
      <c r="I72" s="553"/>
      <c r="J72" s="553"/>
      <c r="K72" s="553"/>
      <c r="L72" s="554"/>
      <c r="M72" s="555"/>
      <c r="N72" s="1150"/>
      <c r="O72" s="1150"/>
      <c r="P72" s="2616"/>
      <c r="Q72" s="559"/>
    </row>
    <row r="73" spans="1:17" s="469" customFormat="1" ht="15.75" thickBot="1">
      <c r="A73" s="551"/>
      <c r="B73" s="541"/>
      <c r="C73" s="558"/>
      <c r="D73" s="558"/>
      <c r="E73" s="558"/>
      <c r="F73" s="558"/>
      <c r="G73" s="558"/>
      <c r="H73" s="560"/>
      <c r="I73" s="560"/>
      <c r="J73" s="560"/>
      <c r="K73" s="560"/>
      <c r="L73" s="560"/>
      <c r="M73" s="561"/>
      <c r="N73" s="1150"/>
      <c r="O73" s="1150"/>
      <c r="P73" s="2615"/>
      <c r="Q73" s="557"/>
    </row>
    <row r="74" spans="1:17" s="469" customFormat="1" ht="15.75" thickTop="1">
      <c r="A74" s="551"/>
      <c r="B74" s="544">
        <f>B14</f>
        <v>111</v>
      </c>
      <c r="C74" s="552"/>
      <c r="D74" s="552"/>
      <c r="E74" s="552"/>
      <c r="F74" s="552"/>
      <c r="G74" s="521"/>
      <c r="H74" s="562"/>
      <c r="I74" s="562"/>
      <c r="J74" s="562"/>
      <c r="K74" s="562"/>
      <c r="L74" s="563"/>
      <c r="M74" s="564"/>
      <c r="N74" s="1150"/>
      <c r="O74" s="1150"/>
      <c r="P74" s="2617"/>
      <c r="Q74" s="557"/>
    </row>
    <row r="75" spans="1:17" s="469" customFormat="1" ht="15.75" thickBot="1">
      <c r="A75" s="566"/>
      <c r="B75" s="567"/>
      <c r="C75" s="568"/>
      <c r="D75" s="568"/>
      <c r="E75" s="568"/>
      <c r="F75" s="568"/>
      <c r="G75" s="568"/>
      <c r="H75" s="569"/>
      <c r="I75" s="569"/>
      <c r="J75" s="569"/>
      <c r="K75" s="569"/>
      <c r="L75" s="569"/>
      <c r="M75" s="570"/>
      <c r="N75" s="1150"/>
      <c r="O75" s="1150"/>
      <c r="P75" s="2615"/>
      <c r="Q75" s="557"/>
    </row>
    <row r="76" spans="1:17">
      <c r="A76" s="525" t="s">
        <v>2541</v>
      </c>
      <c r="B76" s="526" t="s">
        <v>2578</v>
      </c>
      <c r="C76" s="571" t="s">
        <v>2579</v>
      </c>
      <c r="D76" s="571" t="s">
        <v>2580</v>
      </c>
      <c r="E76" s="571" t="s">
        <v>2581</v>
      </c>
      <c r="F76" s="571" t="s">
        <v>2582</v>
      </c>
      <c r="G76" s="571" t="s">
        <v>2583</v>
      </c>
      <c r="H76" s="527"/>
      <c r="I76" s="527"/>
      <c r="J76" s="527"/>
      <c r="K76" s="572"/>
      <c r="L76" s="573"/>
      <c r="M76" s="574"/>
      <c r="N76" s="1148"/>
      <c r="O76" s="1148"/>
      <c r="P76" s="2618"/>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9"/>
      <c r="O77" s="1149"/>
      <c r="P77" s="2614"/>
      <c r="Q77" s="502"/>
    </row>
    <row r="78" spans="1:17" ht="15.75" thickTop="1">
      <c r="A78" s="532"/>
      <c r="B78" s="536" t="s">
        <v>2584</v>
      </c>
      <c r="C78" s="576" t="s">
        <v>2579</v>
      </c>
      <c r="D78" s="576" t="s">
        <v>2580</v>
      </c>
      <c r="E78" s="576" t="s">
        <v>2581</v>
      </c>
      <c r="F78" s="576" t="s">
        <v>2582</v>
      </c>
      <c r="G78" s="576" t="s">
        <v>2583</v>
      </c>
      <c r="H78" s="537"/>
      <c r="I78" s="537"/>
      <c r="J78" s="537"/>
      <c r="K78" s="538"/>
      <c r="L78" s="539"/>
      <c r="M78" s="540"/>
      <c r="N78" s="1148"/>
      <c r="O78" s="1148"/>
      <c r="P78" s="2614"/>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9"/>
      <c r="O79" s="1149"/>
      <c r="P79" s="2614"/>
      <c r="Q79" s="502"/>
    </row>
    <row r="80" spans="1:17" ht="15.75" thickTop="1">
      <c r="A80" s="532"/>
      <c r="B80" s="536" t="s">
        <v>2585</v>
      </c>
      <c r="C80" s="576" t="s">
        <v>2579</v>
      </c>
      <c r="D80" s="576" t="s">
        <v>2580</v>
      </c>
      <c r="E80" s="576" t="s">
        <v>2581</v>
      </c>
      <c r="F80" s="576" t="s">
        <v>2582</v>
      </c>
      <c r="G80" s="576" t="s">
        <v>2583</v>
      </c>
      <c r="H80" s="537"/>
      <c r="I80" s="537"/>
      <c r="J80" s="537"/>
      <c r="K80" s="538"/>
      <c r="L80" s="539"/>
      <c r="M80" s="540"/>
      <c r="N80" s="1148"/>
      <c r="O80" s="1148"/>
      <c r="P80" s="2614"/>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9"/>
      <c r="O81" s="1149"/>
      <c r="P81" s="2614"/>
      <c r="Q81" s="502"/>
    </row>
    <row r="82" spans="1:17" ht="15.75" thickTop="1">
      <c r="A82" s="532"/>
      <c r="B82" s="544" t="s">
        <v>2084</v>
      </c>
      <c r="C82" s="537" t="s">
        <v>2586</v>
      </c>
      <c r="D82" s="537" t="s">
        <v>2587</v>
      </c>
      <c r="E82" s="537" t="s">
        <v>2588</v>
      </c>
      <c r="F82" s="537" t="s">
        <v>2589</v>
      </c>
      <c r="G82" s="537" t="s">
        <v>2590</v>
      </c>
      <c r="H82" s="537"/>
      <c r="I82" s="537"/>
      <c r="J82" s="537"/>
      <c r="K82" s="537"/>
      <c r="L82" s="537"/>
      <c r="M82" s="1378"/>
      <c r="N82" s="1149"/>
      <c r="O82" s="1149"/>
      <c r="P82" s="2614"/>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49"/>
      <c r="O83" s="1149"/>
      <c r="P83" s="2614"/>
      <c r="Q83" s="502"/>
    </row>
    <row r="84" spans="1:17" ht="15.75" thickTop="1">
      <c r="A84" s="532"/>
      <c r="B84" s="536" t="s">
        <v>2591</v>
      </c>
      <c r="C84" s="576" t="s">
        <v>2579</v>
      </c>
      <c r="D84" s="576" t="s">
        <v>2580</v>
      </c>
      <c r="E84" s="576" t="s">
        <v>2581</v>
      </c>
      <c r="F84" s="576" t="s">
        <v>2582</v>
      </c>
      <c r="G84" s="576" t="s">
        <v>2583</v>
      </c>
      <c r="H84" s="537"/>
      <c r="I84" s="537"/>
      <c r="J84" s="537"/>
      <c r="K84" s="538"/>
      <c r="L84" s="539"/>
      <c r="M84" s="540"/>
      <c r="N84" s="1148"/>
      <c r="O84" s="1148"/>
      <c r="P84" s="2614"/>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9"/>
      <c r="O85" s="1149"/>
      <c r="P85" s="2614"/>
      <c r="Q85" s="502"/>
    </row>
    <row r="86" spans="1:17" s="115" customFormat="1" ht="15.75" thickTop="1">
      <c r="A86" s="577"/>
      <c r="B86" s="536" t="s">
        <v>2592</v>
      </c>
      <c r="C86" s="552"/>
      <c r="D86" s="552"/>
      <c r="E86" s="552"/>
      <c r="F86" s="552"/>
      <c r="G86" s="552"/>
      <c r="H86" s="552"/>
      <c r="I86" s="552"/>
      <c r="J86" s="552"/>
      <c r="K86" s="552"/>
      <c r="L86" s="578"/>
      <c r="M86" s="579"/>
      <c r="N86" s="1147"/>
      <c r="O86" s="1147"/>
      <c r="P86" s="2614"/>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9"/>
      <c r="O87" s="1149"/>
      <c r="P87" s="2614"/>
      <c r="Q87" s="502"/>
    </row>
    <row r="88" spans="1:17" s="115" customFormat="1" ht="15.75" thickTop="1">
      <c r="A88" s="577"/>
      <c r="B88" s="536" t="s">
        <v>2593</v>
      </c>
      <c r="C88" s="552"/>
      <c r="D88" s="552"/>
      <c r="E88" s="552"/>
      <c r="F88" s="2619"/>
      <c r="G88" s="552"/>
      <c r="H88" s="552"/>
      <c r="I88" s="552"/>
      <c r="J88" s="552"/>
      <c r="K88" s="552"/>
      <c r="L88" s="552"/>
      <c r="M88" s="579"/>
      <c r="N88" s="1147"/>
      <c r="O88" s="1147"/>
      <c r="P88" s="2614"/>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9"/>
      <c r="O89" s="1149"/>
      <c r="P89" s="2614"/>
      <c r="Q89" s="502"/>
    </row>
    <row r="90" spans="1:17" s="469" customFormat="1" ht="15.75" thickTop="1">
      <c r="A90" s="551"/>
      <c r="B90" s="536">
        <f>B27</f>
        <v>111</v>
      </c>
      <c r="C90" s="552"/>
      <c r="D90" s="552"/>
      <c r="E90" s="552"/>
      <c r="F90" s="552"/>
      <c r="G90" s="552"/>
      <c r="H90" s="553"/>
      <c r="I90" s="553"/>
      <c r="J90" s="553"/>
      <c r="K90" s="553"/>
      <c r="L90" s="554"/>
      <c r="M90" s="555"/>
      <c r="N90" s="1150"/>
      <c r="O90" s="1150"/>
      <c r="P90" s="2615"/>
      <c r="Q90" s="557"/>
    </row>
    <row r="91" spans="1:17" s="469" customFormat="1" ht="15.75" thickBot="1">
      <c r="A91" s="551"/>
      <c r="B91" s="541"/>
      <c r="C91" s="558"/>
      <c r="D91" s="558"/>
      <c r="E91" s="558"/>
      <c r="F91" s="558"/>
      <c r="G91" s="558"/>
      <c r="H91" s="560"/>
      <c r="I91" s="560"/>
      <c r="J91" s="560"/>
      <c r="K91" s="560"/>
      <c r="L91" s="560"/>
      <c r="M91" s="561"/>
      <c r="N91" s="1150"/>
      <c r="O91" s="1150"/>
      <c r="P91" s="2615"/>
      <c r="Q91" s="557"/>
    </row>
    <row r="92" spans="1:17" ht="15.75" thickTop="1">
      <c r="A92" s="532"/>
      <c r="B92" s="536">
        <f>B28</f>
        <v>111</v>
      </c>
      <c r="C92" s="552"/>
      <c r="D92" s="552"/>
      <c r="E92" s="552"/>
      <c r="F92" s="552"/>
      <c r="G92" s="581"/>
      <c r="H92" s="581"/>
      <c r="I92" s="581"/>
      <c r="J92" s="581"/>
      <c r="K92" s="582"/>
      <c r="L92" s="583"/>
      <c r="M92" s="584"/>
      <c r="N92" s="1148"/>
      <c r="O92" s="1148"/>
      <c r="P92" s="2614"/>
      <c r="Q92" s="502"/>
    </row>
    <row r="93" spans="1:17" ht="15.75" thickBot="1">
      <c r="A93" s="532"/>
      <c r="B93" s="541"/>
      <c r="C93" s="558"/>
      <c r="D93" s="534"/>
      <c r="E93" s="534"/>
      <c r="F93" s="534"/>
      <c r="G93" s="534"/>
      <c r="H93" s="534"/>
      <c r="I93" s="534"/>
      <c r="J93" s="534"/>
      <c r="K93" s="534"/>
      <c r="L93" s="534"/>
      <c r="M93" s="535"/>
      <c r="N93" s="1149"/>
      <c r="O93" s="1149"/>
      <c r="P93" s="2614"/>
      <c r="Q93" s="502"/>
    </row>
    <row r="94" spans="1:17" ht="15.75" thickTop="1">
      <c r="A94" s="532"/>
      <c r="B94" s="536">
        <f>B29</f>
        <v>111</v>
      </c>
      <c r="C94" s="552"/>
      <c r="D94" s="552"/>
      <c r="E94" s="552"/>
      <c r="F94" s="552"/>
      <c r="G94" s="581"/>
      <c r="H94" s="581"/>
      <c r="I94" s="581"/>
      <c r="J94" s="581"/>
      <c r="K94" s="582"/>
      <c r="L94" s="583"/>
      <c r="M94" s="584"/>
      <c r="N94" s="1148"/>
      <c r="O94" s="1148"/>
      <c r="P94" s="2614"/>
      <c r="Q94" s="502"/>
    </row>
    <row r="95" spans="1:17" ht="15.75" thickBot="1">
      <c r="A95" s="532"/>
      <c r="B95" s="541"/>
      <c r="C95" s="558"/>
      <c r="D95" s="558"/>
      <c r="E95" s="558"/>
      <c r="F95" s="558"/>
      <c r="G95" s="534"/>
      <c r="H95" s="534"/>
      <c r="I95" s="534"/>
      <c r="J95" s="534"/>
      <c r="K95" s="534"/>
      <c r="L95" s="534"/>
      <c r="M95" s="535"/>
      <c r="N95" s="1149"/>
      <c r="O95" s="1149"/>
      <c r="P95" s="2614"/>
      <c r="Q95" s="502"/>
    </row>
    <row r="96" spans="1:17" ht="15.75" thickTop="1">
      <c r="A96" s="532"/>
      <c r="B96" s="536">
        <f>B30</f>
        <v>111</v>
      </c>
      <c r="C96" s="552"/>
      <c r="D96" s="552"/>
      <c r="E96" s="552"/>
      <c r="F96" s="552"/>
      <c r="G96" s="581"/>
      <c r="H96" s="581"/>
      <c r="I96" s="581"/>
      <c r="J96" s="581"/>
      <c r="K96" s="582"/>
      <c r="L96" s="583"/>
      <c r="M96" s="584"/>
      <c r="N96" s="1148"/>
      <c r="O96" s="1148"/>
      <c r="P96" s="2614"/>
      <c r="Q96" s="502"/>
    </row>
    <row r="97" spans="1:17" ht="15.75" thickBot="1">
      <c r="A97" s="532"/>
      <c r="B97" s="541"/>
      <c r="C97" s="568"/>
      <c r="D97" s="568"/>
      <c r="E97" s="568"/>
      <c r="F97" s="568"/>
      <c r="G97" s="534"/>
      <c r="H97" s="534"/>
      <c r="I97" s="534"/>
      <c r="J97" s="534"/>
      <c r="K97" s="534"/>
      <c r="L97" s="534"/>
      <c r="M97" s="535"/>
      <c r="N97" s="1149"/>
      <c r="O97" s="1149"/>
      <c r="P97" s="2614"/>
      <c r="Q97" s="502"/>
    </row>
    <row r="98" spans="1:17" ht="15.75" thickTop="1">
      <c r="A98" s="532"/>
      <c r="B98" s="544">
        <f>B31</f>
        <v>111</v>
      </c>
      <c r="C98" s="585"/>
      <c r="D98" s="585"/>
      <c r="E98" s="585"/>
      <c r="F98" s="585"/>
      <c r="G98" s="585"/>
      <c r="H98" s="585"/>
      <c r="I98" s="585"/>
      <c r="J98" s="585"/>
      <c r="K98" s="586"/>
      <c r="L98" s="587"/>
      <c r="M98" s="588"/>
      <c r="N98" s="1148"/>
      <c r="O98" s="1148"/>
      <c r="P98" s="2614"/>
      <c r="Q98" s="502"/>
    </row>
    <row r="99" spans="1:17" ht="15.75" thickBot="1">
      <c r="A99" s="2620"/>
      <c r="B99" s="567"/>
      <c r="C99" s="589"/>
      <c r="D99" s="589"/>
      <c r="E99" s="589"/>
      <c r="F99" s="589"/>
      <c r="G99" s="589"/>
      <c r="H99" s="589"/>
      <c r="I99" s="589"/>
      <c r="J99" s="589"/>
      <c r="K99" s="589"/>
      <c r="L99" s="589"/>
      <c r="M99" s="590"/>
      <c r="N99" s="1149"/>
      <c r="O99" s="1149"/>
      <c r="P99" s="2614"/>
      <c r="Q99" s="502"/>
    </row>
    <row r="100" spans="1:17">
      <c r="A100" s="525" t="s">
        <v>2545</v>
      </c>
      <c r="B100" s="526" t="s">
        <v>2594</v>
      </c>
      <c r="C100" s="528"/>
      <c r="D100" s="528"/>
      <c r="E100" s="528"/>
      <c r="F100" s="528"/>
      <c r="G100" s="528"/>
      <c r="H100" s="528"/>
      <c r="I100" s="528"/>
      <c r="J100" s="528"/>
      <c r="K100" s="529"/>
      <c r="L100" s="530"/>
      <c r="M100" s="531"/>
      <c r="N100" s="1148"/>
      <c r="O100" s="1148"/>
      <c r="P100" s="2614"/>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49"/>
      <c r="O101" s="1149"/>
      <c r="P101" s="2614"/>
      <c r="Q101" s="502"/>
    </row>
    <row r="102" spans="1:17" ht="15.75" thickTop="1">
      <c r="A102" s="532"/>
      <c r="B102" s="536" t="s">
        <v>2595</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7"/>
      <c r="O102" s="1147"/>
      <c r="P102" s="2614"/>
      <c r="Q102" s="502"/>
    </row>
    <row r="103" spans="1:17" s="469" customFormat="1">
      <c r="A103" s="591"/>
      <c r="B103" s="592"/>
      <c r="C103" s="593"/>
      <c r="D103" s="593"/>
      <c r="E103" s="593"/>
      <c r="F103" s="593"/>
      <c r="G103" s="593"/>
      <c r="H103" s="593"/>
      <c r="I103" s="593"/>
      <c r="J103" s="594"/>
      <c r="K103" s="594"/>
      <c r="L103" s="595"/>
      <c r="M103" s="596"/>
      <c r="N103" s="1150"/>
      <c r="O103" s="1150"/>
      <c r="P103" s="2615"/>
      <c r="Q103" s="557"/>
    </row>
    <row r="104" spans="1:17" s="469" customFormat="1" ht="15.75" thickBot="1">
      <c r="A104" s="551"/>
      <c r="B104" s="541"/>
      <c r="C104" s="558"/>
      <c r="D104" s="534"/>
      <c r="E104" s="534"/>
      <c r="F104" s="534"/>
      <c r="G104" s="534"/>
      <c r="H104" s="534"/>
      <c r="I104" s="534"/>
      <c r="J104" s="534"/>
      <c r="K104" s="534"/>
      <c r="L104" s="534"/>
      <c r="M104" s="534"/>
      <c r="N104" s="1149"/>
      <c r="O104" s="1149"/>
      <c r="P104" s="2615"/>
      <c r="Q104" s="557"/>
    </row>
    <row r="105" spans="1:17" ht="15" thickTop="1">
      <c r="A105" s="597"/>
      <c r="B105" s="536" t="s">
        <v>2596</v>
      </c>
      <c r="C105" s="552"/>
      <c r="D105" s="552"/>
      <c r="E105" s="581"/>
      <c r="F105" s="581"/>
      <c r="G105" s="581"/>
      <c r="H105" s="581"/>
      <c r="I105" s="581"/>
      <c r="J105" s="581"/>
      <c r="K105" s="582"/>
      <c r="L105" s="583"/>
      <c r="M105" s="584"/>
      <c r="N105" s="1148"/>
      <c r="O105" s="1148"/>
      <c r="P105" s="2614"/>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49"/>
      <c r="O106" s="1149"/>
      <c r="P106" s="2614"/>
      <c r="Q106" s="502"/>
    </row>
    <row r="107" spans="1:17" ht="15" thickTop="1">
      <c r="A107" s="597"/>
      <c r="B107" s="536" t="s">
        <v>2597</v>
      </c>
      <c r="C107" s="581"/>
      <c r="D107" s="581"/>
      <c r="E107" s="581"/>
      <c r="F107" s="581"/>
      <c r="G107" s="581"/>
      <c r="H107" s="581"/>
      <c r="I107" s="581"/>
      <c r="J107" s="581"/>
      <c r="K107" s="582"/>
      <c r="L107" s="583"/>
      <c r="M107" s="584"/>
      <c r="N107" s="1148"/>
      <c r="O107" s="1148"/>
      <c r="P107" s="2614"/>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49"/>
      <c r="O108" s="1149"/>
      <c r="P108" s="2614"/>
      <c r="Q108" s="502"/>
    </row>
    <row r="109" spans="1:17" ht="15" thickTop="1">
      <c r="A109" s="597"/>
      <c r="B109" s="536" t="s">
        <v>2598</v>
      </c>
      <c r="C109" s="552"/>
      <c r="D109" s="552"/>
      <c r="E109" s="552"/>
      <c r="F109" s="581"/>
      <c r="G109" s="581"/>
      <c r="H109" s="581"/>
      <c r="I109" s="581"/>
      <c r="J109" s="581"/>
      <c r="K109" s="582"/>
      <c r="L109" s="583"/>
      <c r="M109" s="584"/>
      <c r="N109" s="1148"/>
      <c r="O109" s="1148"/>
      <c r="P109" s="2614"/>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49"/>
      <c r="O110" s="1149"/>
      <c r="P110" s="2614"/>
      <c r="Q110" s="502"/>
    </row>
    <row r="111" spans="1:17" s="469" customFormat="1" ht="15" thickTop="1">
      <c r="A111" s="591"/>
      <c r="B111" s="536" t="s">
        <v>1987</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0"/>
      <c r="O111" s="1150"/>
      <c r="P111" s="2615"/>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0"/>
      <c r="O112" s="1150"/>
      <c r="P112" s="2615"/>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0"/>
      <c r="O113" s="1150"/>
      <c r="P113" s="2615"/>
      <c r="Q113" s="557"/>
    </row>
    <row r="114" spans="1:17" ht="15" thickTop="1">
      <c r="A114" s="597"/>
      <c r="B114" s="536" t="s">
        <v>2599</v>
      </c>
      <c r="C114" s="552"/>
      <c r="D114" s="552"/>
      <c r="E114" s="581"/>
      <c r="F114" s="581"/>
      <c r="G114" s="581"/>
      <c r="H114" s="581"/>
      <c r="I114" s="581"/>
      <c r="J114" s="581"/>
      <c r="K114" s="582"/>
      <c r="L114" s="583"/>
      <c r="M114" s="584"/>
      <c r="N114" s="1148"/>
      <c r="O114" s="1148"/>
      <c r="P114" s="2614"/>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49"/>
      <c r="O115" s="1149"/>
      <c r="P115" s="2614"/>
      <c r="Q115" s="502"/>
    </row>
    <row r="116" spans="1:17" ht="15" thickTop="1">
      <c r="A116" s="597"/>
      <c r="B116" s="536" t="s">
        <v>2600</v>
      </c>
      <c r="C116" s="552"/>
      <c r="D116" s="552"/>
      <c r="E116" s="552"/>
      <c r="F116" s="552"/>
      <c r="G116" s="552"/>
      <c r="H116" s="581"/>
      <c r="I116" s="581"/>
      <c r="J116" s="581"/>
      <c r="K116" s="582"/>
      <c r="L116" s="583"/>
      <c r="M116" s="584"/>
      <c r="N116" s="1148"/>
      <c r="O116" s="1148"/>
      <c r="P116" s="2614"/>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9"/>
      <c r="O117" s="1149"/>
      <c r="P117" s="2614"/>
      <c r="Q117" s="502"/>
    </row>
    <row r="118" spans="1:17" ht="15" thickTop="1">
      <c r="A118" s="597"/>
      <c r="B118" s="536" t="s">
        <v>2601</v>
      </c>
      <c r="C118" s="581"/>
      <c r="D118" s="581"/>
      <c r="E118" s="581"/>
      <c r="F118" s="581"/>
      <c r="G118" s="581"/>
      <c r="H118" s="581"/>
      <c r="I118" s="581"/>
      <c r="J118" s="581"/>
      <c r="K118" s="582"/>
      <c r="L118" s="583"/>
      <c r="M118" s="584"/>
      <c r="N118" s="1148"/>
      <c r="O118" s="1148"/>
      <c r="P118" s="2614"/>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49"/>
      <c r="O119" s="1149"/>
      <c r="P119" s="2614"/>
      <c r="Q119" s="502"/>
    </row>
    <row r="120" spans="1:17" s="469" customFormat="1" ht="28.5" thickTop="1">
      <c r="A120" s="591"/>
      <c r="B120" s="536" t="s">
        <v>2556</v>
      </c>
      <c r="C120" s="552"/>
      <c r="D120" s="552"/>
      <c r="E120" s="552"/>
      <c r="F120" s="552"/>
      <c r="G120" s="552"/>
      <c r="H120" s="552"/>
      <c r="I120" s="552"/>
      <c r="J120" s="552"/>
      <c r="K120" s="552"/>
      <c r="L120" s="578"/>
      <c r="M120" s="579"/>
      <c r="N120" s="1150"/>
      <c r="O120" s="1150"/>
      <c r="P120" s="2615"/>
      <c r="Q120" s="557"/>
    </row>
    <row r="121" spans="1:17" s="469" customFormat="1" ht="15.75" thickBot="1">
      <c r="A121" s="551"/>
      <c r="B121" s="533"/>
      <c r="C121" s="558"/>
      <c r="D121" s="534"/>
      <c r="E121" s="534"/>
      <c r="F121" s="534"/>
      <c r="G121" s="534"/>
      <c r="H121" s="534"/>
      <c r="I121" s="534"/>
      <c r="J121" s="534"/>
      <c r="K121" s="534"/>
      <c r="L121" s="534"/>
      <c r="M121" s="534"/>
      <c r="N121" s="1150"/>
      <c r="O121" s="1150"/>
      <c r="P121" s="2615"/>
      <c r="Q121" s="557"/>
    </row>
    <row r="122" spans="1:17" ht="15" thickTop="1">
      <c r="A122" s="597"/>
      <c r="B122" s="536" t="s">
        <v>2602</v>
      </c>
      <c r="C122" s="552"/>
      <c r="D122" s="552"/>
      <c r="E122" s="552"/>
      <c r="F122" s="581"/>
      <c r="G122" s="581"/>
      <c r="H122" s="581"/>
      <c r="I122" s="581"/>
      <c r="J122" s="581"/>
      <c r="K122" s="582"/>
      <c r="L122" s="583"/>
      <c r="M122" s="584"/>
      <c r="N122" s="1148"/>
      <c r="O122" s="1148"/>
      <c r="P122" s="2614"/>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49"/>
      <c r="O123" s="1149"/>
      <c r="P123" s="2614"/>
      <c r="Q123" s="502"/>
    </row>
    <row r="124" spans="1:17" ht="15" thickTop="1">
      <c r="A124" s="597"/>
      <c r="B124" s="536" t="s">
        <v>2603</v>
      </c>
      <c r="C124" s="576" t="s">
        <v>2579</v>
      </c>
      <c r="D124" s="576" t="s">
        <v>2580</v>
      </c>
      <c r="E124" s="576" t="s">
        <v>2581</v>
      </c>
      <c r="F124" s="576" t="s">
        <v>2582</v>
      </c>
      <c r="G124" s="576" t="s">
        <v>2583</v>
      </c>
      <c r="H124" s="537"/>
      <c r="I124" s="537"/>
      <c r="J124" s="537"/>
      <c r="K124" s="538"/>
      <c r="L124" s="539"/>
      <c r="M124" s="540"/>
      <c r="N124" s="1148"/>
      <c r="O124" s="1148"/>
      <c r="P124" s="2615"/>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9"/>
      <c r="O125" s="1149"/>
      <c r="P125" s="2614"/>
      <c r="Q125" s="502"/>
    </row>
    <row r="126" spans="1:17" s="469" customFormat="1" ht="15" thickTop="1">
      <c r="A126" s="591"/>
      <c r="B126" s="536">
        <f>B44</f>
        <v>111</v>
      </c>
      <c r="C126" s="552"/>
      <c r="D126" s="552"/>
      <c r="E126" s="552"/>
      <c r="F126" s="552"/>
      <c r="G126" s="552"/>
      <c r="H126" s="553"/>
      <c r="I126" s="553"/>
      <c r="J126" s="553"/>
      <c r="K126" s="553"/>
      <c r="L126" s="554"/>
      <c r="M126" s="555"/>
      <c r="N126" s="1150"/>
      <c r="O126" s="1150"/>
      <c r="P126" s="2615"/>
      <c r="Q126" s="557"/>
    </row>
    <row r="127" spans="1:17" s="469" customFormat="1" ht="15.75" thickBot="1">
      <c r="A127" s="551"/>
      <c r="B127" s="541"/>
      <c r="C127" s="558"/>
      <c r="D127" s="534"/>
      <c r="E127" s="534"/>
      <c r="F127" s="534"/>
      <c r="G127" s="558"/>
      <c r="H127" s="560"/>
      <c r="I127" s="560"/>
      <c r="J127" s="560"/>
      <c r="K127" s="560"/>
      <c r="L127" s="560"/>
      <c r="M127" s="561"/>
      <c r="N127" s="1150"/>
      <c r="O127" s="1150"/>
      <c r="P127" s="2615"/>
      <c r="Q127" s="557"/>
    </row>
    <row r="128" spans="1:17" ht="15" thickTop="1">
      <c r="A128" s="597"/>
      <c r="B128" s="536">
        <f>B45</f>
        <v>111</v>
      </c>
      <c r="C128" s="552"/>
      <c r="D128" s="552"/>
      <c r="E128" s="552"/>
      <c r="F128" s="552"/>
      <c r="G128" s="581"/>
      <c r="H128" s="581"/>
      <c r="I128" s="581"/>
      <c r="J128" s="581"/>
      <c r="K128" s="582"/>
      <c r="L128" s="583"/>
      <c r="M128" s="584"/>
      <c r="N128" s="1148"/>
      <c r="O128" s="1148"/>
      <c r="P128" s="2614"/>
      <c r="Q128" s="502"/>
    </row>
    <row r="129" spans="1:17" ht="15.75" thickBot="1">
      <c r="A129" s="532"/>
      <c r="B129" s="541"/>
      <c r="C129" s="558"/>
      <c r="D129" s="558"/>
      <c r="E129" s="558"/>
      <c r="F129" s="558"/>
      <c r="G129" s="534"/>
      <c r="H129" s="534"/>
      <c r="I129" s="534"/>
      <c r="J129" s="534"/>
      <c r="K129" s="534"/>
      <c r="L129" s="534"/>
      <c r="M129" s="535"/>
      <c r="N129" s="1149"/>
      <c r="O129" s="1149"/>
      <c r="P129" s="2614"/>
      <c r="Q129" s="502"/>
    </row>
    <row r="130" spans="1:17" ht="15" thickTop="1">
      <c r="A130" s="597"/>
      <c r="B130" s="544">
        <f>B46</f>
        <v>111</v>
      </c>
      <c r="C130" s="552"/>
      <c r="D130" s="552"/>
      <c r="E130" s="552"/>
      <c r="F130" s="552"/>
      <c r="G130" s="585"/>
      <c r="H130" s="585"/>
      <c r="I130" s="585"/>
      <c r="J130" s="585"/>
      <c r="K130" s="521"/>
      <c r="L130" s="522"/>
      <c r="M130" s="588"/>
      <c r="N130" s="1148"/>
      <c r="O130" s="1148"/>
      <c r="P130" s="2614"/>
      <c r="Q130" s="502"/>
    </row>
    <row r="131" spans="1:17" ht="15.75" thickBot="1">
      <c r="A131" s="2620"/>
      <c r="B131" s="567"/>
      <c r="C131" s="568"/>
      <c r="D131" s="568"/>
      <c r="E131" s="568"/>
      <c r="F131" s="568"/>
      <c r="G131" s="589"/>
      <c r="H131" s="589"/>
      <c r="I131" s="589"/>
      <c r="J131" s="589"/>
      <c r="K131" s="589"/>
      <c r="L131" s="589"/>
      <c r="M131" s="590"/>
      <c r="N131" s="1149"/>
      <c r="O131" s="1149"/>
      <c r="P131" s="2614"/>
      <c r="Q131" s="502"/>
    </row>
    <row r="136" spans="1:17" ht="15" thickBot="1">
      <c r="B136" s="2621" t="s">
        <v>2604</v>
      </c>
    </row>
    <row r="137" spans="1:17" ht="15">
      <c r="B137" s="2622" t="s">
        <v>2605</v>
      </c>
      <c r="C137" s="2623"/>
      <c r="D137" s="2623"/>
      <c r="E137" s="2623"/>
      <c r="F137" s="2623"/>
      <c r="G137" s="2624"/>
      <c r="H137" s="2625"/>
      <c r="I137" s="2626" t="s">
        <v>2606</v>
      </c>
      <c r="J137" s="2623"/>
      <c r="K137" s="2627"/>
    </row>
    <row r="138" spans="1:17" ht="15">
      <c r="B138" s="2628"/>
      <c r="C138" s="144" t="s">
        <v>2607</v>
      </c>
      <c r="D138" s="144" t="s">
        <v>2608</v>
      </c>
      <c r="E138" s="2629" t="s">
        <v>2609</v>
      </c>
      <c r="F138" s="2630" t="s">
        <v>2610</v>
      </c>
      <c r="G138" s="144" t="s">
        <v>2608</v>
      </c>
      <c r="H138" s="145" t="s">
        <v>2609</v>
      </c>
      <c r="I138" s="2631"/>
      <c r="J138" s="144" t="s">
        <v>2611</v>
      </c>
      <c r="K138" s="145" t="s">
        <v>2612</v>
      </c>
    </row>
    <row r="139" spans="1:17" ht="15">
      <c r="B139" s="1080">
        <v>6</v>
      </c>
      <c r="C139" s="1081">
        <v>96</v>
      </c>
      <c r="D139" s="2632" t="s">
        <v>2613</v>
      </c>
      <c r="E139" s="1082">
        <v>100</v>
      </c>
      <c r="F139" s="1083">
        <v>102.5</v>
      </c>
      <c r="G139" s="2632" t="s">
        <v>2613</v>
      </c>
      <c r="H139" s="1084">
        <v>105</v>
      </c>
      <c r="I139" s="2633" t="s">
        <v>2614</v>
      </c>
      <c r="J139" s="1081">
        <v>20</v>
      </c>
      <c r="K139" s="1085">
        <f>C145/(J139-2)</f>
        <v>4.0555555555555553E-3</v>
      </c>
    </row>
    <row r="140" spans="1:17" ht="15">
      <c r="B140" s="1086">
        <v>5</v>
      </c>
      <c r="C140" s="1087">
        <v>100</v>
      </c>
      <c r="D140" s="1087"/>
      <c r="E140" s="1088"/>
      <c r="F140" s="1089">
        <v>102</v>
      </c>
      <c r="G140" s="1087"/>
      <c r="H140" s="1090"/>
      <c r="I140" s="2634" t="s">
        <v>2615</v>
      </c>
      <c r="J140" s="313">
        <f>ROUNDUP((J139-1)/2,0)</f>
        <v>10</v>
      </c>
      <c r="K140" s="1091">
        <v>100</v>
      </c>
    </row>
    <row r="141" spans="1:17" ht="15">
      <c r="B141" s="1086">
        <v>4</v>
      </c>
      <c r="C141" s="1087">
        <v>102</v>
      </c>
      <c r="D141" s="1087"/>
      <c r="E141" s="1088"/>
      <c r="F141" s="1089">
        <v>101.5</v>
      </c>
      <c r="G141" s="1087"/>
      <c r="H141" s="1090"/>
      <c r="I141" s="2634" t="s">
        <v>2616</v>
      </c>
      <c r="J141" s="313">
        <v>1</v>
      </c>
      <c r="K141" s="1092">
        <f>ROUND(100+(J141-J140)*K139*100,1)</f>
        <v>96.4</v>
      </c>
    </row>
    <row r="142" spans="1:17" ht="15">
      <c r="B142" s="1086">
        <v>3</v>
      </c>
      <c r="C142" s="1087">
        <v>103</v>
      </c>
      <c r="D142" s="1087"/>
      <c r="E142" s="1088"/>
      <c r="F142" s="1089">
        <v>101</v>
      </c>
      <c r="G142" s="1087"/>
      <c r="H142" s="1090"/>
      <c r="I142" s="2634" t="s">
        <v>2617</v>
      </c>
      <c r="J142" s="313">
        <f>J139</f>
        <v>20</v>
      </c>
      <c r="K142" s="1093">
        <v>95</v>
      </c>
    </row>
    <row r="143" spans="1:17" ht="15">
      <c r="B143" s="1086">
        <v>2</v>
      </c>
      <c r="C143" s="1087">
        <v>100</v>
      </c>
      <c r="D143" s="1087"/>
      <c r="E143" s="1088"/>
      <c r="F143" s="1089">
        <v>100.5</v>
      </c>
      <c r="G143" s="1087"/>
      <c r="H143" s="1090"/>
      <c r="I143" s="2634" t="s">
        <v>2618</v>
      </c>
      <c r="J143" s="1087">
        <v>15</v>
      </c>
      <c r="K143" s="1092">
        <f>ROUND(100+(J143-J140)*K139*100,1)</f>
        <v>102</v>
      </c>
    </row>
    <row r="144" spans="1:17" ht="15">
      <c r="B144" s="1086">
        <v>1</v>
      </c>
      <c r="C144" s="1087">
        <v>98</v>
      </c>
      <c r="D144" s="2635" t="s">
        <v>2619</v>
      </c>
      <c r="E144" s="1088">
        <v>102</v>
      </c>
      <c r="F144" s="1094">
        <v>100</v>
      </c>
      <c r="G144" s="2635" t="s">
        <v>2619</v>
      </c>
      <c r="H144" s="1090">
        <v>105</v>
      </c>
      <c r="I144" s="2634" t="s">
        <v>2618</v>
      </c>
      <c r="J144" s="1087">
        <v>18</v>
      </c>
      <c r="K144" s="1092">
        <f>ROUND(100+(J144-J140)*K139*100,1)</f>
        <v>103.2</v>
      </c>
    </row>
    <row r="145" spans="2:11" ht="15.75" thickBot="1">
      <c r="B145" s="2636" t="s">
        <v>2620</v>
      </c>
      <c r="C145" s="1095">
        <f>ROUND(MAX(C139:C144)/MIN(C139:C144)-1,3)</f>
        <v>7.2999999999999995E-2</v>
      </c>
      <c r="D145" s="1096"/>
      <c r="E145" s="1096"/>
      <c r="F145" s="2637" t="s">
        <v>2621</v>
      </c>
      <c r="G145" s="2638"/>
      <c r="H145" s="2639"/>
      <c r="I145" s="2640" t="s">
        <v>2618</v>
      </c>
      <c r="J145" s="1097">
        <v>8</v>
      </c>
      <c r="K145" s="1098">
        <f>ROUND(100+(J145-J140)*K139*100,1)</f>
        <v>99.2</v>
      </c>
    </row>
    <row r="147" spans="2:11">
      <c r="B147" s="2621" t="s">
        <v>2622</v>
      </c>
    </row>
    <row r="148" spans="2:11">
      <c r="B148" s="2621" t="s">
        <v>2623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4" priority="15" stopIfTrue="1" operator="containsText" text="超过">
      <formula>NOT(ISERROR(SEARCH("超过",F52)))</formula>
    </cfRule>
  </conditionalFormatting>
  <conditionalFormatting sqref="J54">
    <cfRule type="containsText" dxfId="93" priority="14" stopIfTrue="1" operator="containsText" text="超过">
      <formula>NOT(ISERROR(SEARCH("超过",J54)))</formula>
    </cfRule>
  </conditionalFormatting>
  <conditionalFormatting sqref="H54">
    <cfRule type="containsText" dxfId="92" priority="13" stopIfTrue="1" operator="containsText" text="超过">
      <formula>NOT(ISERROR(SEARCH("超过",H54)))</formula>
    </cfRule>
  </conditionalFormatting>
  <conditionalFormatting sqref="F54">
    <cfRule type="containsText" dxfId="91" priority="12" stopIfTrue="1" operator="containsText" text="超过">
      <formula>NOT(ISERROR(SEARCH("超过",F54)))</formula>
    </cfRule>
  </conditionalFormatting>
  <conditionalFormatting sqref="F53 H53 J53">
    <cfRule type="containsText" dxfId="90" priority="11" stopIfTrue="1" operator="containsText" text="超过">
      <formula>NOT(ISERROR(SEARCH("超过",F53)))</formula>
    </cfRule>
  </conditionalFormatting>
  <conditionalFormatting sqref="E52">
    <cfRule type="expression" dxfId="89" priority="10" stopIfTrue="1">
      <formula>$F$52="超过30%"</formula>
    </cfRule>
  </conditionalFormatting>
  <conditionalFormatting sqref="G54">
    <cfRule type="expression" dxfId="88" priority="8" stopIfTrue="1">
      <formula>$H$54="超过30%"</formula>
    </cfRule>
  </conditionalFormatting>
  <conditionalFormatting sqref="E53">
    <cfRule type="expression" dxfId="87" priority="7" stopIfTrue="1">
      <formula>$F$53="超过20%"</formula>
    </cfRule>
  </conditionalFormatting>
  <conditionalFormatting sqref="E54">
    <cfRule type="expression" dxfId="86" priority="6" stopIfTrue="1">
      <formula>$F$54="超过30%"</formula>
    </cfRule>
  </conditionalFormatting>
  <conditionalFormatting sqref="G52">
    <cfRule type="expression" dxfId="85" priority="5" stopIfTrue="1">
      <formula>$H$52="超过30%"</formula>
    </cfRule>
  </conditionalFormatting>
  <conditionalFormatting sqref="G53">
    <cfRule type="expression" dxfId="84" priority="4" stopIfTrue="1">
      <formula>$H$53="超过20%"</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0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2510</v>
      </c>
      <c r="B1" s="2566" t="s">
        <v>2624</v>
      </c>
      <c r="C1" s="1628" t="s">
        <v>2512</v>
      </c>
      <c r="D1" s="1615"/>
      <c r="E1" s="2641"/>
      <c r="F1" s="2568"/>
      <c r="G1" s="1625" t="s">
        <v>2625</v>
      </c>
      <c r="H1" s="1624"/>
      <c r="I1" s="1624"/>
      <c r="J1" s="1624"/>
      <c r="K1" s="1626"/>
      <c r="L1" s="1627"/>
      <c r="M1" s="1628"/>
      <c r="N1" s="1628"/>
      <c r="O1" s="1628"/>
      <c r="P1" s="2642"/>
      <c r="Q1" s="2643"/>
      <c r="R1" s="2643"/>
      <c r="S1" s="2643"/>
      <c r="T1" s="2643"/>
      <c r="U1" s="2643"/>
      <c r="V1" s="2643"/>
      <c r="W1" s="2643"/>
      <c r="X1" s="2643"/>
      <c r="Y1" s="2643"/>
      <c r="Z1" s="2643"/>
      <c r="AA1" s="2643"/>
      <c r="AB1" s="2643"/>
      <c r="AC1" s="2644"/>
    </row>
    <row r="2" spans="1:29" s="396" customFormat="1" ht="28.5" customHeight="1" thickTop="1">
      <c r="A2" s="1611" t="s">
        <v>2312</v>
      </c>
      <c r="B2" s="1414" t="e">
        <f ca="1">IF(C2="——",ROUND(C49*D3/10000,0),ROUND(C49*D3/10000,0)-D2)</f>
        <v>#DIV/0!</v>
      </c>
      <c r="C2" s="2570"/>
      <c r="D2" s="1361" t="e">
        <f ca="1">SUMIF(INDIRECT("'"&amp;F2&amp;"'"&amp;"!A:A"),"承租人权益价值",INDIRECT("'"&amp;F2&amp;"'"&amp;"!c:c"))</f>
        <v>#REF!</v>
      </c>
      <c r="E2" s="2571" t="s">
        <v>2313</v>
      </c>
      <c r="F2" s="2572"/>
      <c r="G2" s="1121"/>
      <c r="H2" s="1121"/>
      <c r="I2" s="1121"/>
      <c r="J2" s="1121"/>
      <c r="K2" s="1121"/>
      <c r="L2" s="1124"/>
      <c r="M2" s="1125"/>
      <c r="N2" s="1125"/>
      <c r="O2" s="1125"/>
      <c r="P2" s="2645"/>
      <c r="Q2" s="1125"/>
      <c r="R2" s="1125"/>
      <c r="S2" s="1125"/>
      <c r="T2" s="1125"/>
      <c r="U2" s="1125"/>
      <c r="V2" s="1125"/>
      <c r="W2" s="1125"/>
      <c r="X2" s="1125"/>
      <c r="Y2" s="1125"/>
      <c r="Z2" s="1125"/>
      <c r="AA2" s="1125"/>
      <c r="AB2" s="1125"/>
      <c r="AC2" s="2646"/>
    </row>
    <row r="3" spans="1:29" s="396" customFormat="1" ht="28.5" customHeight="1" thickBot="1">
      <c r="A3" s="245" t="s">
        <v>2314</v>
      </c>
      <c r="B3" s="607" t="e">
        <f ca="1">IF(C2="——",C49,ROUND(B2*10000/D3,0))</f>
        <v>#DIV/0!</v>
      </c>
      <c r="C3" s="398" t="s">
        <v>2626</v>
      </c>
      <c r="D3" s="397">
        <f>IF(D1="",'数据-汇总表'!E3,SUMIF('数据-汇总表'!$C19:$C33,D1,'数据-汇总表'!$E19:$E33))</f>
        <v>149246.95000000001</v>
      </c>
      <c r="E3" s="2647"/>
      <c r="F3" s="1122"/>
      <c r="G3" s="1121"/>
      <c r="H3" s="1121"/>
      <c r="I3" s="1121"/>
      <c r="J3" s="1121"/>
      <c r="K3" s="1123"/>
      <c r="L3" s="1124"/>
      <c r="M3" s="1125"/>
      <c r="N3" s="1125"/>
      <c r="O3" s="1125"/>
      <c r="P3" s="2645"/>
      <c r="Q3" s="1125"/>
      <c r="R3" s="1125"/>
      <c r="S3" s="1125"/>
      <c r="T3" s="1125"/>
      <c r="U3" s="1125"/>
      <c r="V3" s="1125"/>
      <c r="W3" s="1125"/>
      <c r="X3" s="1125"/>
      <c r="Y3" s="1125"/>
      <c r="Z3" s="1125"/>
      <c r="AA3" s="1125"/>
      <c r="AB3" s="1125"/>
      <c r="AC3" s="2647"/>
    </row>
    <row r="4" spans="1:29" ht="15">
      <c r="A4" s="399" t="s">
        <v>2627</v>
      </c>
      <c r="B4" s="400"/>
      <c r="C4" s="3337" t="s">
        <v>2628</v>
      </c>
      <c r="D4" s="3350"/>
      <c r="E4" s="3351" t="s">
        <v>2629</v>
      </c>
      <c r="F4" s="3352"/>
      <c r="G4" s="3337" t="s">
        <v>2630</v>
      </c>
      <c r="H4" s="3350"/>
      <c r="I4" s="3337" t="s">
        <v>2631</v>
      </c>
      <c r="J4" s="3350"/>
      <c r="K4" s="608" t="s">
        <v>2632</v>
      </c>
      <c r="L4" s="1126"/>
      <c r="M4" s="1127"/>
      <c r="N4" s="1127"/>
      <c r="O4" s="1127"/>
      <c r="P4" s="3353" t="s">
        <v>2633</v>
      </c>
      <c r="Q4" s="3354"/>
      <c r="R4" s="3359" t="s">
        <v>2629</v>
      </c>
      <c r="S4" s="3360"/>
      <c r="T4" s="3359" t="s">
        <v>2630</v>
      </c>
      <c r="U4" s="3360"/>
      <c r="V4" s="3346" t="s">
        <v>2631</v>
      </c>
      <c r="W4" s="3346"/>
      <c r="X4" s="1807"/>
      <c r="Y4" s="3359" t="s">
        <v>2633</v>
      </c>
      <c r="Z4" s="3360"/>
      <c r="AA4" s="3347" t="s">
        <v>2629</v>
      </c>
      <c r="AB4" s="3346" t="s">
        <v>2630</v>
      </c>
      <c r="AC4" s="3347" t="s">
        <v>2631</v>
      </c>
    </row>
    <row r="5" spans="1:29" ht="15">
      <c r="A5" s="402"/>
      <c r="B5" s="403"/>
      <c r="C5" s="3367" t="s">
        <v>2524</v>
      </c>
      <c r="D5" s="3368"/>
      <c r="E5" s="3374" t="s">
        <v>2525</v>
      </c>
      <c r="F5" s="3375"/>
      <c r="G5" s="3367" t="s">
        <v>2526</v>
      </c>
      <c r="H5" s="3368"/>
      <c r="I5" s="3367" t="s">
        <v>2527</v>
      </c>
      <c r="J5" s="3368"/>
      <c r="K5" s="608"/>
      <c r="L5" s="1126"/>
      <c r="M5" s="1127"/>
      <c r="N5" s="1127"/>
      <c r="O5" s="1127"/>
      <c r="P5" s="3355"/>
      <c r="Q5" s="3356"/>
      <c r="R5" s="3361"/>
      <c r="S5" s="3362"/>
      <c r="T5" s="3361"/>
      <c r="U5" s="3362"/>
      <c r="V5" s="3346"/>
      <c r="W5" s="3346"/>
      <c r="X5" s="1807"/>
      <c r="Y5" s="3361"/>
      <c r="Z5" s="3362"/>
      <c r="AA5" s="3348"/>
      <c r="AB5" s="3346"/>
      <c r="AC5" s="3348"/>
    </row>
    <row r="6" spans="1:29" ht="15.75" thickBot="1">
      <c r="A6" s="404"/>
      <c r="B6" s="405"/>
      <c r="C6" s="3365" t="s">
        <v>2528</v>
      </c>
      <c r="D6" s="3366"/>
      <c r="E6" s="3372" t="s">
        <v>2528</v>
      </c>
      <c r="F6" s="3373"/>
      <c r="G6" s="3365" t="s">
        <v>2528</v>
      </c>
      <c r="H6" s="3366"/>
      <c r="I6" s="3365" t="s">
        <v>2528</v>
      </c>
      <c r="J6" s="3366"/>
      <c r="K6" s="608" t="s">
        <v>2529</v>
      </c>
      <c r="L6" s="1126"/>
      <c r="M6" s="1127"/>
      <c r="N6" s="1127"/>
      <c r="O6" s="1127"/>
      <c r="P6" s="3357"/>
      <c r="Q6" s="3358"/>
      <c r="R6" s="3361"/>
      <c r="S6" s="3362"/>
      <c r="T6" s="3363"/>
      <c r="U6" s="3364"/>
      <c r="V6" s="3346"/>
      <c r="W6" s="3346"/>
      <c r="X6" s="1807"/>
      <c r="Y6" s="3363"/>
      <c r="Z6" s="3364"/>
      <c r="AA6" s="3349"/>
      <c r="AB6" s="3346"/>
      <c r="AC6" s="3349"/>
    </row>
    <row r="7" spans="1:29" s="115" customFormat="1" ht="15.75" thickBot="1">
      <c r="A7" s="406" t="s">
        <v>2530</v>
      </c>
      <c r="B7" s="407"/>
      <c r="C7" s="408">
        <f>'数据-取费表'!B2</f>
        <v>43878</v>
      </c>
      <c r="D7" s="409">
        <v>100</v>
      </c>
      <c r="E7" s="410"/>
      <c r="F7" s="411">
        <f>SUMIF(58:58,YEAR(E7)&amp;"-"&amp;MONTH(E7),59:59)</f>
        <v>0</v>
      </c>
      <c r="G7" s="410"/>
      <c r="H7" s="409">
        <f>SUMIF(58:58,YEAR(G7)&amp;"-"&amp;MONTH(G7),59:59)</f>
        <v>0</v>
      </c>
      <c r="I7" s="410"/>
      <c r="J7" s="409">
        <f>SUMIF(58:58,YEAR(I7)&amp;"-"&amp;MONTH(I7),59:59)</f>
        <v>0</v>
      </c>
      <c r="K7" s="609"/>
      <c r="L7" s="1128"/>
      <c r="M7" s="1129"/>
      <c r="N7" s="1129"/>
      <c r="O7" s="1129"/>
      <c r="P7" s="3369" t="s">
        <v>2531</v>
      </c>
      <c r="Q7" s="3371"/>
      <c r="R7" s="768" t="s">
        <v>17</v>
      </c>
      <c r="S7" s="769">
        <f t="shared" ref="S7:S15" si="0">F7</f>
        <v>0</v>
      </c>
      <c r="T7" s="768" t="s">
        <v>17</v>
      </c>
      <c r="U7" s="769">
        <f t="shared" ref="U7:U15" si="1">H7</f>
        <v>0</v>
      </c>
      <c r="V7" s="768" t="s">
        <v>17</v>
      </c>
      <c r="W7" s="769">
        <f t="shared" ref="W7:W15" si="2">J7</f>
        <v>0</v>
      </c>
      <c r="X7" s="770"/>
      <c r="Y7" s="3369" t="s">
        <v>2531</v>
      </c>
      <c r="Z7" s="3370"/>
      <c r="AA7" s="771" t="e">
        <f>D7/F7</f>
        <v>#DIV/0!</v>
      </c>
      <c r="AB7" s="771" t="e">
        <f>D7/H7</f>
        <v>#DIV/0!</v>
      </c>
      <c r="AC7" s="771" t="e">
        <f>D7/J7</f>
        <v>#DIV/0!</v>
      </c>
    </row>
    <row r="8" spans="1:29" s="115" customFormat="1" ht="15.75" thickBot="1">
      <c r="A8" s="406" t="s">
        <v>2532</v>
      </c>
      <c r="B8" s="407"/>
      <c r="C8" s="412" t="s">
        <v>2634</v>
      </c>
      <c r="D8" s="409">
        <v>100</v>
      </c>
      <c r="E8" s="412"/>
      <c r="F8" s="411">
        <f>SUMIF(61:61,E8,62:62)-SUMIF(61:61,C8,62:62)+100</f>
        <v>0</v>
      </c>
      <c r="G8" s="412"/>
      <c r="H8" s="409">
        <f>SUMIF(61:61,G8,62:62)-SUMIF(61:61,C8,62:62)+100</f>
        <v>0</v>
      </c>
      <c r="I8" s="412"/>
      <c r="J8" s="409">
        <f>SUMIF(61:61,I8,62:62)-SUMIF(61:61,C8,62:62)+100</f>
        <v>0</v>
      </c>
      <c r="K8" s="609"/>
      <c r="L8" s="1128"/>
      <c r="M8" s="1129"/>
      <c r="N8" s="1129"/>
      <c r="O8" s="1129"/>
      <c r="P8" s="3369" t="s">
        <v>2534</v>
      </c>
      <c r="Q8" s="3370"/>
      <c r="R8" s="768" t="s">
        <v>17</v>
      </c>
      <c r="S8" s="769">
        <f t="shared" si="0"/>
        <v>0</v>
      </c>
      <c r="T8" s="768" t="s">
        <v>17</v>
      </c>
      <c r="U8" s="769">
        <f t="shared" si="1"/>
        <v>0</v>
      </c>
      <c r="V8" s="768" t="s">
        <v>17</v>
      </c>
      <c r="W8" s="769">
        <f t="shared" si="2"/>
        <v>0</v>
      </c>
      <c r="X8" s="770"/>
      <c r="Y8" s="3369" t="s">
        <v>2534</v>
      </c>
      <c r="Z8" s="3370"/>
      <c r="AA8" s="771" t="e">
        <f t="shared" ref="AA8:AA46" si="3">D8/F8</f>
        <v>#DIV/0!</v>
      </c>
      <c r="AB8" s="771" t="e">
        <f t="shared" ref="AB8:AB46" si="4">D8/H8</f>
        <v>#DIV/0!</v>
      </c>
      <c r="AC8" s="771" t="e">
        <f t="shared" ref="AC8:AC46" si="5">D8/J8</f>
        <v>#DIV/0!</v>
      </c>
    </row>
    <row r="9" spans="1:29" s="115" customFormat="1">
      <c r="A9" s="413" t="s">
        <v>2535</v>
      </c>
      <c r="B9" s="70" t="s">
        <v>2536</v>
      </c>
      <c r="C9" s="414"/>
      <c r="D9" s="133">
        <v>100</v>
      </c>
      <c r="E9" s="415"/>
      <c r="F9" s="416">
        <f>SUMIF(63:63,E9,64:64)-SUMIF(63:63,C9,64:64)+100</f>
        <v>100</v>
      </c>
      <c r="G9" s="415"/>
      <c r="H9" s="133">
        <f>SUMIF(63:63,G9,64:64)-SUMIF(63:63,C9,64:64)+100</f>
        <v>100</v>
      </c>
      <c r="I9" s="415"/>
      <c r="J9" s="133">
        <f>SUMIF(63:63,I9,64:64)-SUMIF(63:63,C9,64:64)+100</f>
        <v>100</v>
      </c>
      <c r="K9" s="609"/>
      <c r="L9" s="1128"/>
      <c r="M9" s="1129"/>
      <c r="N9" s="1129"/>
      <c r="O9" s="1129"/>
      <c r="P9" s="3339" t="s">
        <v>2537</v>
      </c>
      <c r="Q9" s="1789" t="str">
        <f t="shared" ref="Q9:Q15" si="6">B9</f>
        <v>用途</v>
      </c>
      <c r="R9" s="768" t="s">
        <v>17</v>
      </c>
      <c r="S9" s="769">
        <f t="shared" si="0"/>
        <v>100</v>
      </c>
      <c r="T9" s="768" t="s">
        <v>17</v>
      </c>
      <c r="U9" s="769">
        <f t="shared" si="1"/>
        <v>100</v>
      </c>
      <c r="V9" s="768" t="s">
        <v>17</v>
      </c>
      <c r="W9" s="769">
        <f t="shared" si="2"/>
        <v>100</v>
      </c>
      <c r="X9" s="770"/>
      <c r="Y9" s="3168" t="s">
        <v>2538</v>
      </c>
      <c r="Z9" s="55" t="str">
        <f t="shared" ref="Z9:Z15" si="7">Q9</f>
        <v>用途</v>
      </c>
      <c r="AA9" s="771">
        <f t="shared" si="3"/>
        <v>1</v>
      </c>
      <c r="AB9" s="771">
        <f t="shared" si="4"/>
        <v>1</v>
      </c>
      <c r="AC9" s="771">
        <f t="shared" si="5"/>
        <v>1</v>
      </c>
    </row>
    <row r="10" spans="1:29" s="425" customFormat="1" ht="27">
      <c r="A10" s="419"/>
      <c r="B10" s="420" t="s">
        <v>2539</v>
      </c>
      <c r="C10" s="421"/>
      <c r="D10" s="134">
        <v>100</v>
      </c>
      <c r="E10" s="422"/>
      <c r="F10" s="423">
        <f>SUMIF(65:65,E10,66:66)-SUMIF(65:65,C10,66:66)+100</f>
        <v>100</v>
      </c>
      <c r="G10" s="421"/>
      <c r="H10" s="134">
        <f>SUMIF(65:65,G10,66:66)-SUMIF(65:65,C10,66:66)+100</f>
        <v>100</v>
      </c>
      <c r="I10" s="421"/>
      <c r="J10" s="134">
        <f>SUMIF(65:65,I10,66:66)-SUMIF(65:65,C10,66:66)+100</f>
        <v>100</v>
      </c>
      <c r="K10" s="610"/>
      <c r="L10" s="1131"/>
      <c r="M10" s="1132"/>
      <c r="N10" s="1132"/>
      <c r="O10" s="1132"/>
      <c r="P10" s="3339"/>
      <c r="Q10" s="1789" t="str">
        <f t="shared" si="6"/>
        <v>土地使用年限（年）</v>
      </c>
      <c r="R10" s="768" t="s">
        <v>17</v>
      </c>
      <c r="S10" s="769">
        <f t="shared" si="0"/>
        <v>100</v>
      </c>
      <c r="T10" s="768" t="s">
        <v>17</v>
      </c>
      <c r="U10" s="769">
        <f t="shared" si="1"/>
        <v>100</v>
      </c>
      <c r="V10" s="768" t="s">
        <v>17</v>
      </c>
      <c r="W10" s="769">
        <f t="shared" si="2"/>
        <v>100</v>
      </c>
      <c r="X10" s="770"/>
      <c r="Y10" s="3168"/>
      <c r="Z10" s="55" t="str">
        <f t="shared" si="7"/>
        <v>土地使用年限（年）</v>
      </c>
      <c r="AA10" s="771">
        <f t="shared" si="3"/>
        <v>1</v>
      </c>
      <c r="AB10" s="771">
        <f t="shared" si="4"/>
        <v>1</v>
      </c>
      <c r="AC10" s="771">
        <f t="shared" si="5"/>
        <v>1</v>
      </c>
    </row>
    <row r="11" spans="1:29" ht="15">
      <c r="A11" s="426"/>
      <c r="B11" s="420" t="s">
        <v>2540</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4"/>
      <c r="M11" s="1127"/>
      <c r="N11" s="1127"/>
      <c r="O11" s="1127"/>
      <c r="P11" s="3339"/>
      <c r="Q11" s="1789" t="str">
        <f t="shared" si="6"/>
        <v>容积率</v>
      </c>
      <c r="R11" s="768" t="s">
        <v>17</v>
      </c>
      <c r="S11" s="769" t="e">
        <f t="shared" si="0"/>
        <v>#N/A</v>
      </c>
      <c r="T11" s="768" t="s">
        <v>17</v>
      </c>
      <c r="U11" s="769" t="e">
        <f t="shared" si="1"/>
        <v>#N/A</v>
      </c>
      <c r="V11" s="768" t="s">
        <v>17</v>
      </c>
      <c r="W11" s="769" t="e">
        <f t="shared" si="2"/>
        <v>#N/A</v>
      </c>
      <c r="X11" s="770"/>
      <c r="Y11" s="3168"/>
      <c r="Z11" s="55" t="str">
        <f t="shared" si="7"/>
        <v>容积率</v>
      </c>
      <c r="AA11" s="771" t="e">
        <f t="shared" si="3"/>
        <v>#N/A</v>
      </c>
      <c r="AB11" s="771" t="e">
        <f t="shared" si="4"/>
        <v>#N/A</v>
      </c>
      <c r="AC11" s="771" t="e">
        <f t="shared" si="5"/>
        <v>#N/A</v>
      </c>
    </row>
    <row r="12" spans="1:29" s="115" customFormat="1" ht="15">
      <c r="A12" s="429"/>
      <c r="B12" s="2584">
        <v>111</v>
      </c>
      <c r="C12" s="430"/>
      <c r="D12" s="431">
        <v>100</v>
      </c>
      <c r="E12" s="432"/>
      <c r="F12" s="423">
        <f>SUMIF(70:70,E12,71:71)-SUMIF(70:70,C12,71:71)+100</f>
        <v>100</v>
      </c>
      <c r="G12" s="432"/>
      <c r="H12" s="134">
        <f>SUMIF(70:70,G12,71:71)-SUMIF(70:70,C12,71:71)+100</f>
        <v>100</v>
      </c>
      <c r="I12" s="432"/>
      <c r="J12" s="134">
        <f>SUMIF(70:70,I12,71:71)-SUMIF(70:70,C12,71:71)+100</f>
        <v>100</v>
      </c>
      <c r="K12" s="611"/>
      <c r="L12" s="1128"/>
      <c r="M12" s="1129"/>
      <c r="N12" s="1129"/>
      <c r="O12" s="1129"/>
      <c r="P12" s="3339"/>
      <c r="Q12" s="1789">
        <f t="shared" si="6"/>
        <v>111</v>
      </c>
      <c r="R12" s="768" t="s">
        <v>17</v>
      </c>
      <c r="S12" s="769">
        <f t="shared" si="0"/>
        <v>100</v>
      </c>
      <c r="T12" s="768" t="s">
        <v>17</v>
      </c>
      <c r="U12" s="769">
        <f t="shared" si="1"/>
        <v>100</v>
      </c>
      <c r="V12" s="768" t="s">
        <v>17</v>
      </c>
      <c r="W12" s="769">
        <f t="shared" si="2"/>
        <v>100</v>
      </c>
      <c r="X12" s="770"/>
      <c r="Y12" s="3168"/>
      <c r="Z12" s="55">
        <f t="shared" si="7"/>
        <v>111</v>
      </c>
      <c r="AA12" s="771">
        <f>D12/F12</f>
        <v>1</v>
      </c>
      <c r="AB12" s="771">
        <f>D12/H12</f>
        <v>1</v>
      </c>
      <c r="AC12" s="771">
        <f>D12/J12</f>
        <v>1</v>
      </c>
    </row>
    <row r="13" spans="1:29" ht="15">
      <c r="A13" s="426"/>
      <c r="B13" s="2584">
        <v>111</v>
      </c>
      <c r="C13" s="432"/>
      <c r="D13" s="433">
        <v>100</v>
      </c>
      <c r="E13" s="432"/>
      <c r="F13" s="423">
        <f>SUMIF(72:72,E13,73:73)-SUMIF(72:72,C13,73:73)+100</f>
        <v>100</v>
      </c>
      <c r="G13" s="432"/>
      <c r="H13" s="433">
        <f>SUMIF(72:72,G13,73:73)-SUMIF(72:72,C13,73:73)+100</f>
        <v>100</v>
      </c>
      <c r="I13" s="432"/>
      <c r="J13" s="433">
        <f>SUMIF(72:72,I13,73:73)-SUMIF(72:72,C13,73:73)+100</f>
        <v>100</v>
      </c>
      <c r="K13" s="611"/>
      <c r="L13" s="1136"/>
      <c r="M13" s="1127"/>
      <c r="N13" s="1127"/>
      <c r="O13" s="1127"/>
      <c r="P13" s="3339"/>
      <c r="Q13" s="1789">
        <f t="shared" si="6"/>
        <v>111</v>
      </c>
      <c r="R13" s="768" t="s">
        <v>17</v>
      </c>
      <c r="S13" s="769">
        <f t="shared" si="0"/>
        <v>100</v>
      </c>
      <c r="T13" s="768" t="s">
        <v>17</v>
      </c>
      <c r="U13" s="769">
        <f t="shared" si="1"/>
        <v>100</v>
      </c>
      <c r="V13" s="768" t="s">
        <v>17</v>
      </c>
      <c r="W13" s="769">
        <f t="shared" si="2"/>
        <v>100</v>
      </c>
      <c r="X13" s="770"/>
      <c r="Y13" s="3168"/>
      <c r="Z13" s="55">
        <f t="shared" si="7"/>
        <v>111</v>
      </c>
      <c r="AA13" s="771">
        <f t="shared" si="3"/>
        <v>1</v>
      </c>
      <c r="AB13" s="771">
        <f t="shared" si="4"/>
        <v>1</v>
      </c>
      <c r="AC13" s="771">
        <f t="shared" si="5"/>
        <v>1</v>
      </c>
    </row>
    <row r="14" spans="1:29" ht="15.75" thickBot="1">
      <c r="A14" s="434"/>
      <c r="B14" s="2586">
        <v>111</v>
      </c>
      <c r="C14" s="435"/>
      <c r="D14" s="436">
        <v>100</v>
      </c>
      <c r="E14" s="432"/>
      <c r="F14" s="437">
        <f>SUMIF(74:74,E14,75:75)-SUMIF(74:74,C14,75:75)+100</f>
        <v>100</v>
      </c>
      <c r="G14" s="432"/>
      <c r="H14" s="436">
        <f>SUMIF(74:74,G14,75:75)-SUMIF(74:74,C14,75:75)+100</f>
        <v>100</v>
      </c>
      <c r="I14" s="432"/>
      <c r="J14" s="436">
        <f>SUMIF(74:74,I14,75:75)-SUMIF(74:74,C14,75:75)+100</f>
        <v>100</v>
      </c>
      <c r="K14" s="611"/>
      <c r="L14" s="1136"/>
      <c r="M14" s="1127"/>
      <c r="N14" s="1127"/>
      <c r="O14" s="1127"/>
      <c r="P14" s="3339"/>
      <c r="Q14" s="1789">
        <f t="shared" si="6"/>
        <v>111</v>
      </c>
      <c r="R14" s="768" t="s">
        <v>17</v>
      </c>
      <c r="S14" s="769">
        <f t="shared" si="0"/>
        <v>100</v>
      </c>
      <c r="T14" s="768" t="s">
        <v>17</v>
      </c>
      <c r="U14" s="769">
        <f t="shared" si="1"/>
        <v>100</v>
      </c>
      <c r="V14" s="768" t="s">
        <v>17</v>
      </c>
      <c r="W14" s="769">
        <f t="shared" si="2"/>
        <v>100</v>
      </c>
      <c r="X14" s="770"/>
      <c r="Y14" s="3168"/>
      <c r="Z14" s="55">
        <f t="shared" si="7"/>
        <v>111</v>
      </c>
      <c r="AA14" s="771">
        <f t="shared" si="3"/>
        <v>1</v>
      </c>
      <c r="AB14" s="771">
        <f t="shared" si="4"/>
        <v>1</v>
      </c>
      <c r="AC14" s="771">
        <f t="shared" si="5"/>
        <v>1</v>
      </c>
    </row>
    <row r="15" spans="1:29" ht="15">
      <c r="A15" s="438" t="s">
        <v>2541</v>
      </c>
      <c r="B15" s="68" t="s">
        <v>2635</v>
      </c>
      <c r="C15" s="2587" t="str">
        <f>估价对象房地状况!C4</f>
        <v>较差</v>
      </c>
      <c r="D15" s="439">
        <v>100</v>
      </c>
      <c r="E15" s="440"/>
      <c r="F15" s="441">
        <f>SUMIF(76:76,E16,77:77)-SUMIF(76:76,C16,77:77)+100</f>
        <v>100</v>
      </c>
      <c r="G15" s="442"/>
      <c r="H15" s="439">
        <f>SUMIF(76:76,G16,77:77)-SUMIF(76:76,C16,77:77)+100</f>
        <v>100</v>
      </c>
      <c r="I15" s="440"/>
      <c r="J15" s="439">
        <f>SUMIF(76:76,I16,77:77)-SUMIF(76:76,C16,77:77)+100</f>
        <v>100</v>
      </c>
      <c r="K15" s="612"/>
      <c r="L15" s="1136"/>
      <c r="M15" s="1127"/>
      <c r="N15" s="1127"/>
      <c r="O15" s="1127"/>
      <c r="P15" s="3409" t="s">
        <v>2542</v>
      </c>
      <c r="Q15" s="1804" t="str">
        <f t="shared" si="6"/>
        <v>商业繁华度</v>
      </c>
      <c r="R15" s="772" t="s">
        <v>17</v>
      </c>
      <c r="S15" s="773">
        <f t="shared" si="0"/>
        <v>100</v>
      </c>
      <c r="T15" s="772" t="s">
        <v>17</v>
      </c>
      <c r="U15" s="773">
        <f t="shared" si="1"/>
        <v>100</v>
      </c>
      <c r="V15" s="772" t="s">
        <v>17</v>
      </c>
      <c r="W15" s="773">
        <f t="shared" si="2"/>
        <v>100</v>
      </c>
      <c r="X15" s="1807"/>
      <c r="Y15" s="3342" t="s">
        <v>2542</v>
      </c>
      <c r="Z15" s="1808" t="str">
        <f t="shared" si="7"/>
        <v>商业繁华度</v>
      </c>
      <c r="AA15" s="1805">
        <f t="shared" si="3"/>
        <v>1</v>
      </c>
      <c r="AB15" s="1805">
        <f t="shared" si="4"/>
        <v>1</v>
      </c>
      <c r="AC15" s="1805">
        <f t="shared" si="5"/>
        <v>1</v>
      </c>
    </row>
    <row r="16" spans="1:29" ht="15">
      <c r="A16" s="426"/>
      <c r="B16" s="444"/>
      <c r="C16" s="445"/>
      <c r="D16" s="446"/>
      <c r="E16" s="445"/>
      <c r="F16" s="447"/>
      <c r="G16" s="445"/>
      <c r="H16" s="448"/>
      <c r="I16" s="445"/>
      <c r="J16" s="446"/>
      <c r="K16" s="613"/>
      <c r="L16" s="1136"/>
      <c r="M16" s="1127"/>
      <c r="N16" s="1127"/>
      <c r="O16" s="1127"/>
      <c r="P16" s="3410"/>
      <c r="Q16" s="1804"/>
      <c r="R16" s="772"/>
      <c r="S16" s="773"/>
      <c r="T16" s="772"/>
      <c r="U16" s="773"/>
      <c r="V16" s="772"/>
      <c r="W16" s="773"/>
      <c r="X16" s="1807"/>
      <c r="Y16" s="3343"/>
      <c r="Z16" s="1808"/>
      <c r="AA16" s="1805">
        <v>1</v>
      </c>
      <c r="AB16" s="1805">
        <v>1</v>
      </c>
      <c r="AC16" s="1805">
        <v>1</v>
      </c>
    </row>
    <row r="17" spans="1:29" ht="15">
      <c r="A17" s="426"/>
      <c r="B17" s="449" t="s">
        <v>2083</v>
      </c>
      <c r="C17" s="2591" t="str">
        <f>估价对象房地状况!C6</f>
        <v>一般</v>
      </c>
      <c r="D17" s="448">
        <v>100</v>
      </c>
      <c r="E17" s="450"/>
      <c r="F17" s="451">
        <f>SUMIF(78:78,E18,79:79)-SUMIF(78:78,C18,79:79)+100</f>
        <v>100</v>
      </c>
      <c r="G17" s="452"/>
      <c r="H17" s="453">
        <f>SUMIF(78:78,G18,79:79)-SUMIF(78:78,C18,79:79)+100</f>
        <v>100</v>
      </c>
      <c r="I17" s="450"/>
      <c r="J17" s="453">
        <f>SUMIF(78:78,I18,79:79)-SUMIF(78:78,C18,79:79)+100</f>
        <v>100</v>
      </c>
      <c r="K17" s="612"/>
      <c r="L17" s="1136"/>
      <c r="M17" s="1127"/>
      <c r="N17" s="1127"/>
      <c r="O17" s="1127"/>
      <c r="P17" s="3410"/>
      <c r="Q17" s="1804" t="str">
        <f>B17</f>
        <v>交通便捷度</v>
      </c>
      <c r="R17" s="772" t="s">
        <v>17</v>
      </c>
      <c r="S17" s="773">
        <f>F17</f>
        <v>100</v>
      </c>
      <c r="T17" s="772" t="s">
        <v>17</v>
      </c>
      <c r="U17" s="773">
        <f>H17</f>
        <v>100</v>
      </c>
      <c r="V17" s="772" t="s">
        <v>17</v>
      </c>
      <c r="W17" s="773">
        <f>J17</f>
        <v>100</v>
      </c>
      <c r="X17" s="1807"/>
      <c r="Y17" s="3343"/>
      <c r="Z17" s="1808" t="str">
        <f>Q17</f>
        <v>交通便捷度</v>
      </c>
      <c r="AA17" s="1805">
        <f t="shared" si="3"/>
        <v>1</v>
      </c>
      <c r="AB17" s="1805">
        <f t="shared" si="4"/>
        <v>1</v>
      </c>
      <c r="AC17" s="1805">
        <f t="shared" si="5"/>
        <v>1</v>
      </c>
    </row>
    <row r="18" spans="1:29" ht="15">
      <c r="A18" s="426"/>
      <c r="B18" s="454"/>
      <c r="C18" s="2592"/>
      <c r="D18" s="448"/>
      <c r="E18" s="2594"/>
      <c r="F18" s="451"/>
      <c r="G18" s="2593"/>
      <c r="H18" s="446"/>
      <c r="I18" s="2594"/>
      <c r="J18" s="446"/>
      <c r="K18" s="613"/>
      <c r="L18" s="1136"/>
      <c r="M18" s="1127"/>
      <c r="N18" s="1127"/>
      <c r="O18" s="1127"/>
      <c r="P18" s="3410"/>
      <c r="Q18" s="1804"/>
      <c r="R18" s="772"/>
      <c r="S18" s="773"/>
      <c r="T18" s="772"/>
      <c r="U18" s="773"/>
      <c r="V18" s="772"/>
      <c r="W18" s="773"/>
      <c r="X18" s="1807"/>
      <c r="Y18" s="3343"/>
      <c r="Z18" s="1808"/>
      <c r="AA18" s="1805">
        <v>1</v>
      </c>
      <c r="AB18" s="1805">
        <v>1</v>
      </c>
      <c r="AC18" s="1805">
        <v>1</v>
      </c>
    </row>
    <row r="19" spans="1:29" ht="15">
      <c r="A19" s="426"/>
      <c r="B19" s="449" t="s">
        <v>2636</v>
      </c>
      <c r="C19" s="2591" t="str">
        <f>估价对象房地状况!C7</f>
        <v>一般</v>
      </c>
      <c r="D19" s="453">
        <v>100</v>
      </c>
      <c r="E19" s="455"/>
      <c r="F19" s="456">
        <f>SUMIF(80:80,E20,81:81)-SUMIF(80:80,C20,81:81)+100</f>
        <v>100</v>
      </c>
      <c r="G19" s="457"/>
      <c r="H19" s="448">
        <f>SUMIF(80:80,G20,81:81)-SUMIF(80:80,C20,81:81)+100</f>
        <v>100</v>
      </c>
      <c r="I19" s="455"/>
      <c r="J19" s="448">
        <f>SUMIF(80:80,I20,81:81)-SUMIF(80:80,C20,81:81)+100</f>
        <v>100</v>
      </c>
      <c r="K19" s="612"/>
      <c r="L19" s="1136"/>
      <c r="M19" s="1127"/>
      <c r="N19" s="1127"/>
      <c r="O19" s="1127"/>
      <c r="P19" s="3410"/>
      <c r="Q19" s="1804" t="str">
        <f>B19</f>
        <v>公共配套设施</v>
      </c>
      <c r="R19" s="772" t="s">
        <v>17</v>
      </c>
      <c r="S19" s="773">
        <f>F19</f>
        <v>100</v>
      </c>
      <c r="T19" s="772" t="s">
        <v>17</v>
      </c>
      <c r="U19" s="773">
        <f>H19</f>
        <v>100</v>
      </c>
      <c r="V19" s="772" t="s">
        <v>17</v>
      </c>
      <c r="W19" s="773">
        <f>J19</f>
        <v>100</v>
      </c>
      <c r="X19" s="1807"/>
      <c r="Y19" s="3343"/>
      <c r="Z19" s="1808" t="str">
        <f>Q19</f>
        <v>公共配套设施</v>
      </c>
      <c r="AA19" s="1805">
        <f t="shared" si="3"/>
        <v>1</v>
      </c>
      <c r="AB19" s="1805">
        <f t="shared" si="4"/>
        <v>1</v>
      </c>
      <c r="AC19" s="1805">
        <f t="shared" si="5"/>
        <v>1</v>
      </c>
    </row>
    <row r="20" spans="1:29" ht="15">
      <c r="A20" s="426"/>
      <c r="B20" s="454"/>
      <c r="C20" s="445"/>
      <c r="D20" s="446"/>
      <c r="E20" s="2589"/>
      <c r="F20" s="447"/>
      <c r="G20" s="2588"/>
      <c r="H20" s="446"/>
      <c r="I20" s="2589"/>
      <c r="J20" s="446"/>
      <c r="K20" s="613"/>
      <c r="L20" s="1136"/>
      <c r="M20" s="1127"/>
      <c r="N20" s="1127"/>
      <c r="O20" s="1127"/>
      <c r="P20" s="3410"/>
      <c r="Q20" s="1804"/>
      <c r="R20" s="772"/>
      <c r="S20" s="773"/>
      <c r="T20" s="772"/>
      <c r="U20" s="773"/>
      <c r="V20" s="772"/>
      <c r="W20" s="773"/>
      <c r="X20" s="1807"/>
      <c r="Y20" s="3343"/>
      <c r="Z20" s="1808"/>
      <c r="AA20" s="1805">
        <v>1</v>
      </c>
      <c r="AB20" s="1805">
        <v>1</v>
      </c>
      <c r="AC20" s="1805">
        <v>1</v>
      </c>
    </row>
    <row r="21" spans="1:29" ht="15">
      <c r="A21" s="426"/>
      <c r="B21" s="1380" t="s">
        <v>2637</v>
      </c>
      <c r="C21" s="2591" t="str">
        <f>估价对象房地状况!C8</f>
        <v>七通</v>
      </c>
      <c r="D21" s="453">
        <v>100</v>
      </c>
      <c r="E21" s="455"/>
      <c r="F21" s="456">
        <f>SUMIF(82:82,E22,83:83)-SUMIF(82:82,C22,83:83)+100</f>
        <v>100</v>
      </c>
      <c r="G21" s="457"/>
      <c r="H21" s="448">
        <f>SUMIF(82:82,G22,83:83)-SUMIF(82:82,C22,83:83)+100</f>
        <v>100</v>
      </c>
      <c r="I21" s="455"/>
      <c r="J21" s="448">
        <f>SUMIF(82:82,I22,83:83)-SUMIF(82:82,C22,83:83)+100</f>
        <v>100</v>
      </c>
      <c r="K21" s="612"/>
      <c r="L21" s="1136"/>
      <c r="M21" s="1127"/>
      <c r="N21" s="1127"/>
      <c r="O21" s="1127"/>
      <c r="P21" s="3410"/>
      <c r="Q21" s="1804" t="str">
        <f>B21</f>
        <v>基础设施水平</v>
      </c>
      <c r="R21" s="772" t="s">
        <v>17</v>
      </c>
      <c r="S21" s="773">
        <f>F21</f>
        <v>100</v>
      </c>
      <c r="T21" s="772" t="s">
        <v>17</v>
      </c>
      <c r="U21" s="773">
        <f>H21</f>
        <v>100</v>
      </c>
      <c r="V21" s="772" t="s">
        <v>17</v>
      </c>
      <c r="W21" s="773">
        <f>J21</f>
        <v>100</v>
      </c>
      <c r="X21" s="1807"/>
      <c r="Y21" s="3343"/>
      <c r="Z21" s="1808" t="str">
        <f>Q21</f>
        <v>基础设施水平</v>
      </c>
      <c r="AA21" s="1805">
        <f t="shared" ref="AA21" si="8">D21/F21</f>
        <v>1</v>
      </c>
      <c r="AB21" s="1805">
        <f t="shared" ref="AB21" si="9">D21/H21</f>
        <v>1</v>
      </c>
      <c r="AC21" s="1805">
        <f t="shared" ref="AC21" si="10">D21/J21</f>
        <v>1</v>
      </c>
    </row>
    <row r="22" spans="1:29" ht="15">
      <c r="A22" s="426"/>
      <c r="B22" s="1380"/>
      <c r="C22" s="2592"/>
      <c r="D22" s="446"/>
      <c r="E22" s="445"/>
      <c r="F22" s="447"/>
      <c r="G22" s="445"/>
      <c r="H22" s="446"/>
      <c r="I22" s="445"/>
      <c r="J22" s="446"/>
      <c r="K22" s="1379"/>
      <c r="L22" s="1136"/>
      <c r="M22" s="1127"/>
      <c r="N22" s="1127"/>
      <c r="O22" s="1127"/>
      <c r="P22" s="3410"/>
      <c r="Q22" s="1804"/>
      <c r="R22" s="772"/>
      <c r="S22" s="773"/>
      <c r="T22" s="772"/>
      <c r="U22" s="773"/>
      <c r="V22" s="772"/>
      <c r="W22" s="773"/>
      <c r="X22" s="1807"/>
      <c r="Y22" s="3343"/>
      <c r="Z22" s="1808"/>
      <c r="AA22" s="1805">
        <v>1</v>
      </c>
      <c r="AB22" s="1805">
        <v>1</v>
      </c>
      <c r="AC22" s="1805">
        <v>1</v>
      </c>
    </row>
    <row r="23" spans="1:29" ht="15">
      <c r="A23" s="426"/>
      <c r="B23" s="449" t="s">
        <v>2086</v>
      </c>
      <c r="C23" s="2648" t="str">
        <f>估价对象房地状况!C9</f>
        <v>一般</v>
      </c>
      <c r="D23" s="448">
        <v>100</v>
      </c>
      <c r="E23" s="450"/>
      <c r="F23" s="451">
        <f>SUMIF(84:84,E24,85:85)-SUMIF(84:84,C24,85:85)+100</f>
        <v>100</v>
      </c>
      <c r="G23" s="452"/>
      <c r="H23" s="448">
        <f>SUMIF(84:84,G24,85:85)-SUMIF(84:84,C24,85:85)+100</f>
        <v>100</v>
      </c>
      <c r="I23" s="450"/>
      <c r="J23" s="448">
        <f>SUMIF(84:84,I24,85:85)-SUMIF(84:84,C24,85:85)+100</f>
        <v>100</v>
      </c>
      <c r="K23" s="612"/>
      <c r="L23" s="1136"/>
      <c r="M23" s="1127"/>
      <c r="N23" s="1127"/>
      <c r="O23" s="1127"/>
      <c r="P23" s="3410"/>
      <c r="Q23" s="1804" t="str">
        <f>B23</f>
        <v>自然及人文环境</v>
      </c>
      <c r="R23" s="772" t="s">
        <v>17</v>
      </c>
      <c r="S23" s="773">
        <f>F23</f>
        <v>100</v>
      </c>
      <c r="T23" s="772" t="s">
        <v>17</v>
      </c>
      <c r="U23" s="773">
        <f>H23</f>
        <v>100</v>
      </c>
      <c r="V23" s="772" t="s">
        <v>17</v>
      </c>
      <c r="W23" s="773">
        <f>J23</f>
        <v>100</v>
      </c>
      <c r="X23" s="1807"/>
      <c r="Y23" s="3343"/>
      <c r="Z23" s="1808" t="str">
        <f>Q23</f>
        <v>自然及人文环境</v>
      </c>
      <c r="AA23" s="1805">
        <f t="shared" si="3"/>
        <v>1</v>
      </c>
      <c r="AB23" s="1805">
        <f t="shared" si="4"/>
        <v>1</v>
      </c>
      <c r="AC23" s="1805">
        <f t="shared" si="5"/>
        <v>1</v>
      </c>
    </row>
    <row r="24" spans="1:29" ht="15">
      <c r="A24" s="426"/>
      <c r="B24" s="454"/>
      <c r="C24" s="445"/>
      <c r="D24" s="446"/>
      <c r="E24" s="2589"/>
      <c r="F24" s="447"/>
      <c r="G24" s="2588"/>
      <c r="H24" s="446"/>
      <c r="I24" s="2589"/>
      <c r="J24" s="446"/>
      <c r="K24" s="613"/>
      <c r="L24" s="1136"/>
      <c r="M24" s="1127"/>
      <c r="N24" s="1127"/>
      <c r="O24" s="1127"/>
      <c r="P24" s="3410"/>
      <c r="Q24" s="1804"/>
      <c r="R24" s="772"/>
      <c r="S24" s="773"/>
      <c r="T24" s="772"/>
      <c r="U24" s="773"/>
      <c r="V24" s="772"/>
      <c r="W24" s="773"/>
      <c r="X24" s="1807"/>
      <c r="Y24" s="3343"/>
      <c r="Z24" s="1808"/>
      <c r="AA24" s="1805">
        <v>1</v>
      </c>
      <c r="AB24" s="1805">
        <v>1</v>
      </c>
      <c r="AC24" s="1805">
        <v>1</v>
      </c>
    </row>
    <row r="25" spans="1:29" ht="15">
      <c r="A25" s="426"/>
      <c r="B25" s="420" t="s">
        <v>2638</v>
      </c>
      <c r="C25" s="614"/>
      <c r="D25" s="433">
        <v>100</v>
      </c>
      <c r="E25" s="614"/>
      <c r="F25" s="459">
        <f>SUMIF(86:86,E25,87:87)-SUMIF(86:86,C25,87:87)+100</f>
        <v>100</v>
      </c>
      <c r="G25" s="614"/>
      <c r="H25" s="433">
        <f>SUMIF(86:86,G25,87:87)-SUMIF(86:86,C25,87:87)+100</f>
        <v>100</v>
      </c>
      <c r="I25" s="614"/>
      <c r="J25" s="433">
        <f>SUMIF(86:86,I25,87:87)-SUMIF(86:86,C25,87:87)+100</f>
        <v>100</v>
      </c>
      <c r="K25" s="610"/>
      <c r="L25" s="1136"/>
      <c r="M25" s="1127"/>
      <c r="N25" s="1127"/>
      <c r="O25" s="1127"/>
      <c r="P25" s="3410"/>
      <c r="Q25" s="1804" t="str">
        <f t="shared" ref="Q25:Q46" si="11">B25</f>
        <v>临街状况</v>
      </c>
      <c r="R25" s="772" t="s">
        <v>17</v>
      </c>
      <c r="S25" s="773">
        <f>F25</f>
        <v>100</v>
      </c>
      <c r="T25" s="772" t="s">
        <v>17</v>
      </c>
      <c r="U25" s="773">
        <f>H25</f>
        <v>100</v>
      </c>
      <c r="V25" s="772" t="s">
        <v>17</v>
      </c>
      <c r="W25" s="773">
        <f>J25</f>
        <v>100</v>
      </c>
      <c r="X25" s="1807"/>
      <c r="Y25" s="3343"/>
      <c r="Z25" s="1808" t="str">
        <f>Q25</f>
        <v>临街状况</v>
      </c>
      <c r="AA25" s="1805">
        <f t="shared" si="3"/>
        <v>1</v>
      </c>
      <c r="AB25" s="1805">
        <f t="shared" si="4"/>
        <v>1</v>
      </c>
      <c r="AC25" s="1805">
        <f t="shared" si="5"/>
        <v>1</v>
      </c>
    </row>
    <row r="26" spans="1:29" ht="15">
      <c r="A26" s="426"/>
      <c r="B26" s="1382" t="s">
        <v>2639</v>
      </c>
      <c r="C26" s="432"/>
      <c r="D26" s="433">
        <v>100</v>
      </c>
      <c r="E26" s="432"/>
      <c r="F26" s="459">
        <f>SUMIF(88:88,E26,89:89)-SUMIF(88:88,C26,89:89)+100</f>
        <v>100</v>
      </c>
      <c r="G26" s="432"/>
      <c r="H26" s="433">
        <f>SUMIF(88:88,G26,89:89)-SUMIF(88:88,C26,89:89)+100</f>
        <v>100</v>
      </c>
      <c r="I26" s="432"/>
      <c r="J26" s="433">
        <f>SUMIF(88:88,I26,89:89)-SUMIF(88:88,C26,89:89)+100</f>
        <v>100</v>
      </c>
      <c r="K26" s="611"/>
      <c r="L26" s="1136"/>
      <c r="M26" s="1127"/>
      <c r="N26" s="1127"/>
      <c r="O26" s="1127"/>
      <c r="P26" s="3410"/>
      <c r="Q26" s="1804" t="str">
        <f t="shared" si="11"/>
        <v>平面位置/可视性</v>
      </c>
      <c r="R26" s="772" t="s">
        <v>17</v>
      </c>
      <c r="S26" s="773">
        <f>F26</f>
        <v>100</v>
      </c>
      <c r="T26" s="772" t="s">
        <v>17</v>
      </c>
      <c r="U26" s="773">
        <f>H26</f>
        <v>100</v>
      </c>
      <c r="V26" s="772" t="s">
        <v>17</v>
      </c>
      <c r="W26" s="773">
        <f>J26</f>
        <v>100</v>
      </c>
      <c r="X26" s="1807"/>
      <c r="Y26" s="3343"/>
      <c r="Z26" s="1808" t="str">
        <f>Q26</f>
        <v>平面位置/可视性</v>
      </c>
      <c r="AA26" s="1805">
        <f t="shared" si="3"/>
        <v>1</v>
      </c>
      <c r="AB26" s="1805">
        <f t="shared" si="4"/>
        <v>1</v>
      </c>
      <c r="AC26" s="1805">
        <f t="shared" si="5"/>
        <v>1</v>
      </c>
    </row>
    <row r="27" spans="1:29" s="115" customFormat="1" ht="15">
      <c r="A27" s="429"/>
      <c r="B27" s="449" t="s">
        <v>2640</v>
      </c>
      <c r="C27" s="2649"/>
      <c r="D27" s="460">
        <v>100</v>
      </c>
      <c r="E27" s="2649"/>
      <c r="F27" s="462">
        <f>SUMIF(90:90,E27,91:91)-SUMIF(90:90,C27,91:91)+100</f>
        <v>100</v>
      </c>
      <c r="G27" s="2649"/>
      <c r="H27" s="460">
        <f>SUMIF(90:90,G27,91:91)-SUMIF(90:90,C27,91:91)+100</f>
        <v>100</v>
      </c>
      <c r="I27" s="2649"/>
      <c r="J27" s="460">
        <f>SUMIF(90:90,I27,91:91)-SUMIF(90:90,C27,91:91)+100</f>
        <v>100</v>
      </c>
      <c r="K27" s="610"/>
      <c r="L27" s="1128"/>
      <c r="M27" s="1129"/>
      <c r="N27" s="1129"/>
      <c r="O27" s="1129"/>
      <c r="P27" s="3410"/>
      <c r="Q27" s="1789" t="str">
        <f t="shared" si="11"/>
        <v>人流量</v>
      </c>
      <c r="R27" s="768" t="s">
        <v>17</v>
      </c>
      <c r="S27" s="769">
        <f>F27</f>
        <v>100</v>
      </c>
      <c r="T27" s="768" t="s">
        <v>17</v>
      </c>
      <c r="U27" s="769">
        <f>H27</f>
        <v>100</v>
      </c>
      <c r="V27" s="768" t="s">
        <v>17</v>
      </c>
      <c r="W27" s="769">
        <f>J27</f>
        <v>100</v>
      </c>
      <c r="X27" s="770"/>
      <c r="Y27" s="3343"/>
      <c r="Z27" s="55" t="str">
        <f>Q27</f>
        <v>人流量</v>
      </c>
      <c r="AA27" s="1805">
        <f>D27/F27</f>
        <v>1</v>
      </c>
      <c r="AB27" s="1805">
        <f>D27/H27</f>
        <v>1</v>
      </c>
      <c r="AC27" s="1805">
        <f>D27/J27</f>
        <v>1</v>
      </c>
    </row>
    <row r="28" spans="1:29" ht="15">
      <c r="A28" s="426"/>
      <c r="B28" s="420" t="s">
        <v>2641</v>
      </c>
      <c r="C28" s="614"/>
      <c r="D28" s="433">
        <v>100</v>
      </c>
      <c r="E28" s="614"/>
      <c r="F28" s="459">
        <f>SUMIF(92:92,E28,93:93)-SUMIF(92:92,C28,93:93)+100</f>
        <v>100</v>
      </c>
      <c r="G28" s="614"/>
      <c r="H28" s="433">
        <f>SUMIF(92:92,G28,93:93)-SUMIF(92:92,C28,93:93)+100</f>
        <v>100</v>
      </c>
      <c r="I28" s="614"/>
      <c r="J28" s="433">
        <f>SUMIF(92:92,I28,93:93)-SUMIF(92:92,C28,93:93)+100</f>
        <v>100</v>
      </c>
      <c r="K28" s="611"/>
      <c r="L28" s="1136"/>
      <c r="M28" s="1127"/>
      <c r="N28" s="1127"/>
      <c r="O28" s="1127"/>
      <c r="P28" s="3410"/>
      <c r="Q28" s="1804" t="str">
        <f t="shared" si="11"/>
        <v>楼层</v>
      </c>
      <c r="R28" s="772" t="s">
        <v>17</v>
      </c>
      <c r="S28" s="773">
        <f t="shared" ref="S28:S46" si="12">F28</f>
        <v>100</v>
      </c>
      <c r="T28" s="772" t="s">
        <v>17</v>
      </c>
      <c r="U28" s="773">
        <f t="shared" ref="U28:U46" si="13">H28</f>
        <v>100</v>
      </c>
      <c r="V28" s="772" t="s">
        <v>17</v>
      </c>
      <c r="W28" s="773">
        <f t="shared" ref="W28:W46" si="14">J28</f>
        <v>100</v>
      </c>
      <c r="X28" s="1807"/>
      <c r="Y28" s="3343"/>
      <c r="Z28" s="1808" t="str">
        <f t="shared" ref="Z28:Z46" si="15">Q28</f>
        <v>楼层</v>
      </c>
      <c r="AA28" s="1805">
        <f t="shared" si="3"/>
        <v>1</v>
      </c>
      <c r="AB28" s="1805">
        <f t="shared" si="4"/>
        <v>1</v>
      </c>
      <c r="AC28" s="1805">
        <f t="shared" si="5"/>
        <v>1</v>
      </c>
    </row>
    <row r="29" spans="1:29" ht="15">
      <c r="A29" s="426"/>
      <c r="B29" s="1382">
        <v>111</v>
      </c>
      <c r="C29" s="432"/>
      <c r="D29" s="433">
        <v>100</v>
      </c>
      <c r="E29" s="432"/>
      <c r="F29" s="459">
        <f>SUMIF(94:94,E29,95:95)-SUMIF(94:94,C29,95:95)+100</f>
        <v>100</v>
      </c>
      <c r="G29" s="432"/>
      <c r="H29" s="433">
        <f>SUMIF(94:94,G29,95:95)-SUMIF(94:94,C29,95:95)+100</f>
        <v>100</v>
      </c>
      <c r="I29" s="432"/>
      <c r="J29" s="433">
        <f>SUMIF(94:94,I29,95:95)-SUMIF(94:94,C29,95:95)+100</f>
        <v>100</v>
      </c>
      <c r="K29" s="611"/>
      <c r="L29" s="1136"/>
      <c r="M29" s="1127"/>
      <c r="N29" s="1127"/>
      <c r="O29" s="1127"/>
      <c r="P29" s="3410"/>
      <c r="Q29" s="1804">
        <f t="shared" si="11"/>
        <v>111</v>
      </c>
      <c r="R29" s="772" t="s">
        <v>17</v>
      </c>
      <c r="S29" s="773">
        <f t="shared" si="12"/>
        <v>100</v>
      </c>
      <c r="T29" s="772" t="s">
        <v>17</v>
      </c>
      <c r="U29" s="773">
        <f t="shared" si="13"/>
        <v>100</v>
      </c>
      <c r="V29" s="772" t="s">
        <v>17</v>
      </c>
      <c r="W29" s="773">
        <f t="shared" si="14"/>
        <v>100</v>
      </c>
      <c r="X29" s="1807"/>
      <c r="Y29" s="3343"/>
      <c r="Z29" s="1808">
        <f t="shared" si="15"/>
        <v>111</v>
      </c>
      <c r="AA29" s="1805">
        <f t="shared" si="3"/>
        <v>1</v>
      </c>
      <c r="AB29" s="1805">
        <f t="shared" si="4"/>
        <v>1</v>
      </c>
      <c r="AC29" s="1805">
        <f t="shared" si="5"/>
        <v>1</v>
      </c>
    </row>
    <row r="30" spans="1:29" ht="15">
      <c r="A30" s="426"/>
      <c r="B30" s="1382">
        <v>111</v>
      </c>
      <c r="C30" s="432"/>
      <c r="D30" s="433">
        <v>100</v>
      </c>
      <c r="E30" s="432"/>
      <c r="F30" s="459">
        <f>SUMIF(96:96,E30,97:97)-SUMIF(96:96,C30,97:97)+100</f>
        <v>100</v>
      </c>
      <c r="G30" s="432"/>
      <c r="H30" s="433">
        <f>SUMIF(96:96,G30,97:97)-SUMIF(96:96,C30,97:97)+100</f>
        <v>100</v>
      </c>
      <c r="I30" s="432"/>
      <c r="J30" s="433">
        <f>SUMIF(96:96,I30,97:97)-SUMIF(96:96,C30,97:97)+100</f>
        <v>100</v>
      </c>
      <c r="K30" s="611"/>
      <c r="L30" s="1136"/>
      <c r="M30" s="1127"/>
      <c r="N30" s="1127"/>
      <c r="O30" s="1127"/>
      <c r="P30" s="3410"/>
      <c r="Q30" s="1804">
        <f t="shared" si="11"/>
        <v>111</v>
      </c>
      <c r="R30" s="772" t="s">
        <v>17</v>
      </c>
      <c r="S30" s="773">
        <f t="shared" si="12"/>
        <v>100</v>
      </c>
      <c r="T30" s="772" t="s">
        <v>17</v>
      </c>
      <c r="U30" s="773">
        <f t="shared" si="13"/>
        <v>100</v>
      </c>
      <c r="V30" s="772" t="s">
        <v>17</v>
      </c>
      <c r="W30" s="773">
        <f t="shared" si="14"/>
        <v>100</v>
      </c>
      <c r="X30" s="1807"/>
      <c r="Y30" s="3343"/>
      <c r="Z30" s="1808">
        <f t="shared" si="15"/>
        <v>111</v>
      </c>
      <c r="AA30" s="1805">
        <f t="shared" si="3"/>
        <v>1</v>
      </c>
      <c r="AB30" s="1805">
        <f t="shared" si="4"/>
        <v>1</v>
      </c>
      <c r="AC30" s="1805">
        <f t="shared" si="5"/>
        <v>1</v>
      </c>
    </row>
    <row r="31" spans="1:29" ht="15.75" thickBot="1">
      <c r="A31" s="434"/>
      <c r="B31" s="1382">
        <v>111</v>
      </c>
      <c r="C31" s="435"/>
      <c r="D31" s="436">
        <v>100</v>
      </c>
      <c r="E31" s="432"/>
      <c r="F31" s="437">
        <f>SUMIF(98:98,E31,99:99)-SUMIF(98:98,C31,99:99)+100</f>
        <v>100</v>
      </c>
      <c r="G31" s="432"/>
      <c r="H31" s="436">
        <f>SUMIF(98:98,G31,99:99)-SUMIF(98:98,C31,99:99)+100</f>
        <v>100</v>
      </c>
      <c r="I31" s="432"/>
      <c r="J31" s="436">
        <f>SUMIF(98:98,I31,99:99)-SUMIF(98:98,C31,99:99)+100</f>
        <v>100</v>
      </c>
      <c r="K31" s="611"/>
      <c r="L31" s="1136"/>
      <c r="M31" s="1127"/>
      <c r="N31" s="1127"/>
      <c r="O31" s="1127"/>
      <c r="P31" s="3410"/>
      <c r="Q31" s="1804">
        <f t="shared" si="11"/>
        <v>111</v>
      </c>
      <c r="R31" s="772" t="s">
        <v>17</v>
      </c>
      <c r="S31" s="773">
        <f t="shared" si="12"/>
        <v>100</v>
      </c>
      <c r="T31" s="772" t="s">
        <v>17</v>
      </c>
      <c r="U31" s="773">
        <f t="shared" si="13"/>
        <v>100</v>
      </c>
      <c r="V31" s="772" t="s">
        <v>17</v>
      </c>
      <c r="W31" s="773">
        <f t="shared" si="14"/>
        <v>100</v>
      </c>
      <c r="X31" s="1807"/>
      <c r="Y31" s="3343"/>
      <c r="Z31" s="1808">
        <f t="shared" si="15"/>
        <v>111</v>
      </c>
      <c r="AA31" s="1805">
        <f t="shared" si="3"/>
        <v>1</v>
      </c>
      <c r="AB31" s="1805">
        <f t="shared" si="4"/>
        <v>1</v>
      </c>
      <c r="AC31" s="1805">
        <f t="shared" si="5"/>
        <v>1</v>
      </c>
    </row>
    <row r="32" spans="1:29" ht="15">
      <c r="A32" s="438" t="s">
        <v>2545</v>
      </c>
      <c r="B32" s="70" t="s">
        <v>2642</v>
      </c>
      <c r="C32" s="2601"/>
      <c r="D32" s="465">
        <v>100</v>
      </c>
      <c r="E32" s="2601"/>
      <c r="F32" s="459">
        <f>SUMIF(100:100,E32,101:101)-SUMIF(100:100,C32,101:101)+100</f>
        <v>100</v>
      </c>
      <c r="G32" s="2601"/>
      <c r="H32" s="433">
        <f>SUMIF(100:100,G32,101:101)-SUMIF(100:100,C32,101:101)+100</f>
        <v>100</v>
      </c>
      <c r="I32" s="2601"/>
      <c r="J32" s="465">
        <f>SUMIF(100:100,I32,101:101)-SUMIF(100:100,C32,101:101)+100</f>
        <v>100</v>
      </c>
      <c r="K32" s="610"/>
      <c r="L32" s="1136"/>
      <c r="M32" s="1127"/>
      <c r="N32" s="1127"/>
      <c r="O32" s="1127"/>
      <c r="P32" s="3405" t="s">
        <v>2547</v>
      </c>
      <c r="Q32" s="1804" t="str">
        <f t="shared" si="11"/>
        <v>商业类型</v>
      </c>
      <c r="R32" s="772" t="s">
        <v>17</v>
      </c>
      <c r="S32" s="773">
        <f t="shared" si="12"/>
        <v>100</v>
      </c>
      <c r="T32" s="772" t="s">
        <v>17</v>
      </c>
      <c r="U32" s="773">
        <f t="shared" si="13"/>
        <v>100</v>
      </c>
      <c r="V32" s="772" t="s">
        <v>17</v>
      </c>
      <c r="W32" s="773">
        <f t="shared" si="14"/>
        <v>100</v>
      </c>
      <c r="X32" s="1807"/>
      <c r="Y32" s="3345" t="s">
        <v>2547</v>
      </c>
      <c r="Z32" s="1808" t="str">
        <f t="shared" si="15"/>
        <v>商业类型</v>
      </c>
      <c r="AA32" s="1805">
        <f t="shared" si="3"/>
        <v>1</v>
      </c>
      <c r="AB32" s="1805">
        <f t="shared" si="4"/>
        <v>1</v>
      </c>
      <c r="AC32" s="1805">
        <f t="shared" si="5"/>
        <v>1</v>
      </c>
    </row>
    <row r="33" spans="1:29" s="469" customFormat="1" ht="15">
      <c r="A33" s="466"/>
      <c r="B33" s="420" t="s">
        <v>2548</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4"/>
      <c r="M33" s="1137"/>
      <c r="N33" s="1137"/>
      <c r="O33" s="1137"/>
      <c r="P33" s="3406"/>
      <c r="Q33" s="774" t="str">
        <f t="shared" si="11"/>
        <v>项目建筑规模</v>
      </c>
      <c r="R33" s="775" t="s">
        <v>17</v>
      </c>
      <c r="S33" s="776" t="e">
        <f t="shared" si="12"/>
        <v>#N/A</v>
      </c>
      <c r="T33" s="775" t="s">
        <v>17</v>
      </c>
      <c r="U33" s="776" t="e">
        <f t="shared" si="13"/>
        <v>#N/A</v>
      </c>
      <c r="V33" s="775" t="s">
        <v>17</v>
      </c>
      <c r="W33" s="776" t="e">
        <f t="shared" si="14"/>
        <v>#N/A</v>
      </c>
      <c r="X33" s="777"/>
      <c r="Y33" s="3345"/>
      <c r="Z33" s="778" t="str">
        <f t="shared" si="15"/>
        <v>项目建筑规模</v>
      </c>
      <c r="AA33" s="1805" t="e">
        <f t="shared" si="3"/>
        <v>#N/A</v>
      </c>
      <c r="AB33" s="1805" t="e">
        <f t="shared" si="4"/>
        <v>#N/A</v>
      </c>
      <c r="AC33" s="1805" t="e">
        <f t="shared" si="5"/>
        <v>#N/A</v>
      </c>
    </row>
    <row r="34" spans="1:29" ht="15">
      <c r="A34" s="470"/>
      <c r="B34" s="420" t="s">
        <v>2549</v>
      </c>
      <c r="C34" s="2603"/>
      <c r="D34" s="433">
        <v>100</v>
      </c>
      <c r="E34" s="2603"/>
      <c r="F34" s="459">
        <f>SUMIF(105:105,E34,106:106)-SUMIF(105:105,C34,106:106)+100</f>
        <v>100</v>
      </c>
      <c r="G34" s="2603"/>
      <c r="H34" s="433">
        <f>SUMIF(105:105,G34,106:106)-SUMIF(105:105,C34,106:106)+100</f>
        <v>100</v>
      </c>
      <c r="I34" s="2603"/>
      <c r="J34" s="433">
        <f>SUMIF(105:105,I34,106:106)-SUMIF(105:105,C34,106:106)+100</f>
        <v>100</v>
      </c>
      <c r="K34" s="610"/>
      <c r="L34" s="1136"/>
      <c r="M34" s="1127"/>
      <c r="N34" s="1127"/>
      <c r="O34" s="1127"/>
      <c r="P34" s="3406"/>
      <c r="Q34" s="1804" t="str">
        <f t="shared" si="11"/>
        <v>建筑结构</v>
      </c>
      <c r="R34" s="772" t="s">
        <v>17</v>
      </c>
      <c r="S34" s="773">
        <f t="shared" si="12"/>
        <v>100</v>
      </c>
      <c r="T34" s="772" t="s">
        <v>17</v>
      </c>
      <c r="U34" s="773">
        <f t="shared" si="13"/>
        <v>100</v>
      </c>
      <c r="V34" s="772" t="s">
        <v>17</v>
      </c>
      <c r="W34" s="773">
        <f t="shared" si="14"/>
        <v>100</v>
      </c>
      <c r="X34" s="1807"/>
      <c r="Y34" s="3345"/>
      <c r="Z34" s="1808" t="str">
        <f t="shared" si="15"/>
        <v>建筑结构</v>
      </c>
      <c r="AA34" s="1805">
        <f t="shared" si="3"/>
        <v>1</v>
      </c>
      <c r="AB34" s="1805">
        <f t="shared" si="4"/>
        <v>1</v>
      </c>
      <c r="AC34" s="1805">
        <f t="shared" si="5"/>
        <v>1</v>
      </c>
    </row>
    <row r="35" spans="1:29" ht="15">
      <c r="A35" s="470"/>
      <c r="B35" s="420" t="s">
        <v>2643</v>
      </c>
      <c r="C35" s="2597"/>
      <c r="D35" s="433">
        <v>100</v>
      </c>
      <c r="E35" s="2597"/>
      <c r="F35" s="459">
        <f>SUMIF(107:107,E35,108:108)-SUMIF(107:107,C35,108:108)+100</f>
        <v>100</v>
      </c>
      <c r="G35" s="2597"/>
      <c r="H35" s="433">
        <f>SUMIF(107:107,G35,108:108)-SUMIF(107:107,C35,108:108)+100</f>
        <v>100</v>
      </c>
      <c r="I35" s="2597"/>
      <c r="J35" s="433">
        <f>SUMIF(107:107,I35,108:108)-SUMIF(107:107,C35,108:108)+100</f>
        <v>100</v>
      </c>
      <c r="K35" s="610"/>
      <c r="L35" s="1136"/>
      <c r="M35" s="1127"/>
      <c r="N35" s="1127"/>
      <c r="O35" s="1127"/>
      <c r="P35" s="3406"/>
      <c r="Q35" s="1804" t="str">
        <f t="shared" si="11"/>
        <v>公共部分装修</v>
      </c>
      <c r="R35" s="772" t="s">
        <v>17</v>
      </c>
      <c r="S35" s="773">
        <f t="shared" si="12"/>
        <v>100</v>
      </c>
      <c r="T35" s="772" t="s">
        <v>17</v>
      </c>
      <c r="U35" s="773">
        <f t="shared" si="13"/>
        <v>100</v>
      </c>
      <c r="V35" s="772" t="s">
        <v>17</v>
      </c>
      <c r="W35" s="773">
        <f t="shared" si="14"/>
        <v>100</v>
      </c>
      <c r="X35" s="1807"/>
      <c r="Y35" s="3345"/>
      <c r="Z35" s="1808" t="str">
        <f t="shared" si="15"/>
        <v>公共部分装修</v>
      </c>
      <c r="AA35" s="1805">
        <f t="shared" si="3"/>
        <v>1</v>
      </c>
      <c r="AB35" s="1805">
        <f t="shared" si="4"/>
        <v>1</v>
      </c>
      <c r="AC35" s="1805">
        <f t="shared" si="5"/>
        <v>1</v>
      </c>
    </row>
    <row r="36" spans="1:29" ht="15">
      <c r="A36" s="470"/>
      <c r="B36" s="420" t="s">
        <v>2644</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6"/>
      <c r="M36" s="1127"/>
      <c r="N36" s="1127"/>
      <c r="O36" s="1127"/>
      <c r="P36" s="3406"/>
      <c r="Q36" s="1804" t="str">
        <f t="shared" si="11"/>
        <v>成新度</v>
      </c>
      <c r="R36" s="772" t="s">
        <v>17</v>
      </c>
      <c r="S36" s="773" t="e">
        <f t="shared" si="12"/>
        <v>#N/A</v>
      </c>
      <c r="T36" s="772" t="s">
        <v>17</v>
      </c>
      <c r="U36" s="773" t="e">
        <f t="shared" si="13"/>
        <v>#N/A</v>
      </c>
      <c r="V36" s="772" t="s">
        <v>17</v>
      </c>
      <c r="W36" s="773" t="e">
        <f t="shared" si="14"/>
        <v>#N/A</v>
      </c>
      <c r="X36" s="1807"/>
      <c r="Y36" s="3345"/>
      <c r="Z36" s="1808" t="str">
        <f t="shared" si="15"/>
        <v>成新度</v>
      </c>
      <c r="AA36" s="1805" t="e">
        <f t="shared" si="3"/>
        <v>#N/A</v>
      </c>
      <c r="AB36" s="1805" t="e">
        <f t="shared" si="4"/>
        <v>#N/A</v>
      </c>
      <c r="AC36" s="1805" t="e">
        <f t="shared" si="5"/>
        <v>#N/A</v>
      </c>
    </row>
    <row r="37" spans="1:29" s="115" customFormat="1" ht="15">
      <c r="A37" s="471"/>
      <c r="B37" s="420" t="s">
        <v>2645</v>
      </c>
      <c r="C37" s="2597"/>
      <c r="D37" s="134">
        <v>100</v>
      </c>
      <c r="E37" s="2597"/>
      <c r="F37" s="459">
        <f>SUMIF(112:112,E37,113:113)-SUMIF(112:112,C37,113:113)+100</f>
        <v>100</v>
      </c>
      <c r="G37" s="2597"/>
      <c r="H37" s="433">
        <f>SUMIF(112:112,G37,113:113)-SUMIF(112:112,C37,113:113)+100</f>
        <v>100</v>
      </c>
      <c r="I37" s="2597"/>
      <c r="J37" s="433">
        <f>SUMIF(112:112,I37,113:113)-SUMIF(112:112,C37,113:113)+100</f>
        <v>100</v>
      </c>
      <c r="K37" s="610"/>
      <c r="L37" s="1128"/>
      <c r="M37" s="1129"/>
      <c r="N37" s="1129"/>
      <c r="O37" s="1129"/>
      <c r="P37" s="3406"/>
      <c r="Q37" s="1789" t="str">
        <f t="shared" si="11"/>
        <v>市政基础设施</v>
      </c>
      <c r="R37" s="768" t="s">
        <v>17</v>
      </c>
      <c r="S37" s="769">
        <f t="shared" si="12"/>
        <v>100</v>
      </c>
      <c r="T37" s="768" t="s">
        <v>17</v>
      </c>
      <c r="U37" s="769">
        <f t="shared" si="13"/>
        <v>100</v>
      </c>
      <c r="V37" s="768" t="s">
        <v>17</v>
      </c>
      <c r="W37" s="769">
        <f t="shared" si="14"/>
        <v>100</v>
      </c>
      <c r="X37" s="770"/>
      <c r="Y37" s="3345"/>
      <c r="Z37" s="55" t="str">
        <f t="shared" si="15"/>
        <v>市政基础设施</v>
      </c>
      <c r="AA37" s="771">
        <f t="shared" si="3"/>
        <v>1</v>
      </c>
      <c r="AB37" s="771">
        <f t="shared" si="4"/>
        <v>1</v>
      </c>
      <c r="AC37" s="771">
        <f t="shared" si="5"/>
        <v>1</v>
      </c>
    </row>
    <row r="38" spans="1:29" ht="15">
      <c r="A38" s="470"/>
      <c r="B38" s="420" t="s">
        <v>2646</v>
      </c>
      <c r="C38" s="2597"/>
      <c r="D38" s="433">
        <v>100</v>
      </c>
      <c r="E38" s="2597"/>
      <c r="F38" s="459">
        <f>SUMIF(114:114,E38,115:115)-SUMIF(114:114,C38,115:115)+100</f>
        <v>100</v>
      </c>
      <c r="G38" s="2597"/>
      <c r="H38" s="433">
        <f>SUMIF(114:114,G38,115:115)-SUMIF(114:114,C38,115:115)+100</f>
        <v>100</v>
      </c>
      <c r="I38" s="2597"/>
      <c r="J38" s="433">
        <f>SUMIF(114:114,I38,115:115)-SUMIF(114:114,C38,115:115)+100</f>
        <v>100</v>
      </c>
      <c r="K38" s="610"/>
      <c r="L38" s="1136"/>
      <c r="M38" s="1127"/>
      <c r="N38" s="1127"/>
      <c r="O38" s="1127"/>
      <c r="P38" s="3406" t="s">
        <v>2547</v>
      </c>
      <c r="Q38" s="1804" t="str">
        <f t="shared" si="11"/>
        <v>业态</v>
      </c>
      <c r="R38" s="772" t="s">
        <v>17</v>
      </c>
      <c r="S38" s="773">
        <f t="shared" si="12"/>
        <v>100</v>
      </c>
      <c r="T38" s="772" t="s">
        <v>17</v>
      </c>
      <c r="U38" s="773">
        <f t="shared" si="13"/>
        <v>100</v>
      </c>
      <c r="V38" s="772" t="s">
        <v>17</v>
      </c>
      <c r="W38" s="773">
        <f t="shared" si="14"/>
        <v>100</v>
      </c>
      <c r="X38" s="1807"/>
      <c r="Y38" s="3345" t="s">
        <v>2547</v>
      </c>
      <c r="Z38" s="1808" t="str">
        <f t="shared" si="15"/>
        <v>业态</v>
      </c>
      <c r="AA38" s="1805">
        <f t="shared" si="3"/>
        <v>1</v>
      </c>
      <c r="AB38" s="1805">
        <f t="shared" si="4"/>
        <v>1</v>
      </c>
      <c r="AC38" s="1805">
        <f t="shared" si="5"/>
        <v>1</v>
      </c>
    </row>
    <row r="39" spans="1:29" ht="15">
      <c r="A39" s="470"/>
      <c r="B39" s="420" t="s">
        <v>2647</v>
      </c>
      <c r="C39" s="2597"/>
      <c r="D39" s="433">
        <v>100</v>
      </c>
      <c r="E39" s="2597"/>
      <c r="F39" s="459">
        <f>SUMIF(116:116,E39,117:117)-SUMIF(116:116,C39,117:117)+100</f>
        <v>100</v>
      </c>
      <c r="G39" s="2597"/>
      <c r="H39" s="433">
        <f>SUMIF(116:116,G39,117:117)-SUMIF(116:116,C39,117:117)+100</f>
        <v>100</v>
      </c>
      <c r="I39" s="2597"/>
      <c r="J39" s="433">
        <f>SUMIF(116:116,I39,117:117)-SUMIF(116:116,C39,117:117)+100</f>
        <v>100</v>
      </c>
      <c r="K39" s="610"/>
      <c r="L39" s="1136"/>
      <c r="M39" s="1127"/>
      <c r="N39" s="1127"/>
      <c r="O39" s="1127"/>
      <c r="P39" s="3406"/>
      <c r="Q39" s="1804" t="str">
        <f t="shared" si="11"/>
        <v>层高</v>
      </c>
      <c r="R39" s="772" t="s">
        <v>17</v>
      </c>
      <c r="S39" s="773">
        <f t="shared" si="12"/>
        <v>100</v>
      </c>
      <c r="T39" s="772" t="s">
        <v>17</v>
      </c>
      <c r="U39" s="773">
        <f t="shared" si="13"/>
        <v>100</v>
      </c>
      <c r="V39" s="772" t="s">
        <v>17</v>
      </c>
      <c r="W39" s="773">
        <f t="shared" si="14"/>
        <v>100</v>
      </c>
      <c r="X39" s="1807"/>
      <c r="Y39" s="3345"/>
      <c r="Z39" s="1808" t="str">
        <f t="shared" si="15"/>
        <v>层高</v>
      </c>
      <c r="AA39" s="1805">
        <f t="shared" si="3"/>
        <v>1</v>
      </c>
      <c r="AB39" s="1805">
        <f t="shared" si="4"/>
        <v>1</v>
      </c>
      <c r="AC39" s="1805">
        <f t="shared" si="5"/>
        <v>1</v>
      </c>
    </row>
    <row r="40" spans="1:29" ht="15">
      <c r="A40" s="470"/>
      <c r="B40" s="420" t="s">
        <v>2648</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6"/>
      <c r="M40" s="1127"/>
      <c r="N40" s="1127"/>
      <c r="O40" s="1127"/>
      <c r="P40" s="3406"/>
      <c r="Q40" s="1804" t="str">
        <f t="shared" si="11"/>
        <v>单套建筑面积</v>
      </c>
      <c r="R40" s="772" t="s">
        <v>17</v>
      </c>
      <c r="S40" s="773">
        <f t="shared" si="12"/>
        <v>100</v>
      </c>
      <c r="T40" s="772" t="s">
        <v>17</v>
      </c>
      <c r="U40" s="773">
        <f t="shared" si="13"/>
        <v>100</v>
      </c>
      <c r="V40" s="772" t="s">
        <v>17</v>
      </c>
      <c r="W40" s="773">
        <f t="shared" si="14"/>
        <v>100</v>
      </c>
      <c r="X40" s="1807"/>
      <c r="Y40" s="3345"/>
      <c r="Z40" s="1808" t="str">
        <f t="shared" si="15"/>
        <v>单套建筑面积</v>
      </c>
      <c r="AA40" s="1805">
        <f t="shared" si="3"/>
        <v>1</v>
      </c>
      <c r="AB40" s="1805">
        <f t="shared" si="4"/>
        <v>1</v>
      </c>
      <c r="AC40" s="1805">
        <f t="shared" si="5"/>
        <v>1</v>
      </c>
    </row>
    <row r="41" spans="1:29" s="469" customFormat="1" ht="15">
      <c r="A41" s="466"/>
      <c r="B41" s="1806" t="s">
        <v>2649</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4"/>
      <c r="M41" s="1137"/>
      <c r="N41" s="1137"/>
      <c r="O41" s="1137"/>
      <c r="P41" s="3406"/>
      <c r="Q41" s="774" t="str">
        <f t="shared" si="11"/>
        <v>进深比</v>
      </c>
      <c r="R41" s="775" t="s">
        <v>17</v>
      </c>
      <c r="S41" s="776">
        <f t="shared" si="12"/>
        <v>100</v>
      </c>
      <c r="T41" s="775" t="s">
        <v>17</v>
      </c>
      <c r="U41" s="776">
        <f t="shared" si="13"/>
        <v>100</v>
      </c>
      <c r="V41" s="775" t="s">
        <v>17</v>
      </c>
      <c r="W41" s="776">
        <f t="shared" si="14"/>
        <v>100</v>
      </c>
      <c r="X41" s="777"/>
      <c r="Y41" s="3345"/>
      <c r="Z41" s="778" t="str">
        <f t="shared" si="15"/>
        <v>进深比</v>
      </c>
      <c r="AA41" s="1805">
        <f t="shared" si="3"/>
        <v>1</v>
      </c>
      <c r="AB41" s="1805">
        <f t="shared" si="4"/>
        <v>1</v>
      </c>
      <c r="AC41" s="1805">
        <f t="shared" si="5"/>
        <v>1</v>
      </c>
    </row>
    <row r="42" spans="1:29" ht="15">
      <c r="A42" s="470"/>
      <c r="B42" s="420" t="s">
        <v>2650</v>
      </c>
      <c r="C42" s="2597"/>
      <c r="D42" s="433">
        <v>100</v>
      </c>
      <c r="E42" s="2597"/>
      <c r="F42" s="459">
        <f>SUMIF(122:122,E42,123:123)-SUMIF(122:122,C42,123:123)+100</f>
        <v>100</v>
      </c>
      <c r="G42" s="2597"/>
      <c r="H42" s="433">
        <f>SUMIF(122:122,G42,123:123)-SUMIF(122:122,C42,123:123)+100</f>
        <v>100</v>
      </c>
      <c r="I42" s="2597"/>
      <c r="J42" s="433">
        <f>SUMIF(122:122,I42,123:123)-SUMIF(122:122,C42,123:123)+100</f>
        <v>100</v>
      </c>
      <c r="K42" s="610"/>
      <c r="L42" s="1136"/>
      <c r="M42" s="1127"/>
      <c r="N42" s="1127"/>
      <c r="O42" s="1127"/>
      <c r="P42" s="3406"/>
      <c r="Q42" s="1804" t="str">
        <f t="shared" si="11"/>
        <v>内部装修</v>
      </c>
      <c r="R42" s="772" t="s">
        <v>17</v>
      </c>
      <c r="S42" s="773">
        <f t="shared" si="12"/>
        <v>100</v>
      </c>
      <c r="T42" s="772" t="s">
        <v>17</v>
      </c>
      <c r="U42" s="773">
        <f t="shared" si="13"/>
        <v>100</v>
      </c>
      <c r="V42" s="772" t="s">
        <v>17</v>
      </c>
      <c r="W42" s="773">
        <f t="shared" si="14"/>
        <v>100</v>
      </c>
      <c r="X42" s="1807"/>
      <c r="Y42" s="3345"/>
      <c r="Z42" s="1808" t="str">
        <f t="shared" si="15"/>
        <v>内部装修</v>
      </c>
      <c r="AA42" s="1805">
        <f t="shared" si="3"/>
        <v>1</v>
      </c>
      <c r="AB42" s="1805">
        <f t="shared" si="4"/>
        <v>1</v>
      </c>
      <c r="AC42" s="1805">
        <f t="shared" si="5"/>
        <v>1</v>
      </c>
    </row>
    <row r="43" spans="1:29" ht="15">
      <c r="A43" s="470"/>
      <c r="B43" s="420" t="s">
        <v>2558</v>
      </c>
      <c r="C43" s="2597"/>
      <c r="D43" s="433">
        <v>100</v>
      </c>
      <c r="E43" s="2597"/>
      <c r="F43" s="459">
        <f>SUMIF(124:124,E43,125:125)-SUMIF(124:124,C43,125:125)+100</f>
        <v>100</v>
      </c>
      <c r="G43" s="2597"/>
      <c r="H43" s="433">
        <f>SUMIF(124:124,G43,125:125)-SUMIF(124:124,C43,125:125)+100</f>
        <v>100</v>
      </c>
      <c r="I43" s="2597"/>
      <c r="J43" s="433">
        <f>SUMIF(124:124,I43,125:125)-SUMIF(124:124,C43,125:125)+100</f>
        <v>100</v>
      </c>
      <c r="K43" s="610"/>
      <c r="L43" s="1136"/>
      <c r="M43" s="1127"/>
      <c r="N43" s="1127"/>
      <c r="O43" s="1127"/>
      <c r="P43" s="3406"/>
      <c r="Q43" s="1804" t="str">
        <f t="shared" si="11"/>
        <v>内部装修维护情况</v>
      </c>
      <c r="R43" s="772" t="s">
        <v>17</v>
      </c>
      <c r="S43" s="773">
        <f t="shared" si="12"/>
        <v>100</v>
      </c>
      <c r="T43" s="772" t="s">
        <v>17</v>
      </c>
      <c r="U43" s="773">
        <f t="shared" si="13"/>
        <v>100</v>
      </c>
      <c r="V43" s="772" t="s">
        <v>17</v>
      </c>
      <c r="W43" s="773">
        <f t="shared" si="14"/>
        <v>100</v>
      </c>
      <c r="X43" s="1807"/>
      <c r="Y43" s="3345"/>
      <c r="Z43" s="1808" t="str">
        <f t="shared" si="15"/>
        <v>内部装修维护情况</v>
      </c>
      <c r="AA43" s="1805">
        <f t="shared" si="3"/>
        <v>1</v>
      </c>
      <c r="AB43" s="1805">
        <f t="shared" si="4"/>
        <v>1</v>
      </c>
      <c r="AC43" s="1805">
        <f t="shared" si="5"/>
        <v>1</v>
      </c>
    </row>
    <row r="44" spans="1:29" s="115" customFormat="1" ht="15">
      <c r="A44" s="471"/>
      <c r="B44" s="1382">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8"/>
      <c r="M44" s="1129"/>
      <c r="N44" s="1129"/>
      <c r="O44" s="1129"/>
      <c r="P44" s="3406"/>
      <c r="Q44" s="1789">
        <f t="shared" si="11"/>
        <v>111</v>
      </c>
      <c r="R44" s="768" t="s">
        <v>17</v>
      </c>
      <c r="S44" s="769">
        <f t="shared" si="12"/>
        <v>100</v>
      </c>
      <c r="T44" s="768" t="s">
        <v>17</v>
      </c>
      <c r="U44" s="769">
        <f t="shared" si="13"/>
        <v>100</v>
      </c>
      <c r="V44" s="768" t="s">
        <v>17</v>
      </c>
      <c r="W44" s="769">
        <f t="shared" si="14"/>
        <v>100</v>
      </c>
      <c r="X44" s="770"/>
      <c r="Y44" s="3345"/>
      <c r="Z44" s="55">
        <f t="shared" si="15"/>
        <v>111</v>
      </c>
      <c r="AA44" s="771">
        <f t="shared" si="3"/>
        <v>1</v>
      </c>
      <c r="AB44" s="771">
        <f t="shared" si="4"/>
        <v>1</v>
      </c>
      <c r="AC44" s="771">
        <f t="shared" si="5"/>
        <v>1</v>
      </c>
    </row>
    <row r="45" spans="1:29" ht="15">
      <c r="A45" s="470"/>
      <c r="B45" s="1382">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6"/>
      <c r="M45" s="1127"/>
      <c r="N45" s="1127"/>
      <c r="O45" s="1127"/>
      <c r="P45" s="3406"/>
      <c r="Q45" s="1804">
        <f t="shared" si="11"/>
        <v>111</v>
      </c>
      <c r="R45" s="772" t="s">
        <v>17</v>
      </c>
      <c r="S45" s="773">
        <f t="shared" si="12"/>
        <v>100</v>
      </c>
      <c r="T45" s="772" t="s">
        <v>17</v>
      </c>
      <c r="U45" s="773">
        <f t="shared" si="13"/>
        <v>100</v>
      </c>
      <c r="V45" s="772" t="s">
        <v>17</v>
      </c>
      <c r="W45" s="773">
        <f t="shared" si="14"/>
        <v>100</v>
      </c>
      <c r="X45" s="1807"/>
      <c r="Y45" s="3345"/>
      <c r="Z45" s="1808">
        <f t="shared" si="15"/>
        <v>111</v>
      </c>
      <c r="AA45" s="1805">
        <f t="shared" si="3"/>
        <v>1</v>
      </c>
      <c r="AB45" s="1805">
        <f t="shared" si="4"/>
        <v>1</v>
      </c>
      <c r="AC45" s="1805">
        <f t="shared" si="5"/>
        <v>1</v>
      </c>
    </row>
    <row r="46" spans="1:29" ht="15.75" thickBot="1">
      <c r="A46" s="476"/>
      <c r="B46" s="2586">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6"/>
      <c r="M46" s="1127"/>
      <c r="N46" s="1127"/>
      <c r="O46" s="1127"/>
      <c r="P46" s="3407"/>
      <c r="Q46" s="1804">
        <f t="shared" si="11"/>
        <v>111</v>
      </c>
      <c r="R46" s="772" t="s">
        <v>17</v>
      </c>
      <c r="S46" s="773">
        <f t="shared" si="12"/>
        <v>100</v>
      </c>
      <c r="T46" s="772" t="s">
        <v>17</v>
      </c>
      <c r="U46" s="773">
        <f t="shared" si="13"/>
        <v>100</v>
      </c>
      <c r="V46" s="772" t="s">
        <v>17</v>
      </c>
      <c r="W46" s="773">
        <f t="shared" si="14"/>
        <v>100</v>
      </c>
      <c r="X46" s="1807"/>
      <c r="Y46" s="3408"/>
      <c r="Z46" s="1808">
        <f t="shared" si="15"/>
        <v>111</v>
      </c>
      <c r="AA46" s="1805">
        <f t="shared" si="3"/>
        <v>1</v>
      </c>
      <c r="AB46" s="1805">
        <f t="shared" si="4"/>
        <v>1</v>
      </c>
      <c r="AC46" s="1805">
        <f t="shared" si="5"/>
        <v>1</v>
      </c>
    </row>
    <row r="47" spans="1:29" ht="15">
      <c r="A47" s="477" t="s">
        <v>2559</v>
      </c>
      <c r="B47" s="478"/>
      <c r="C47" s="1403" t="s">
        <v>1</v>
      </c>
      <c r="D47" s="1404"/>
      <c r="E47" s="1405"/>
      <c r="F47" s="1406"/>
      <c r="G47" s="1407"/>
      <c r="H47" s="1408"/>
      <c r="I47" s="1405"/>
      <c r="J47" s="1408"/>
      <c r="K47" s="781"/>
      <c r="L47" s="1139"/>
      <c r="M47" s="1140"/>
      <c r="N47" s="1127"/>
      <c r="O47" s="1140"/>
      <c r="P47" s="3340" t="str">
        <f>A47</f>
        <v>成交单价（元/平方米）</v>
      </c>
      <c r="Q47" s="3340"/>
      <c r="R47" s="3346">
        <f>E47</f>
        <v>0</v>
      </c>
      <c r="S47" s="3346"/>
      <c r="T47" s="3346">
        <f>G47</f>
        <v>0</v>
      </c>
      <c r="U47" s="3346"/>
      <c r="V47" s="3346">
        <f>I47</f>
        <v>0</v>
      </c>
      <c r="W47" s="3346"/>
      <c r="X47" s="757"/>
      <c r="Y47" s="779"/>
      <c r="Z47" s="757"/>
      <c r="AA47" s="757"/>
      <c r="AB47" s="757"/>
      <c r="AC47" s="757"/>
    </row>
    <row r="48" spans="1:29" ht="15.75" thickBot="1">
      <c r="A48" s="484" t="s">
        <v>2651</v>
      </c>
      <c r="B48" s="485"/>
      <c r="C48" s="1409" t="e">
        <f>R49</f>
        <v>#DIV/0!</v>
      </c>
      <c r="D48" s="1410"/>
      <c r="E48" s="1411" t="e">
        <f>R48</f>
        <v>#DIV/0!</v>
      </c>
      <c r="F48" s="1411"/>
      <c r="G48" s="1409" t="e">
        <f>T48</f>
        <v>#DIV/0!</v>
      </c>
      <c r="H48" s="1410"/>
      <c r="I48" s="1411" t="e">
        <f>V48</f>
        <v>#DIV/0!</v>
      </c>
      <c r="J48" s="1410"/>
      <c r="K48" s="782"/>
      <c r="L48" s="1139"/>
      <c r="M48" s="1140"/>
      <c r="N48" s="1127"/>
      <c r="O48" s="1140"/>
      <c r="P48" s="3340" t="str">
        <f>A48</f>
        <v>比较价值（元/平方米）</v>
      </c>
      <c r="Q48" s="3340"/>
      <c r="R48" s="3381" t="e">
        <f>IF(F1="售价",ROUND(PRODUCT(R47,AA7:AA46),0),ROUND(PRODUCT(R47,AA7:AA46),1))</f>
        <v>#DIV/0!</v>
      </c>
      <c r="S48" s="3381"/>
      <c r="T48" s="3381" t="e">
        <f>IF(F1="售价",ROUND(PRODUCT(T47,AB7:AB46),0),ROUND(PRODUCT(T47,AB7:AB46),1))</f>
        <v>#DIV/0!</v>
      </c>
      <c r="U48" s="3381"/>
      <c r="V48" s="3381" t="e">
        <f>IF(F1="售价",ROUND(PRODUCT(V47,AC7:AC46),0),ROUND(PRODUCT(V47,AC7:AC46),1))</f>
        <v>#DIV/0!</v>
      </c>
      <c r="W48" s="3381"/>
      <c r="X48" s="757"/>
      <c r="Y48" s="757"/>
      <c r="Z48" s="757"/>
      <c r="AA48" s="757"/>
      <c r="AB48" s="757"/>
      <c r="AC48" s="757"/>
    </row>
    <row r="49" spans="1:29" ht="15.75" thickBot="1">
      <c r="A49" s="490" t="s">
        <v>2652</v>
      </c>
      <c r="B49" s="491"/>
      <c r="C49" s="1413" t="e">
        <f>R49</f>
        <v>#DIV/0!</v>
      </c>
      <c r="D49" s="1413"/>
      <c r="E49" s="1413"/>
      <c r="F49" s="1413"/>
      <c r="G49" s="1413"/>
      <c r="H49" s="1413"/>
      <c r="I49" s="1413"/>
      <c r="J49" s="1413"/>
      <c r="K49" s="783"/>
      <c r="L49" s="1139"/>
      <c r="M49" s="1140"/>
      <c r="N49" s="1127"/>
      <c r="O49" s="1140"/>
      <c r="P49" s="3334" t="str">
        <f>A49</f>
        <v>估价对象XX用房的比较价值（楼面单价，元/平方米）</v>
      </c>
      <c r="Q49" s="3335"/>
      <c r="R49" s="3382" t="e">
        <f>IF(F1="售价",ROUND(AVERAGE(R48:V48),0),ROUND(AVERAGE(R48:V48),1))</f>
        <v>#DIV/0!</v>
      </c>
      <c r="S49" s="3382"/>
      <c r="T49" s="3382"/>
      <c r="U49" s="3382"/>
      <c r="V49" s="3382"/>
      <c r="W49" s="3382"/>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c r="P50" s="673"/>
      <c r="Q50" s="757"/>
      <c r="R50" s="757"/>
      <c r="S50" s="757"/>
      <c r="T50" s="757"/>
      <c r="U50" s="757"/>
      <c r="V50" s="757"/>
      <c r="W50" s="757"/>
      <c r="X50" s="757"/>
      <c r="Y50" s="757"/>
      <c r="Z50" s="757"/>
      <c r="AA50" s="757"/>
      <c r="AB50" s="757"/>
      <c r="AC50" s="757"/>
    </row>
    <row r="51" spans="1:29">
      <c r="A51" s="1140"/>
      <c r="B51" s="1140"/>
      <c r="C51" s="1140"/>
      <c r="D51" s="1140"/>
      <c r="E51" s="1140"/>
      <c r="F51" s="1140"/>
      <c r="G51" s="1140"/>
      <c r="H51" s="1140"/>
      <c r="I51" s="1140"/>
      <c r="J51" s="1140"/>
      <c r="K51" s="1101"/>
      <c r="L51" s="1102"/>
      <c r="M51" s="1140"/>
      <c r="N51" s="1140"/>
      <c r="O51" s="1140"/>
      <c r="P51" s="673"/>
      <c r="Q51" s="757"/>
      <c r="R51" s="757"/>
      <c r="S51" s="757"/>
      <c r="T51" s="757"/>
      <c r="U51" s="757"/>
      <c r="V51" s="757"/>
      <c r="W51" s="757"/>
      <c r="X51" s="757"/>
      <c r="Y51" s="757"/>
      <c r="Z51" s="757"/>
      <c r="AA51" s="757"/>
      <c r="AB51" s="757"/>
      <c r="AC51" s="757"/>
    </row>
    <row r="52" spans="1:29" ht="13.5" customHeight="1">
      <c r="A52" s="1140"/>
      <c r="B52" s="1140"/>
      <c r="C52" s="495" t="s">
        <v>2653</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1"/>
      <c r="L52" s="1102"/>
      <c r="M52" s="1140"/>
      <c r="N52" s="1140"/>
      <c r="O52" s="1140"/>
      <c r="P52" s="673"/>
      <c r="Q52" s="757"/>
      <c r="R52" s="757"/>
      <c r="S52" s="757"/>
      <c r="T52" s="757"/>
      <c r="U52" s="757"/>
      <c r="V52" s="757"/>
      <c r="W52" s="757"/>
      <c r="X52" s="757"/>
      <c r="Y52" s="757"/>
      <c r="Z52" s="757"/>
      <c r="AA52" s="757"/>
      <c r="AB52" s="757"/>
      <c r="AC52" s="757"/>
    </row>
    <row r="53" spans="1:29" ht="13.5" customHeight="1">
      <c r="A53" s="1140"/>
      <c r="B53" s="1140"/>
      <c r="C53" s="495" t="s">
        <v>2654</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1"/>
      <c r="L53" s="1102"/>
      <c r="M53" s="1140"/>
      <c r="N53" s="1140"/>
      <c r="O53" s="1140"/>
      <c r="P53" s="673"/>
      <c r="Q53" s="757"/>
      <c r="R53" s="757"/>
      <c r="S53" s="757"/>
      <c r="T53" s="757"/>
      <c r="U53" s="757"/>
      <c r="V53" s="757"/>
      <c r="W53" s="757"/>
      <c r="X53" s="757"/>
      <c r="Y53" s="757"/>
      <c r="Z53" s="757"/>
      <c r="AA53" s="757"/>
      <c r="AB53" s="757"/>
      <c r="AC53" s="757"/>
    </row>
    <row r="54" spans="1:29" s="500" customFormat="1" ht="13.5" customHeight="1">
      <c r="A54" s="1141"/>
      <c r="B54" s="1141"/>
      <c r="C54" s="495" t="s">
        <v>2655</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4"/>
      <c r="L54" s="1145"/>
      <c r="M54" s="1141"/>
      <c r="N54" s="1141"/>
      <c r="O54" s="1141"/>
      <c r="P54" s="2650"/>
      <c r="Q54" s="758"/>
      <c r="R54" s="758"/>
      <c r="S54" s="758"/>
      <c r="T54" s="758"/>
      <c r="U54" s="758"/>
      <c r="V54" s="758"/>
      <c r="W54" s="758"/>
      <c r="X54" s="758"/>
      <c r="Y54" s="758"/>
      <c r="Z54" s="758"/>
      <c r="AA54" s="758"/>
      <c r="AB54" s="758"/>
      <c r="AC54" s="758"/>
    </row>
    <row r="55" spans="1:29" s="500" customFormat="1">
      <c r="A55" s="1141"/>
      <c r="B55" s="1142"/>
      <c r="C55" s="1146"/>
      <c r="D55" s="1141"/>
      <c r="E55" s="1141"/>
      <c r="F55" s="1141"/>
      <c r="G55" s="1141"/>
      <c r="H55" s="1141"/>
      <c r="I55" s="1141"/>
      <c r="J55" s="1141"/>
      <c r="K55" s="1144"/>
      <c r="L55" s="1145"/>
      <c r="M55" s="1141"/>
      <c r="N55" s="1141"/>
      <c r="O55" s="1141"/>
      <c r="P55" s="2650"/>
      <c r="Q55" s="758"/>
      <c r="R55" s="758"/>
      <c r="S55" s="758"/>
      <c r="T55" s="758"/>
      <c r="U55" s="758"/>
      <c r="V55" s="758"/>
      <c r="W55" s="758"/>
      <c r="X55" s="758"/>
      <c r="Y55" s="758"/>
      <c r="Z55" s="758"/>
      <c r="AA55" s="758"/>
      <c r="AB55" s="758"/>
      <c r="AC55" s="758"/>
    </row>
    <row r="56" spans="1:29">
      <c r="A56" s="1140"/>
      <c r="B56" s="1142"/>
      <c r="C56" s="1146"/>
      <c r="D56" s="1140"/>
      <c r="E56" s="1140"/>
      <c r="F56" s="1140"/>
      <c r="G56" s="1140"/>
      <c r="H56" s="1140"/>
      <c r="I56" s="1140"/>
      <c r="J56" s="1140"/>
      <c r="K56" s="1101"/>
      <c r="L56" s="1102"/>
      <c r="M56" s="1140"/>
      <c r="N56" s="1140"/>
      <c r="O56" s="1140"/>
      <c r="P56" s="673"/>
      <c r="Q56" s="757"/>
      <c r="R56" s="757"/>
      <c r="S56" s="757"/>
      <c r="T56" s="757"/>
      <c r="U56" s="757"/>
      <c r="V56" s="757"/>
      <c r="W56" s="757"/>
      <c r="X56" s="757"/>
      <c r="Y56" s="757"/>
      <c r="Z56" s="757"/>
      <c r="AA56" s="757"/>
      <c r="AB56" s="757"/>
      <c r="AC56" s="757"/>
    </row>
    <row r="57" spans="1:29" ht="21.75" thickBot="1">
      <c r="A57" s="761" t="s">
        <v>2656</v>
      </c>
      <c r="B57" s="757"/>
      <c r="C57" s="762"/>
      <c r="D57" s="762"/>
      <c r="E57" s="762"/>
      <c r="F57" s="763"/>
      <c r="G57" s="763"/>
      <c r="H57" s="762"/>
      <c r="I57" s="762"/>
      <c r="J57" s="762"/>
      <c r="K57" s="764"/>
      <c r="L57" s="1157"/>
      <c r="M57" s="1155"/>
      <c r="N57" s="1155"/>
      <c r="O57" s="1155"/>
      <c r="P57" s="2651"/>
      <c r="Q57" s="2652"/>
      <c r="R57" s="757"/>
      <c r="S57" s="757"/>
      <c r="T57" s="757"/>
      <c r="U57" s="757"/>
      <c r="V57" s="757"/>
      <c r="W57" s="757"/>
      <c r="X57" s="757"/>
      <c r="Y57" s="757"/>
      <c r="Z57" s="757"/>
      <c r="AA57" s="757"/>
      <c r="AB57" s="757"/>
      <c r="AC57" s="757"/>
    </row>
    <row r="58" spans="1:29" s="506" customFormat="1" ht="15">
      <c r="A58" s="503" t="s">
        <v>2530</v>
      </c>
      <c r="B58" s="504"/>
      <c r="C58" s="1568" t="str">
        <f>YEAR(C7)&amp;"-"&amp;MONTH(C7)</f>
        <v>2020-2</v>
      </c>
      <c r="D58" s="1569">
        <f>EDATE(C58,-1)</f>
        <v>43831</v>
      </c>
      <c r="E58" s="1569">
        <f t="shared" ref="E58:N58" si="16">EDATE(D58,-1)</f>
        <v>43800</v>
      </c>
      <c r="F58" s="1569">
        <f t="shared" si="16"/>
        <v>43770</v>
      </c>
      <c r="G58" s="1569">
        <f t="shared" si="16"/>
        <v>43739</v>
      </c>
      <c r="H58" s="1569">
        <f t="shared" si="16"/>
        <v>43709</v>
      </c>
      <c r="I58" s="1569">
        <f t="shared" si="16"/>
        <v>43678</v>
      </c>
      <c r="J58" s="1569">
        <f t="shared" si="16"/>
        <v>43647</v>
      </c>
      <c r="K58" s="1569">
        <f t="shared" si="16"/>
        <v>43617</v>
      </c>
      <c r="L58" s="1569">
        <f t="shared" si="16"/>
        <v>43586</v>
      </c>
      <c r="M58" s="1569">
        <f t="shared" si="16"/>
        <v>43556</v>
      </c>
      <c r="N58" s="1569">
        <f t="shared" si="16"/>
        <v>43525</v>
      </c>
      <c r="O58" s="1569">
        <f>EDATE(N58,-1)</f>
        <v>43497</v>
      </c>
      <c r="P58" s="1564"/>
    </row>
    <row r="59" spans="1:29" s="115" customFormat="1" ht="15">
      <c r="A59" s="507"/>
      <c r="B59" s="508"/>
      <c r="C59" s="1567">
        <v>100</v>
      </c>
      <c r="D59" s="510"/>
      <c r="E59" s="510"/>
      <c r="F59" s="510"/>
      <c r="G59" s="510"/>
      <c r="H59" s="510"/>
      <c r="I59" s="510"/>
      <c r="J59" s="510"/>
      <c r="K59" s="510"/>
      <c r="L59" s="510"/>
      <c r="M59" s="511"/>
      <c r="N59" s="510"/>
      <c r="O59" s="511"/>
      <c r="P59" s="2612"/>
    </row>
    <row r="60" spans="1:29" s="115" customFormat="1" ht="15.75" thickBot="1">
      <c r="A60" s="513" t="s">
        <v>2567</v>
      </c>
      <c r="B60" s="514"/>
      <c r="C60" s="515"/>
      <c r="D60" s="516"/>
      <c r="E60" s="516"/>
      <c r="F60" s="516"/>
      <c r="G60" s="516"/>
      <c r="H60" s="516"/>
      <c r="I60" s="516"/>
      <c r="J60" s="516"/>
      <c r="K60" s="516"/>
      <c r="L60" s="516"/>
      <c r="M60" s="517"/>
      <c r="N60" s="516"/>
      <c r="O60" s="517"/>
      <c r="P60" s="2612"/>
      <c r="Q60" s="502"/>
    </row>
    <row r="61" spans="1:29" s="115" customFormat="1" ht="15">
      <c r="A61" s="519" t="s">
        <v>2532</v>
      </c>
      <c r="B61" s="508"/>
      <c r="C61" s="520" t="s">
        <v>2634</v>
      </c>
      <c r="D61" s="521"/>
      <c r="E61" s="521"/>
      <c r="F61" s="521"/>
      <c r="G61" s="521"/>
      <c r="H61" s="521"/>
      <c r="I61" s="521"/>
      <c r="J61" s="521"/>
      <c r="K61" s="521"/>
      <c r="L61" s="522"/>
      <c r="M61" s="523"/>
      <c r="N61" s="1147"/>
      <c r="O61" s="1147"/>
      <c r="P61" s="2613"/>
      <c r="Q61" s="502"/>
    </row>
    <row r="62" spans="1:29" s="115" customFormat="1" ht="15.75" thickBot="1">
      <c r="A62" s="519"/>
      <c r="B62" s="508"/>
      <c r="C62" s="509">
        <v>100</v>
      </c>
      <c r="D62" s="510"/>
      <c r="E62" s="510"/>
      <c r="F62" s="510"/>
      <c r="G62" s="510"/>
      <c r="H62" s="510"/>
      <c r="I62" s="510"/>
      <c r="J62" s="510"/>
      <c r="K62" s="510"/>
      <c r="L62" s="510"/>
      <c r="M62" s="512"/>
      <c r="N62" s="1147"/>
      <c r="O62" s="1147"/>
      <c r="P62" s="2612"/>
      <c r="Q62" s="502"/>
    </row>
    <row r="63" spans="1:29">
      <c r="A63" s="525" t="s">
        <v>2570</v>
      </c>
      <c r="B63" s="526" t="s">
        <v>2536</v>
      </c>
      <c r="C63" s="527">
        <f>C9</f>
        <v>0</v>
      </c>
      <c r="D63" s="528"/>
      <c r="E63" s="528"/>
      <c r="F63" s="528"/>
      <c r="G63" s="528"/>
      <c r="H63" s="528"/>
      <c r="I63" s="528"/>
      <c r="J63" s="528"/>
      <c r="K63" s="529"/>
      <c r="L63" s="530"/>
      <c r="M63" s="531"/>
      <c r="N63" s="1148"/>
      <c r="O63" s="1148"/>
      <c r="P63" s="2614"/>
      <c r="Q63" s="502"/>
    </row>
    <row r="64" spans="1:29" ht="15.75" thickBot="1">
      <c r="A64" s="532"/>
      <c r="B64" s="533"/>
      <c r="C64" s="534">
        <v>100</v>
      </c>
      <c r="D64" s="534"/>
      <c r="E64" s="534"/>
      <c r="F64" s="534"/>
      <c r="G64" s="534"/>
      <c r="H64" s="534"/>
      <c r="I64" s="534"/>
      <c r="J64" s="534"/>
      <c r="K64" s="534"/>
      <c r="L64" s="534"/>
      <c r="M64" s="535"/>
      <c r="N64" s="1149"/>
      <c r="O64" s="1149"/>
      <c r="P64" s="2614"/>
      <c r="Q64" s="502"/>
    </row>
    <row r="65" spans="1:17" ht="27.75" thickTop="1">
      <c r="A65" s="532"/>
      <c r="B65" s="536" t="s">
        <v>2539</v>
      </c>
      <c r="C65" s="537" t="s">
        <v>2571</v>
      </c>
      <c r="D65" s="537" t="s">
        <v>2572</v>
      </c>
      <c r="E65" s="537" t="s">
        <v>2573</v>
      </c>
      <c r="F65" s="537" t="s">
        <v>2574</v>
      </c>
      <c r="G65" s="537" t="s">
        <v>2575</v>
      </c>
      <c r="H65" s="537" t="s">
        <v>2576</v>
      </c>
      <c r="I65" s="537" t="s">
        <v>2577</v>
      </c>
      <c r="J65" s="537"/>
      <c r="K65" s="538"/>
      <c r="L65" s="539"/>
      <c r="M65" s="540"/>
      <c r="N65" s="1148"/>
      <c r="O65" s="1148"/>
      <c r="P65" s="2614"/>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49"/>
      <c r="O66" s="1149"/>
      <c r="P66" s="2614"/>
      <c r="Q66" s="502"/>
    </row>
    <row r="67" spans="1:17" ht="15.75" thickTop="1">
      <c r="A67" s="532"/>
      <c r="B67" s="544" t="s">
        <v>2540</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9"/>
      <c r="O67" s="1149"/>
      <c r="P67" s="2614"/>
      <c r="Q67" s="502"/>
    </row>
    <row r="68" spans="1:17" ht="15">
      <c r="A68" s="532"/>
      <c r="B68" s="546"/>
      <c r="C68" s="547"/>
      <c r="D68" s="547"/>
      <c r="E68" s="547"/>
      <c r="F68" s="547"/>
      <c r="G68" s="547"/>
      <c r="H68" s="547"/>
      <c r="I68" s="547"/>
      <c r="J68" s="547"/>
      <c r="K68" s="548"/>
      <c r="L68" s="549"/>
      <c r="M68" s="550"/>
      <c r="N68" s="1148"/>
      <c r="O68" s="1148"/>
      <c r="P68" s="2614"/>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9"/>
      <c r="O69" s="1149"/>
      <c r="P69" s="2614"/>
      <c r="Q69" s="502"/>
    </row>
    <row r="70" spans="1:17" s="469" customFormat="1" ht="15.75" thickTop="1">
      <c r="A70" s="551"/>
      <c r="B70" s="536">
        <f>B12</f>
        <v>111</v>
      </c>
      <c r="C70" s="552"/>
      <c r="D70" s="552"/>
      <c r="E70" s="552"/>
      <c r="F70" s="552"/>
      <c r="G70" s="552"/>
      <c r="H70" s="553"/>
      <c r="I70" s="553"/>
      <c r="J70" s="553"/>
      <c r="K70" s="553"/>
      <c r="L70" s="554"/>
      <c r="M70" s="555"/>
      <c r="N70" s="1150"/>
      <c r="O70" s="1150"/>
      <c r="P70" s="2615"/>
      <c r="Q70" s="557"/>
    </row>
    <row r="71" spans="1:17" s="469" customFormat="1" ht="15.75" thickBot="1">
      <c r="A71" s="551"/>
      <c r="B71" s="541"/>
      <c r="C71" s="558"/>
      <c r="D71" s="534"/>
      <c r="E71" s="534"/>
      <c r="F71" s="534"/>
      <c r="G71" s="534"/>
      <c r="H71" s="534"/>
      <c r="I71" s="534"/>
      <c r="J71" s="534"/>
      <c r="K71" s="534"/>
      <c r="L71" s="534"/>
      <c r="M71" s="535"/>
      <c r="N71" s="1149"/>
      <c r="O71" s="1149"/>
      <c r="P71" s="2615"/>
      <c r="Q71" s="557"/>
    </row>
    <row r="72" spans="1:17" s="469" customFormat="1" ht="15.75" thickTop="1">
      <c r="A72" s="551"/>
      <c r="B72" s="536">
        <f>B13</f>
        <v>111</v>
      </c>
      <c r="C72" s="552"/>
      <c r="D72" s="552"/>
      <c r="E72" s="552"/>
      <c r="F72" s="552"/>
      <c r="G72" s="552"/>
      <c r="H72" s="553"/>
      <c r="I72" s="553"/>
      <c r="J72" s="553"/>
      <c r="K72" s="553"/>
      <c r="L72" s="554"/>
      <c r="M72" s="555"/>
      <c r="N72" s="1150"/>
      <c r="O72" s="1150"/>
      <c r="P72" s="2616"/>
      <c r="Q72" s="559"/>
    </row>
    <row r="73" spans="1:17" s="469" customFormat="1" ht="15.75" thickBot="1">
      <c r="A73" s="551"/>
      <c r="B73" s="541"/>
      <c r="C73" s="558"/>
      <c r="D73" s="534"/>
      <c r="E73" s="534"/>
      <c r="F73" s="534"/>
      <c r="G73" s="558"/>
      <c r="H73" s="560"/>
      <c r="I73" s="560"/>
      <c r="J73" s="560"/>
      <c r="K73" s="560"/>
      <c r="L73" s="560"/>
      <c r="M73" s="561"/>
      <c r="N73" s="1150"/>
      <c r="O73" s="1150"/>
      <c r="P73" s="2615"/>
      <c r="Q73" s="557"/>
    </row>
    <row r="74" spans="1:17" s="469" customFormat="1" ht="15.75" thickTop="1">
      <c r="A74" s="551"/>
      <c r="B74" s="544">
        <f>B14</f>
        <v>111</v>
      </c>
      <c r="C74" s="552"/>
      <c r="D74" s="552"/>
      <c r="E74" s="552"/>
      <c r="F74" s="552"/>
      <c r="G74" s="521"/>
      <c r="H74" s="562"/>
      <c r="I74" s="562"/>
      <c r="J74" s="562"/>
      <c r="K74" s="562"/>
      <c r="L74" s="563"/>
      <c r="M74" s="564"/>
      <c r="N74" s="1150"/>
      <c r="O74" s="1150"/>
      <c r="P74" s="2617"/>
      <c r="Q74" s="557"/>
    </row>
    <row r="75" spans="1:17" s="469" customFormat="1" ht="15.75" thickBot="1">
      <c r="A75" s="566"/>
      <c r="B75" s="567"/>
      <c r="C75" s="568"/>
      <c r="D75" s="568"/>
      <c r="E75" s="568"/>
      <c r="F75" s="568"/>
      <c r="G75" s="568"/>
      <c r="H75" s="569"/>
      <c r="I75" s="569"/>
      <c r="J75" s="569"/>
      <c r="K75" s="569"/>
      <c r="L75" s="569"/>
      <c r="M75" s="570"/>
      <c r="N75" s="1150"/>
      <c r="O75" s="1150"/>
      <c r="P75" s="2615"/>
      <c r="Q75" s="557"/>
    </row>
    <row r="76" spans="1:17">
      <c r="A76" s="525" t="s">
        <v>2541</v>
      </c>
      <c r="B76" s="526" t="s">
        <v>2578</v>
      </c>
      <c r="C76" s="571" t="s">
        <v>2579</v>
      </c>
      <c r="D76" s="571" t="s">
        <v>2580</v>
      </c>
      <c r="E76" s="571" t="s">
        <v>2581</v>
      </c>
      <c r="F76" s="571" t="s">
        <v>2582</v>
      </c>
      <c r="G76" s="571" t="s">
        <v>2583</v>
      </c>
      <c r="H76" s="527"/>
      <c r="I76" s="527"/>
      <c r="J76" s="527"/>
      <c r="K76" s="572"/>
      <c r="L76" s="573"/>
      <c r="M76" s="574"/>
      <c r="N76" s="1148"/>
      <c r="O76" s="1148"/>
      <c r="P76" s="2618"/>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9"/>
      <c r="O77" s="1149"/>
      <c r="P77" s="2614"/>
      <c r="Q77" s="502"/>
    </row>
    <row r="78" spans="1:17" ht="15.75" thickTop="1">
      <c r="A78" s="532"/>
      <c r="B78" s="536" t="s">
        <v>2584</v>
      </c>
      <c r="C78" s="576" t="s">
        <v>2579</v>
      </c>
      <c r="D78" s="576" t="s">
        <v>2580</v>
      </c>
      <c r="E78" s="576" t="s">
        <v>2581</v>
      </c>
      <c r="F78" s="576" t="s">
        <v>2582</v>
      </c>
      <c r="G78" s="576" t="s">
        <v>2583</v>
      </c>
      <c r="H78" s="537"/>
      <c r="I78" s="537"/>
      <c r="J78" s="537"/>
      <c r="K78" s="538"/>
      <c r="L78" s="539"/>
      <c r="M78" s="540"/>
      <c r="N78" s="1148"/>
      <c r="O78" s="1148"/>
      <c r="P78" s="2614"/>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9"/>
      <c r="O79" s="1149"/>
      <c r="P79" s="2614"/>
      <c r="Q79" s="502"/>
    </row>
    <row r="80" spans="1:17" ht="15.75" thickTop="1">
      <c r="A80" s="532"/>
      <c r="B80" s="536" t="s">
        <v>2585</v>
      </c>
      <c r="C80" s="576" t="s">
        <v>2579</v>
      </c>
      <c r="D80" s="576" t="s">
        <v>2580</v>
      </c>
      <c r="E80" s="576" t="s">
        <v>2581</v>
      </c>
      <c r="F80" s="576" t="s">
        <v>2582</v>
      </c>
      <c r="G80" s="576" t="s">
        <v>2583</v>
      </c>
      <c r="H80" s="537"/>
      <c r="I80" s="537"/>
      <c r="J80" s="537"/>
      <c r="K80" s="538"/>
      <c r="L80" s="539"/>
      <c r="M80" s="540"/>
      <c r="N80" s="1148"/>
      <c r="O80" s="1148"/>
      <c r="P80" s="2614"/>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9"/>
      <c r="O81" s="1149"/>
      <c r="P81" s="2614"/>
      <c r="Q81" s="502"/>
    </row>
    <row r="82" spans="1:17" ht="15.75" thickTop="1">
      <c r="A82" s="532"/>
      <c r="B82" s="544" t="s">
        <v>2637</v>
      </c>
      <c r="C82" s="658" t="s">
        <v>2657</v>
      </c>
      <c r="D82" s="658" t="s">
        <v>2658</v>
      </c>
      <c r="E82" s="658" t="s">
        <v>2659</v>
      </c>
      <c r="F82" s="658" t="s">
        <v>2660</v>
      </c>
      <c r="G82" s="658" t="s">
        <v>2661</v>
      </c>
      <c r="H82" s="537"/>
      <c r="I82" s="537"/>
      <c r="J82" s="537"/>
      <c r="K82" s="537"/>
      <c r="L82" s="537"/>
      <c r="M82" s="1378"/>
      <c r="N82" s="1149"/>
      <c r="O82" s="1149"/>
      <c r="P82" s="2614"/>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49"/>
      <c r="O83" s="1149"/>
      <c r="P83" s="2614"/>
      <c r="Q83" s="502"/>
    </row>
    <row r="84" spans="1:17" ht="15.75" thickTop="1">
      <c r="A84" s="532"/>
      <c r="B84" s="536" t="s">
        <v>2591</v>
      </c>
      <c r="C84" s="576" t="s">
        <v>2579</v>
      </c>
      <c r="D84" s="576" t="s">
        <v>2580</v>
      </c>
      <c r="E84" s="576" t="s">
        <v>2581</v>
      </c>
      <c r="F84" s="576" t="s">
        <v>2582</v>
      </c>
      <c r="G84" s="576" t="s">
        <v>2583</v>
      </c>
      <c r="H84" s="537"/>
      <c r="I84" s="537"/>
      <c r="J84" s="537"/>
      <c r="K84" s="538"/>
      <c r="L84" s="539"/>
      <c r="M84" s="540"/>
      <c r="N84" s="1148"/>
      <c r="O84" s="1148"/>
      <c r="P84" s="2614"/>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9"/>
      <c r="O85" s="1149"/>
      <c r="P85" s="2614"/>
      <c r="Q85" s="502"/>
    </row>
    <row r="86" spans="1:17" s="115" customFormat="1" ht="15.75" thickTop="1">
      <c r="A86" s="577"/>
      <c r="B86" s="536" t="s">
        <v>2662</v>
      </c>
      <c r="C86" s="552"/>
      <c r="D86" s="552"/>
      <c r="E86" s="552"/>
      <c r="F86" s="552"/>
      <c r="G86" s="552"/>
      <c r="H86" s="552"/>
      <c r="I86" s="552"/>
      <c r="J86" s="552"/>
      <c r="K86" s="552"/>
      <c r="L86" s="578"/>
      <c r="M86" s="579"/>
      <c r="N86" s="1147"/>
      <c r="O86" s="1147"/>
      <c r="P86" s="2614"/>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9"/>
      <c r="O87" s="1149"/>
      <c r="P87" s="2614"/>
      <c r="Q87" s="502"/>
    </row>
    <row r="88" spans="1:17" s="115" customFormat="1" ht="15.75" thickTop="1">
      <c r="A88" s="577"/>
      <c r="B88" s="536" t="str">
        <f>B26</f>
        <v>平面位置/可视性</v>
      </c>
      <c r="C88" s="552"/>
      <c r="D88" s="552"/>
      <c r="E88" s="552"/>
      <c r="F88" s="2619"/>
      <c r="G88" s="552"/>
      <c r="H88" s="552"/>
      <c r="I88" s="552"/>
      <c r="J88" s="552"/>
      <c r="K88" s="552"/>
      <c r="L88" s="552"/>
      <c r="M88" s="579"/>
      <c r="N88" s="1147"/>
      <c r="O88" s="1147"/>
      <c r="P88" s="2614"/>
      <c r="Q88" s="502"/>
    </row>
    <row r="89" spans="1:17" s="115" customFormat="1" ht="15.75" thickBot="1">
      <c r="A89" s="577"/>
      <c r="B89" s="541"/>
      <c r="C89" s="558"/>
      <c r="D89" s="534"/>
      <c r="E89" s="534"/>
      <c r="F89" s="534"/>
      <c r="G89" s="534"/>
      <c r="H89" s="534"/>
      <c r="I89" s="534"/>
      <c r="J89" s="534"/>
      <c r="K89" s="534"/>
      <c r="L89" s="534"/>
      <c r="M89" s="534"/>
      <c r="N89" s="1149"/>
      <c r="O89" s="1149"/>
      <c r="P89" s="2614"/>
      <c r="Q89" s="502"/>
    </row>
    <row r="90" spans="1:17" s="469" customFormat="1" ht="15.75" thickTop="1">
      <c r="A90" s="551"/>
      <c r="B90" s="536" t="str">
        <f>B27</f>
        <v>人流量</v>
      </c>
      <c r="C90" s="552"/>
      <c r="D90" s="552"/>
      <c r="E90" s="552"/>
      <c r="F90" s="552"/>
      <c r="G90" s="552"/>
      <c r="H90" s="553"/>
      <c r="I90" s="553"/>
      <c r="J90" s="553"/>
      <c r="K90" s="553"/>
      <c r="L90" s="554"/>
      <c r="M90" s="555"/>
      <c r="N90" s="1150"/>
      <c r="O90" s="1150"/>
      <c r="P90" s="2615"/>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0"/>
      <c r="O91" s="1150"/>
      <c r="P91" s="2615"/>
      <c r="Q91" s="557"/>
    </row>
    <row r="92" spans="1:17" ht="15.75" thickTop="1">
      <c r="A92" s="532"/>
      <c r="B92" s="536" t="str">
        <f>B28</f>
        <v>楼层</v>
      </c>
      <c r="C92" s="552"/>
      <c r="D92" s="552"/>
      <c r="E92" s="552"/>
      <c r="F92" s="552"/>
      <c r="G92" s="552"/>
      <c r="H92" s="552"/>
      <c r="I92" s="552"/>
      <c r="J92" s="552"/>
      <c r="K92" s="552"/>
      <c r="L92" s="578"/>
      <c r="M92" s="579"/>
      <c r="N92" s="1148"/>
      <c r="O92" s="1148"/>
      <c r="P92" s="2614"/>
      <c r="Q92" s="502"/>
    </row>
    <row r="93" spans="1:17" ht="15.75" thickBot="1">
      <c r="A93" s="532"/>
      <c r="B93" s="541"/>
      <c r="C93" s="534"/>
      <c r="D93" s="534"/>
      <c r="E93" s="534"/>
      <c r="F93" s="534"/>
      <c r="G93" s="534"/>
      <c r="H93" s="534"/>
      <c r="I93" s="534"/>
      <c r="J93" s="534"/>
      <c r="K93" s="534"/>
      <c r="L93" s="534"/>
      <c r="M93" s="535"/>
      <c r="N93" s="1149"/>
      <c r="O93" s="1149"/>
      <c r="P93" s="2614"/>
      <c r="Q93" s="502"/>
    </row>
    <row r="94" spans="1:17" ht="15.75" thickTop="1">
      <c r="A94" s="532"/>
      <c r="B94" s="536">
        <f>B29</f>
        <v>111</v>
      </c>
      <c r="C94" s="552"/>
      <c r="D94" s="552"/>
      <c r="E94" s="552"/>
      <c r="F94" s="552"/>
      <c r="G94" s="581"/>
      <c r="H94" s="581"/>
      <c r="I94" s="581"/>
      <c r="J94" s="581"/>
      <c r="K94" s="582"/>
      <c r="L94" s="583"/>
      <c r="M94" s="584"/>
      <c r="N94" s="1148"/>
      <c r="O94" s="1148"/>
      <c r="P94" s="2614"/>
      <c r="Q94" s="502"/>
    </row>
    <row r="95" spans="1:17" ht="15.75" thickBot="1">
      <c r="A95" s="532"/>
      <c r="B95" s="541"/>
      <c r="C95" s="558"/>
      <c r="D95" s="534"/>
      <c r="E95" s="534"/>
      <c r="F95" s="534"/>
      <c r="G95" s="534"/>
      <c r="H95" s="534"/>
      <c r="I95" s="534"/>
      <c r="J95" s="534"/>
      <c r="K95" s="534"/>
      <c r="L95" s="534"/>
      <c r="M95" s="535"/>
      <c r="N95" s="1149"/>
      <c r="O95" s="1149"/>
      <c r="P95" s="2614"/>
      <c r="Q95" s="502"/>
    </row>
    <row r="96" spans="1:17" ht="15.75" thickTop="1">
      <c r="A96" s="532"/>
      <c r="B96" s="536">
        <f>B30</f>
        <v>111</v>
      </c>
      <c r="C96" s="552"/>
      <c r="D96" s="552"/>
      <c r="E96" s="552"/>
      <c r="F96" s="552"/>
      <c r="G96" s="581"/>
      <c r="H96" s="581"/>
      <c r="I96" s="581"/>
      <c r="J96" s="581"/>
      <c r="K96" s="582"/>
      <c r="L96" s="583"/>
      <c r="M96" s="584"/>
      <c r="N96" s="1148"/>
      <c r="O96" s="1148"/>
      <c r="P96" s="2614"/>
      <c r="Q96" s="502"/>
    </row>
    <row r="97" spans="1:17" ht="15.75" thickBot="1">
      <c r="A97" s="532"/>
      <c r="B97" s="541"/>
      <c r="C97" s="558"/>
      <c r="D97" s="534"/>
      <c r="E97" s="534"/>
      <c r="F97" s="534"/>
      <c r="G97" s="534"/>
      <c r="H97" s="534"/>
      <c r="I97" s="534"/>
      <c r="J97" s="534"/>
      <c r="K97" s="534"/>
      <c r="L97" s="534"/>
      <c r="M97" s="535"/>
      <c r="N97" s="1149"/>
      <c r="O97" s="1149"/>
      <c r="P97" s="2614"/>
      <c r="Q97" s="502"/>
    </row>
    <row r="98" spans="1:17" ht="15.75" thickTop="1">
      <c r="A98" s="532"/>
      <c r="B98" s="544">
        <f>B31</f>
        <v>111</v>
      </c>
      <c r="C98" s="552"/>
      <c r="D98" s="552"/>
      <c r="E98" s="552"/>
      <c r="F98" s="552"/>
      <c r="G98" s="585"/>
      <c r="H98" s="585"/>
      <c r="I98" s="585"/>
      <c r="J98" s="585"/>
      <c r="K98" s="586"/>
      <c r="L98" s="587"/>
      <c r="M98" s="588"/>
      <c r="N98" s="1148"/>
      <c r="O98" s="1148"/>
      <c r="P98" s="2614"/>
      <c r="Q98" s="502"/>
    </row>
    <row r="99" spans="1:17" ht="15.75" thickBot="1">
      <c r="A99" s="2620"/>
      <c r="B99" s="567"/>
      <c r="C99" s="568"/>
      <c r="D99" s="568"/>
      <c r="E99" s="568"/>
      <c r="F99" s="568"/>
      <c r="G99" s="589"/>
      <c r="H99" s="589"/>
      <c r="I99" s="589"/>
      <c r="J99" s="589"/>
      <c r="K99" s="589"/>
      <c r="L99" s="589"/>
      <c r="M99" s="590"/>
      <c r="N99" s="1149"/>
      <c r="O99" s="1149"/>
      <c r="P99" s="2614"/>
      <c r="Q99" s="502"/>
    </row>
    <row r="100" spans="1:17">
      <c r="A100" s="525" t="s">
        <v>2545</v>
      </c>
      <c r="B100" s="526" t="s">
        <v>2663</v>
      </c>
      <c r="C100" s="528"/>
      <c r="D100" s="528"/>
      <c r="E100" s="528"/>
      <c r="F100" s="528"/>
      <c r="G100" s="528"/>
      <c r="H100" s="528"/>
      <c r="I100" s="528"/>
      <c r="J100" s="528"/>
      <c r="K100" s="529"/>
      <c r="L100" s="530"/>
      <c r="M100" s="531"/>
      <c r="N100" s="1148"/>
      <c r="O100" s="1148"/>
      <c r="P100" s="2614"/>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49"/>
      <c r="O101" s="1149"/>
      <c r="P101" s="2614"/>
      <c r="Q101" s="502"/>
    </row>
    <row r="102" spans="1:17" ht="15.75" thickTop="1">
      <c r="A102" s="532"/>
      <c r="B102" s="536" t="s">
        <v>2595</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7"/>
      <c r="O102" s="1147"/>
      <c r="P102" s="2614"/>
      <c r="Q102" s="502"/>
    </row>
    <row r="103" spans="1:17" s="469" customFormat="1">
      <c r="A103" s="591"/>
      <c r="B103" s="592"/>
      <c r="C103" s="593"/>
      <c r="D103" s="593"/>
      <c r="E103" s="593"/>
      <c r="F103" s="593"/>
      <c r="G103" s="593"/>
      <c r="H103" s="593"/>
      <c r="I103" s="593"/>
      <c r="J103" s="594"/>
      <c r="K103" s="594"/>
      <c r="L103" s="595"/>
      <c r="M103" s="596"/>
      <c r="N103" s="1150"/>
      <c r="O103" s="1150"/>
      <c r="P103" s="2615"/>
      <c r="Q103" s="557"/>
    </row>
    <row r="104" spans="1:17" s="469" customFormat="1" ht="15.75" thickBot="1">
      <c r="A104" s="551"/>
      <c r="B104" s="541"/>
      <c r="C104" s="558"/>
      <c r="D104" s="534"/>
      <c r="E104" s="534"/>
      <c r="F104" s="534"/>
      <c r="G104" s="534"/>
      <c r="H104" s="534"/>
      <c r="I104" s="534"/>
      <c r="J104" s="534"/>
      <c r="K104" s="534"/>
      <c r="L104" s="534"/>
      <c r="M104" s="535"/>
      <c r="N104" s="1149"/>
      <c r="O104" s="1149"/>
      <c r="P104" s="2615"/>
      <c r="Q104" s="557"/>
    </row>
    <row r="105" spans="1:17" ht="15" thickTop="1">
      <c r="A105" s="597"/>
      <c r="B105" s="536" t="s">
        <v>2596</v>
      </c>
      <c r="C105" s="552"/>
      <c r="D105" s="552"/>
      <c r="E105" s="581"/>
      <c r="F105" s="581"/>
      <c r="G105" s="581"/>
      <c r="H105" s="581"/>
      <c r="I105" s="581"/>
      <c r="J105" s="581"/>
      <c r="K105" s="582"/>
      <c r="L105" s="583"/>
      <c r="M105" s="584"/>
      <c r="N105" s="1148"/>
      <c r="O105" s="1148"/>
      <c r="P105" s="2614"/>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49"/>
      <c r="O106" s="1149"/>
      <c r="P106" s="2614"/>
      <c r="Q106" s="502"/>
    </row>
    <row r="107" spans="1:17" ht="15" thickTop="1">
      <c r="A107" s="597"/>
      <c r="B107" s="536" t="s">
        <v>2598</v>
      </c>
      <c r="C107" s="552"/>
      <c r="D107" s="552"/>
      <c r="E107" s="552"/>
      <c r="F107" s="581"/>
      <c r="G107" s="581"/>
      <c r="H107" s="581"/>
      <c r="I107" s="581"/>
      <c r="J107" s="581"/>
      <c r="K107" s="582"/>
      <c r="L107" s="583"/>
      <c r="M107" s="584"/>
      <c r="N107" s="1148"/>
      <c r="O107" s="1148"/>
      <c r="P107" s="2614"/>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49"/>
      <c r="O108" s="1149"/>
      <c r="P108" s="2614"/>
      <c r="Q108" s="502"/>
    </row>
    <row r="109" spans="1:17" ht="15" thickTop="1">
      <c r="A109" s="597"/>
      <c r="B109" s="536" t="s">
        <v>1987</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8"/>
      <c r="O109" s="1148"/>
      <c r="P109" s="2614"/>
      <c r="Q109" s="502"/>
    </row>
    <row r="110" spans="1:17">
      <c r="A110" s="597"/>
      <c r="B110" s="544"/>
      <c r="C110" s="601">
        <v>0.5</v>
      </c>
      <c r="D110" s="601">
        <v>0.6</v>
      </c>
      <c r="E110" s="601">
        <v>0.7</v>
      </c>
      <c r="F110" s="601">
        <v>0.8</v>
      </c>
      <c r="G110" s="601">
        <v>0.9</v>
      </c>
      <c r="H110" s="601">
        <v>1.0001</v>
      </c>
      <c r="I110" s="621"/>
      <c r="J110" s="621"/>
      <c r="K110" s="622"/>
      <c r="L110" s="623"/>
      <c r="M110" s="624"/>
      <c r="N110" s="1148"/>
      <c r="O110" s="1148"/>
      <c r="P110" s="2614"/>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49"/>
      <c r="O111" s="1149"/>
      <c r="P111" s="2614"/>
      <c r="Q111" s="502"/>
    </row>
    <row r="112" spans="1:17" s="469" customFormat="1" ht="15" thickTop="1">
      <c r="A112" s="591"/>
      <c r="B112" s="536" t="s">
        <v>2600</v>
      </c>
      <c r="C112" s="552"/>
      <c r="D112" s="552"/>
      <c r="E112" s="552"/>
      <c r="F112" s="552"/>
      <c r="G112" s="552"/>
      <c r="H112" s="581"/>
      <c r="I112" s="581"/>
      <c r="J112" s="581"/>
      <c r="K112" s="582"/>
      <c r="L112" s="583"/>
      <c r="M112" s="584"/>
      <c r="N112" s="1150"/>
      <c r="O112" s="1150"/>
      <c r="P112" s="2615"/>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0"/>
      <c r="O113" s="1150"/>
      <c r="P113" s="2615"/>
      <c r="Q113" s="557"/>
    </row>
    <row r="114" spans="1:17" ht="15" thickTop="1">
      <c r="A114" s="597"/>
      <c r="B114" s="536" t="s">
        <v>2664</v>
      </c>
      <c r="C114" s="552"/>
      <c r="D114" s="552"/>
      <c r="E114" s="581"/>
      <c r="F114" s="581"/>
      <c r="G114" s="581"/>
      <c r="H114" s="581"/>
      <c r="I114" s="581"/>
      <c r="J114" s="581"/>
      <c r="K114" s="582"/>
      <c r="L114" s="583"/>
      <c r="M114" s="584"/>
      <c r="N114" s="1148"/>
      <c r="O114" s="1148"/>
      <c r="P114" s="2614"/>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9"/>
      <c r="O115" s="1149"/>
      <c r="P115" s="2614"/>
      <c r="Q115" s="502"/>
    </row>
    <row r="116" spans="1:17" ht="15" thickTop="1">
      <c r="A116" s="597"/>
      <c r="B116" s="536" t="s">
        <v>2665</v>
      </c>
      <c r="C116" s="552"/>
      <c r="D116" s="552"/>
      <c r="E116" s="552"/>
      <c r="F116" s="552"/>
      <c r="G116" s="552"/>
      <c r="H116" s="581"/>
      <c r="I116" s="581"/>
      <c r="J116" s="581"/>
      <c r="K116" s="582"/>
      <c r="L116" s="583"/>
      <c r="M116" s="584"/>
      <c r="N116" s="1148"/>
      <c r="O116" s="1148"/>
      <c r="P116" s="2614"/>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9"/>
      <c r="O117" s="1149"/>
      <c r="P117" s="2614"/>
      <c r="Q117" s="502"/>
    </row>
    <row r="118" spans="1:17" ht="15" thickTop="1">
      <c r="A118" s="597"/>
      <c r="B118" s="536" t="s">
        <v>2666</v>
      </c>
      <c r="C118" s="625"/>
      <c r="D118" s="625"/>
      <c r="E118" s="625"/>
      <c r="F118" s="625"/>
      <c r="G118" s="625"/>
      <c r="H118" s="553"/>
      <c r="I118" s="553"/>
      <c r="J118" s="553"/>
      <c r="K118" s="553"/>
      <c r="L118" s="554"/>
      <c r="M118" s="555"/>
      <c r="N118" s="1148"/>
      <c r="O118" s="1148"/>
      <c r="P118" s="2614"/>
      <c r="Q118" s="502"/>
    </row>
    <row r="119" spans="1:17" ht="15.75" thickBot="1">
      <c r="A119" s="532"/>
      <c r="B119" s="541"/>
      <c r="C119" s="558"/>
      <c r="D119" s="534"/>
      <c r="E119" s="534"/>
      <c r="F119" s="534"/>
      <c r="G119" s="534"/>
      <c r="H119" s="534"/>
      <c r="I119" s="534"/>
      <c r="J119" s="534"/>
      <c r="K119" s="534"/>
      <c r="L119" s="534"/>
      <c r="M119" s="535"/>
      <c r="N119" s="1149"/>
      <c r="O119" s="1149"/>
      <c r="P119" s="2614"/>
      <c r="Q119" s="502"/>
    </row>
    <row r="120" spans="1:17" s="469" customFormat="1" ht="15" thickTop="1">
      <c r="A120" s="591"/>
      <c r="B120" s="536" t="s">
        <v>2667</v>
      </c>
      <c r="C120" s="581"/>
      <c r="D120" s="581"/>
      <c r="E120" s="581"/>
      <c r="F120" s="581"/>
      <c r="G120" s="553"/>
      <c r="H120" s="553"/>
      <c r="I120" s="553"/>
      <c r="J120" s="553"/>
      <c r="K120" s="553"/>
      <c r="L120" s="554"/>
      <c r="M120" s="555"/>
      <c r="N120" s="1150"/>
      <c r="O120" s="1150"/>
      <c r="P120" s="2615"/>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0"/>
      <c r="O121" s="1150"/>
      <c r="P121" s="2615"/>
      <c r="Q121" s="557"/>
    </row>
    <row r="122" spans="1:17" ht="15" thickTop="1">
      <c r="A122" s="597"/>
      <c r="B122" s="536" t="s">
        <v>2602</v>
      </c>
      <c r="C122" s="552"/>
      <c r="D122" s="552"/>
      <c r="E122" s="552"/>
      <c r="F122" s="581"/>
      <c r="G122" s="581"/>
      <c r="H122" s="581"/>
      <c r="I122" s="581"/>
      <c r="J122" s="581"/>
      <c r="K122" s="582"/>
      <c r="L122" s="583"/>
      <c r="M122" s="584"/>
      <c r="N122" s="1148"/>
      <c r="O122" s="1148"/>
      <c r="P122" s="2614"/>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49"/>
      <c r="O123" s="1149"/>
      <c r="P123" s="2614"/>
      <c r="Q123" s="502"/>
    </row>
    <row r="124" spans="1:17" ht="15" thickTop="1">
      <c r="A124" s="597"/>
      <c r="B124" s="536" t="s">
        <v>2603</v>
      </c>
      <c r="C124" s="576" t="s">
        <v>2579</v>
      </c>
      <c r="D124" s="576" t="s">
        <v>2580</v>
      </c>
      <c r="E124" s="576" t="s">
        <v>2581</v>
      </c>
      <c r="F124" s="576" t="s">
        <v>2582</v>
      </c>
      <c r="G124" s="576" t="s">
        <v>2583</v>
      </c>
      <c r="H124" s="537"/>
      <c r="I124" s="537"/>
      <c r="J124" s="537"/>
      <c r="K124" s="538"/>
      <c r="L124" s="539"/>
      <c r="M124" s="540"/>
      <c r="N124" s="1148"/>
      <c r="O124" s="1148"/>
      <c r="P124" s="2615"/>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9"/>
      <c r="O125" s="1149"/>
      <c r="P125" s="2614"/>
      <c r="Q125" s="502"/>
    </row>
    <row r="126" spans="1:17" s="469" customFormat="1" ht="15" thickTop="1">
      <c r="A126" s="591"/>
      <c r="B126" s="536">
        <f>B44</f>
        <v>111</v>
      </c>
      <c r="C126" s="552"/>
      <c r="D126" s="552"/>
      <c r="E126" s="552"/>
      <c r="F126" s="552"/>
      <c r="G126" s="552"/>
      <c r="H126" s="553"/>
      <c r="I126" s="553"/>
      <c r="J126" s="553"/>
      <c r="K126" s="553"/>
      <c r="L126" s="554"/>
      <c r="M126" s="555"/>
      <c r="N126" s="1150"/>
      <c r="O126" s="1150"/>
      <c r="P126" s="2615"/>
      <c r="Q126" s="557"/>
    </row>
    <row r="127" spans="1:17" s="469" customFormat="1" ht="15.75" thickBot="1">
      <c r="A127" s="551"/>
      <c r="B127" s="541"/>
      <c r="C127" s="558"/>
      <c r="D127" s="534"/>
      <c r="E127" s="534"/>
      <c r="F127" s="534"/>
      <c r="G127" s="558"/>
      <c r="H127" s="560"/>
      <c r="I127" s="560"/>
      <c r="J127" s="560"/>
      <c r="K127" s="560"/>
      <c r="L127" s="560"/>
      <c r="M127" s="561"/>
      <c r="N127" s="1150"/>
      <c r="O127" s="1150"/>
      <c r="P127" s="2615"/>
      <c r="Q127" s="557"/>
    </row>
    <row r="128" spans="1:17" ht="15" thickTop="1">
      <c r="A128" s="597"/>
      <c r="B128" s="536">
        <f>B45</f>
        <v>111</v>
      </c>
      <c r="C128" s="552"/>
      <c r="D128" s="552"/>
      <c r="E128" s="552"/>
      <c r="F128" s="552"/>
      <c r="G128" s="581"/>
      <c r="H128" s="581"/>
      <c r="I128" s="581"/>
      <c r="J128" s="581"/>
      <c r="K128" s="582"/>
      <c r="L128" s="583"/>
      <c r="M128" s="584"/>
      <c r="N128" s="1148"/>
      <c r="O128" s="1148"/>
      <c r="P128" s="2614"/>
      <c r="Q128" s="502"/>
    </row>
    <row r="129" spans="1:17" ht="15.75" thickBot="1">
      <c r="A129" s="532"/>
      <c r="B129" s="541"/>
      <c r="C129" s="558"/>
      <c r="D129" s="534"/>
      <c r="E129" s="534"/>
      <c r="F129" s="534"/>
      <c r="G129" s="534"/>
      <c r="H129" s="534"/>
      <c r="I129" s="534"/>
      <c r="J129" s="534"/>
      <c r="K129" s="534"/>
      <c r="L129" s="534"/>
      <c r="M129" s="535"/>
      <c r="N129" s="1149"/>
      <c r="O129" s="1149"/>
      <c r="P129" s="2614"/>
      <c r="Q129" s="502"/>
    </row>
    <row r="130" spans="1:17" ht="15" thickTop="1">
      <c r="A130" s="597"/>
      <c r="B130" s="544">
        <f>B46</f>
        <v>111</v>
      </c>
      <c r="C130" s="552"/>
      <c r="D130" s="552"/>
      <c r="E130" s="552"/>
      <c r="F130" s="552"/>
      <c r="G130" s="585"/>
      <c r="H130" s="585"/>
      <c r="I130" s="585"/>
      <c r="J130" s="585"/>
      <c r="K130" s="521"/>
      <c r="L130" s="522"/>
      <c r="M130" s="588"/>
      <c r="N130" s="1148"/>
      <c r="O130" s="1148"/>
      <c r="P130" s="2614"/>
      <c r="Q130" s="502"/>
    </row>
    <row r="131" spans="1:17" ht="15.75" thickBot="1">
      <c r="A131" s="2620"/>
      <c r="B131" s="567"/>
      <c r="C131" s="568"/>
      <c r="D131" s="568"/>
      <c r="E131" s="568"/>
      <c r="F131" s="568"/>
      <c r="G131" s="589"/>
      <c r="H131" s="589"/>
      <c r="I131" s="589"/>
      <c r="J131" s="589"/>
      <c r="K131" s="589"/>
      <c r="L131" s="589"/>
      <c r="M131" s="590"/>
      <c r="N131" s="1149"/>
      <c r="O131" s="1149"/>
      <c r="P131" s="2614"/>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3" customWidth="1"/>
    <col min="2" max="2" width="37.25" style="1953" customWidth="1"/>
    <col min="3" max="3" width="11.375" style="1953" customWidth="1"/>
    <col min="4" max="4" width="31.75" style="1953" customWidth="1"/>
    <col min="5" max="5" width="0.5" style="1953" customWidth="1"/>
    <col min="6" max="7" width="13" style="1953" customWidth="1"/>
    <col min="8" max="16384" width="9" style="1953"/>
  </cols>
  <sheetData>
    <row r="1" spans="1:5" ht="18.75">
      <c r="A1" s="1951" t="s">
        <v>1615</v>
      </c>
      <c r="B1" s="1952"/>
      <c r="C1" s="1952"/>
      <c r="D1" s="1952"/>
      <c r="E1" s="1952"/>
    </row>
    <row r="2" spans="1:5" ht="78" customHeight="1">
      <c r="A2" s="31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9"/>
      <c r="C2" s="3129"/>
      <c r="D2" s="3129"/>
      <c r="E2" s="3129"/>
    </row>
    <row r="3" spans="1:5" ht="18">
      <c r="A3" s="3130" t="str">
        <f>IF(项目基本情况!B9="房地产市场价值","估价结果一览表（市场价值不需“结果表-1”）","估价结果一览表")</f>
        <v>估价结果一览表</v>
      </c>
      <c r="B3" s="3130"/>
      <c r="C3" s="3130"/>
      <c r="D3" s="3130"/>
      <c r="E3" s="3130"/>
    </row>
    <row r="4" spans="1:5" ht="19.5" thickBot="1">
      <c r="A4" s="1954"/>
      <c r="B4" s="3128" t="s">
        <v>1624</v>
      </c>
      <c r="C4" s="3128"/>
      <c r="D4" s="3128"/>
      <c r="E4" s="1954"/>
    </row>
    <row r="5" spans="1:5" ht="16.5" thickTop="1">
      <c r="A5" s="1952"/>
      <c r="B5" s="3126" t="s">
        <v>1616</v>
      </c>
      <c r="C5" s="1955" t="s">
        <v>1617</v>
      </c>
      <c r="D5" s="1037">
        <f ca="1">结果表!H101</f>
        <v>392611</v>
      </c>
      <c r="E5" s="1952"/>
    </row>
    <row r="6" spans="1:5" ht="15.75">
      <c r="A6" s="1952"/>
      <c r="B6" s="3126"/>
      <c r="C6" s="1955" t="s">
        <v>1618</v>
      </c>
      <c r="D6" s="1037" t="str">
        <f ca="1">NUMBERSTRING(INT(D5*10000),2)&amp;"元整"</f>
        <v>叁拾玖亿贰仟陆佰壹拾壹万元整</v>
      </c>
      <c r="E6" s="1952"/>
    </row>
    <row r="7" spans="1:5" ht="15.75">
      <c r="A7" s="1952"/>
      <c r="B7" s="3131"/>
      <c r="C7" s="1956" t="s">
        <v>1619</v>
      </c>
      <c r="D7" s="1038">
        <f ca="1">结果表!H102</f>
        <v>26306</v>
      </c>
      <c r="E7" s="1952"/>
    </row>
    <row r="8" spans="1:5" ht="15.75">
      <c r="A8" s="1952"/>
      <c r="B8" s="3132" t="str">
        <f>结果表!E103</f>
        <v>2.估价师知悉的法定优先受偿款</v>
      </c>
      <c r="C8" s="1957" t="s">
        <v>1620</v>
      </c>
      <c r="D8" s="1038">
        <f>结果表!H103</f>
        <v>0</v>
      </c>
      <c r="E8" s="1952"/>
    </row>
    <row r="9" spans="1:5" ht="15.75">
      <c r="A9" s="1952"/>
      <c r="B9" s="3134"/>
      <c r="C9" s="1955" t="s">
        <v>1618</v>
      </c>
      <c r="D9" s="1037" t="str">
        <f>NUMBERSTRING(INT(D8*10000),2)&amp;"元整"</f>
        <v>零元整</v>
      </c>
      <c r="E9" s="1952"/>
    </row>
    <row r="10" spans="1:5" ht="15">
      <c r="A10" s="1952"/>
      <c r="B10" s="1958" t="s">
        <v>1623</v>
      </c>
      <c r="C10" s="1959" t="s">
        <v>1621</v>
      </c>
      <c r="D10" s="1039">
        <f>结果表!H104</f>
        <v>0</v>
      </c>
      <c r="E10" s="1952"/>
    </row>
    <row r="11" spans="1:5" ht="15">
      <c r="A11" s="1952"/>
      <c r="B11" s="1958" t="s">
        <v>1625</v>
      </c>
      <c r="C11" s="1959" t="s">
        <v>1626</v>
      </c>
      <c r="D11" s="1039">
        <f>结果表!H105</f>
        <v>0</v>
      </c>
      <c r="E11" s="1952"/>
    </row>
    <row r="12" spans="1:5" ht="15">
      <c r="A12" s="1952"/>
      <c r="B12" s="1958" t="s">
        <v>1627</v>
      </c>
      <c r="C12" s="1959" t="s">
        <v>1626</v>
      </c>
      <c r="D12" s="1039">
        <f>结果表!H106</f>
        <v>0</v>
      </c>
      <c r="E12" s="1952"/>
    </row>
    <row r="13" spans="1:5" ht="15.75">
      <c r="A13" s="1952"/>
      <c r="B13" s="3125" t="str">
        <f>结果表!E107</f>
        <v>——</v>
      </c>
      <c r="C13" s="1960" t="s">
        <v>1617</v>
      </c>
      <c r="D13" s="1040" t="str">
        <f>结果表!H107</f>
        <v>——</v>
      </c>
      <c r="E13" s="1952"/>
    </row>
    <row r="14" spans="1:5" ht="15.75">
      <c r="A14" s="1952"/>
      <c r="B14" s="3126"/>
      <c r="C14" s="1955" t="s">
        <v>1618</v>
      </c>
      <c r="D14" s="1037" t="e">
        <f>NUMBERSTRING(INT(D13*10000),2)&amp;"元整"</f>
        <v>#VALUE!</v>
      </c>
      <c r="E14" s="1952"/>
    </row>
    <row r="15" spans="1:5" ht="15">
      <c r="A15" s="1952"/>
      <c r="B15" s="3131"/>
      <c r="C15" s="1956" t="s">
        <v>1628</v>
      </c>
      <c r="D15" s="1049" t="e">
        <f>结果表!H108</f>
        <v>#VALUE!</v>
      </c>
      <c r="E15" s="1952"/>
    </row>
    <row r="16" spans="1:5" ht="15">
      <c r="A16" s="1952"/>
      <c r="B16" s="3132" t="str">
        <f>结果表!E109</f>
        <v>3.抵押担保权已注销时的房地产抵押价值</v>
      </c>
      <c r="C16" s="1960" t="s">
        <v>1629</v>
      </c>
      <c r="D16" s="1961">
        <f ca="1">结果表!H109</f>
        <v>392611</v>
      </c>
      <c r="E16" s="1952"/>
    </row>
    <row r="17" spans="1:5" ht="15.75">
      <c r="A17" s="1952"/>
      <c r="B17" s="3133"/>
      <c r="C17" s="1955" t="s">
        <v>1630</v>
      </c>
      <c r="D17" s="1037" t="str">
        <f ca="1">NUMBERSTRING(INT(D16*10000),2)&amp;"元整"</f>
        <v>叁拾玖亿贰仟陆佰壹拾壹万元整</v>
      </c>
      <c r="E17" s="1952"/>
    </row>
    <row r="18" spans="1:5" ht="15">
      <c r="A18" s="1952"/>
      <c r="B18" s="3134"/>
      <c r="C18" s="1956" t="s">
        <v>1619</v>
      </c>
      <c r="D18" s="1049">
        <f ca="1">结果表!H110</f>
        <v>26306</v>
      </c>
      <c r="E18" s="1952"/>
    </row>
    <row r="19" spans="1:5" ht="15.75">
      <c r="A19" s="1952"/>
      <c r="B19" s="3125" t="str">
        <f>结果表!E111</f>
        <v>——</v>
      </c>
      <c r="C19" s="1960" t="s">
        <v>1617</v>
      </c>
      <c r="D19" s="1038" t="str">
        <f>结果表!H111</f>
        <v>——</v>
      </c>
      <c r="E19" s="1952"/>
    </row>
    <row r="20" spans="1:5" ht="15.75">
      <c r="A20" s="1952"/>
      <c r="B20" s="3126"/>
      <c r="C20" s="1955" t="s">
        <v>1630</v>
      </c>
      <c r="D20" s="1037" t="e">
        <f>NUMBERSTRING(INT(D19*10000),2)&amp;"元整"</f>
        <v>#VALUE!</v>
      </c>
      <c r="E20" s="1952"/>
    </row>
    <row r="21" spans="1:5" ht="15.75" thickBot="1">
      <c r="A21" s="1952"/>
      <c r="B21" s="3127"/>
      <c r="C21" s="1962" t="s">
        <v>1628</v>
      </c>
      <c r="D21" s="1050" t="str">
        <f>结果表!H112</f>
        <v>——</v>
      </c>
      <c r="E21" s="1952"/>
    </row>
    <row r="22" spans="1:5" ht="15" thickTop="1">
      <c r="A22" s="1952"/>
      <c r="B22" s="1963" t="s">
        <v>1631</v>
      </c>
      <c r="C22" s="1952"/>
      <c r="D22" s="1952"/>
      <c r="E22" s="1952"/>
    </row>
    <row r="23" spans="1:5">
      <c r="A23" s="1952"/>
      <c r="B23" s="1952"/>
      <c r="C23" s="1952"/>
      <c r="D23" s="1952"/>
      <c r="E23" s="1952"/>
    </row>
    <row r="24" spans="1:5" ht="18.75">
      <c r="A24" s="1964"/>
      <c r="B24" s="1965" t="s">
        <v>1622</v>
      </c>
      <c r="C24" s="1964"/>
      <c r="D24" s="1964"/>
      <c r="E24" s="1964"/>
    </row>
    <row r="25" spans="1:5">
      <c r="A25" s="1964"/>
      <c r="B25" s="1964"/>
      <c r="C25" s="1964"/>
      <c r="D25" s="1964"/>
      <c r="E25" s="1964"/>
    </row>
    <row r="26" spans="1:5">
      <c r="A26" s="1964"/>
      <c r="B26" s="1964"/>
      <c r="C26" s="1964"/>
      <c r="D26" s="1964"/>
      <c r="E26" s="1964"/>
    </row>
    <row r="27" spans="1:5">
      <c r="A27" s="1964"/>
      <c r="B27" s="1964"/>
      <c r="C27" s="1964"/>
      <c r="D27" s="1964"/>
      <c r="E27" s="1964"/>
    </row>
    <row r="28" spans="1:5">
      <c r="A28" s="1964"/>
      <c r="B28" s="1964"/>
      <c r="C28" s="1964"/>
      <c r="D28" s="1964"/>
      <c r="E28" s="1964"/>
    </row>
    <row r="29" spans="1:5">
      <c r="A29" s="1964"/>
      <c r="B29" s="1964"/>
      <c r="C29" s="1964"/>
      <c r="D29" s="1964"/>
      <c r="E29" s="1964"/>
    </row>
    <row r="30" spans="1:5">
      <c r="A30" s="1964"/>
      <c r="B30" s="1964"/>
      <c r="C30" s="1964"/>
      <c r="D30" s="1964"/>
      <c r="E30" s="1964"/>
    </row>
    <row r="31" spans="1:5">
      <c r="A31" s="1964"/>
      <c r="B31" s="1964"/>
      <c r="C31" s="1964"/>
      <c r="D31" s="1964"/>
      <c r="E31" s="1964"/>
    </row>
    <row r="32" spans="1:5">
      <c r="A32" s="1964"/>
      <c r="B32" s="1964"/>
      <c r="C32" s="1964"/>
      <c r="D32" s="1964"/>
      <c r="E32" s="1964"/>
    </row>
    <row r="33" spans="1:5">
      <c r="A33" s="1964"/>
      <c r="B33" s="1964"/>
      <c r="C33" s="1964"/>
      <c r="D33" s="1964"/>
      <c r="E33" s="1964"/>
    </row>
    <row r="34" spans="1:5">
      <c r="A34" s="1964"/>
      <c r="B34" s="1964"/>
      <c r="C34" s="1964"/>
      <c r="D34" s="1964"/>
      <c r="E34" s="1964"/>
    </row>
    <row r="35" spans="1:5">
      <c r="A35" s="1964"/>
      <c r="B35" s="1964"/>
      <c r="C35" s="1964"/>
      <c r="D35" s="1964"/>
      <c r="E35" s="1964"/>
    </row>
    <row r="36" spans="1:5">
      <c r="A36" s="1964"/>
      <c r="B36" s="1964"/>
      <c r="C36" s="1964"/>
      <c r="D36" s="1964"/>
      <c r="E36" s="1964"/>
    </row>
    <row r="37" spans="1:5">
      <c r="A37" s="1964"/>
      <c r="B37" s="1964"/>
      <c r="C37" s="1964"/>
      <c r="D37" s="1964"/>
      <c r="E37" s="1964"/>
    </row>
    <row r="38" spans="1:5">
      <c r="A38" s="1964"/>
      <c r="B38" s="1964"/>
      <c r="C38" s="1964"/>
      <c r="D38" s="1964"/>
      <c r="E38" s="1964"/>
    </row>
    <row r="39" spans="1:5">
      <c r="A39" s="1964"/>
      <c r="B39" s="1964"/>
      <c r="C39" s="1964"/>
      <c r="D39" s="1964"/>
      <c r="E39" s="1964"/>
    </row>
    <row r="40" spans="1:5">
      <c r="A40" s="1964"/>
      <c r="B40" s="1964"/>
      <c r="C40" s="1964"/>
      <c r="D40" s="1964"/>
      <c r="E40" s="1964"/>
    </row>
    <row r="41" spans="1:5">
      <c r="A41" s="1964"/>
      <c r="B41" s="1964"/>
      <c r="C41" s="1964"/>
      <c r="D41" s="1964"/>
      <c r="E41" s="1964"/>
    </row>
    <row r="42" spans="1:5">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1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2510</v>
      </c>
      <c r="B1" s="2653" t="s">
        <v>2668</v>
      </c>
      <c r="C1" s="1614" t="s">
        <v>2512</v>
      </c>
      <c r="D1" s="1615"/>
      <c r="E1" s="1624"/>
      <c r="F1" s="2568"/>
      <c r="G1" s="1625" t="s">
        <v>2625</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6" customFormat="1" ht="28.5" customHeight="1" thickTop="1">
      <c r="A2" s="1611" t="s">
        <v>2312</v>
      </c>
      <c r="B2" s="1414" t="e">
        <f ca="1">IF(C2="——",ROUND(C50*D3/10000,0),ROUND(C50*D3/10000,0)-D2)</f>
        <v>#DIV/0!</v>
      </c>
      <c r="C2" s="2570"/>
      <c r="D2" s="1361" t="e">
        <f ca="1">SUMIF(INDIRECT("'"&amp;F2&amp;"'"&amp;"!A:A"),"承租人权益价值",INDIRECT("'"&amp;F2&amp;"'"&amp;"!c:c"))</f>
        <v>#REF!</v>
      </c>
      <c r="E2" s="2571" t="s">
        <v>2313</v>
      </c>
      <c r="F2" s="2572"/>
      <c r="G2" s="1121"/>
      <c r="H2" s="1121"/>
      <c r="I2" s="1121"/>
      <c r="J2" s="1121"/>
      <c r="K2" s="1121"/>
      <c r="L2" s="1124"/>
      <c r="M2" s="1125"/>
      <c r="N2" s="1125"/>
      <c r="O2" s="1125"/>
      <c r="P2" s="766"/>
      <c r="Q2" s="766"/>
      <c r="R2" s="766"/>
      <c r="S2" s="766"/>
      <c r="T2" s="766"/>
      <c r="U2" s="766"/>
      <c r="V2" s="766"/>
      <c r="W2" s="766"/>
      <c r="X2" s="766"/>
      <c r="Y2" s="766"/>
      <c r="Z2" s="766"/>
      <c r="AA2" s="766"/>
      <c r="AB2" s="766"/>
      <c r="AC2" s="767"/>
    </row>
    <row r="3" spans="1:29" s="396" customFormat="1" ht="28.5" customHeight="1" thickBot="1">
      <c r="A3" s="245" t="s">
        <v>2314</v>
      </c>
      <c r="B3" s="607" t="e">
        <f ca="1">IF(C2="——",C50,ROUND(B2*10000/D3,0))</f>
        <v>#DIV/0!</v>
      </c>
      <c r="C3" s="398" t="s">
        <v>2626</v>
      </c>
      <c r="D3" s="397">
        <f>IF(D1="",'数据-汇总表'!E3,SUMIF('数据-汇总表'!$C19:$C33,D1,'数据-汇总表'!$E19:$E33))</f>
        <v>149246.95000000001</v>
      </c>
      <c r="E3" s="2647"/>
      <c r="F3" s="1122"/>
      <c r="G3" s="1121"/>
      <c r="H3" s="1121"/>
      <c r="I3" s="1121"/>
      <c r="J3" s="1121"/>
      <c r="K3" s="1123"/>
      <c r="L3" s="1124"/>
      <c r="M3" s="1125"/>
      <c r="N3" s="1125"/>
      <c r="O3" s="1125"/>
      <c r="P3" s="766"/>
      <c r="Q3" s="766"/>
      <c r="R3" s="766"/>
      <c r="S3" s="766"/>
      <c r="T3" s="766"/>
      <c r="U3" s="766"/>
      <c r="V3" s="766"/>
      <c r="W3" s="766"/>
      <c r="X3" s="766"/>
      <c r="Y3" s="766"/>
      <c r="Z3" s="766"/>
      <c r="AA3" s="766"/>
      <c r="AB3" s="766"/>
      <c r="AC3" s="767"/>
    </row>
    <row r="4" spans="1:29" ht="15">
      <c r="A4" s="399" t="s">
        <v>2627</v>
      </c>
      <c r="B4" s="400"/>
      <c r="C4" s="3337" t="s">
        <v>2628</v>
      </c>
      <c r="D4" s="3350"/>
      <c r="E4" s="3351" t="s">
        <v>2629</v>
      </c>
      <c r="F4" s="3352"/>
      <c r="G4" s="3337" t="s">
        <v>2630</v>
      </c>
      <c r="H4" s="3350"/>
      <c r="I4" s="3337" t="s">
        <v>2631</v>
      </c>
      <c r="J4" s="3350"/>
      <c r="K4" s="608" t="s">
        <v>2632</v>
      </c>
      <c r="L4" s="1126"/>
      <c r="M4" s="1127"/>
      <c r="N4" s="1127"/>
      <c r="O4" s="1127"/>
      <c r="P4" s="3417" t="s">
        <v>2633</v>
      </c>
      <c r="Q4" s="3418"/>
      <c r="R4" s="3421" t="s">
        <v>2629</v>
      </c>
      <c r="S4" s="3422"/>
      <c r="T4" s="3421" t="s">
        <v>2630</v>
      </c>
      <c r="U4" s="3422"/>
      <c r="V4" s="3423" t="s">
        <v>2631</v>
      </c>
      <c r="W4" s="3423"/>
      <c r="X4" s="2654"/>
      <c r="Y4" s="3421" t="s">
        <v>2633</v>
      </c>
      <c r="Z4" s="3422"/>
      <c r="AA4" s="3425" t="s">
        <v>2629</v>
      </c>
      <c r="AB4" s="3425" t="s">
        <v>2630</v>
      </c>
      <c r="AC4" s="3414" t="s">
        <v>2631</v>
      </c>
    </row>
    <row r="5" spans="1:29" ht="15">
      <c r="A5" s="402"/>
      <c r="B5" s="403"/>
      <c r="C5" s="3367" t="s">
        <v>2524</v>
      </c>
      <c r="D5" s="3368"/>
      <c r="E5" s="3374" t="s">
        <v>2525</v>
      </c>
      <c r="F5" s="3375"/>
      <c r="G5" s="3367" t="s">
        <v>2526</v>
      </c>
      <c r="H5" s="3368"/>
      <c r="I5" s="3367" t="s">
        <v>2527</v>
      </c>
      <c r="J5" s="3368"/>
      <c r="K5" s="608"/>
      <c r="L5" s="1126"/>
      <c r="M5" s="1127"/>
      <c r="N5" s="1127"/>
      <c r="O5" s="1127"/>
      <c r="P5" s="3419"/>
      <c r="Q5" s="3356"/>
      <c r="R5" s="3361"/>
      <c r="S5" s="3362"/>
      <c r="T5" s="3361"/>
      <c r="U5" s="3362"/>
      <c r="V5" s="3346"/>
      <c r="W5" s="3346"/>
      <c r="X5" s="1807"/>
      <c r="Y5" s="3361"/>
      <c r="Z5" s="3362"/>
      <c r="AA5" s="3348"/>
      <c r="AB5" s="3348"/>
      <c r="AC5" s="3415"/>
    </row>
    <row r="6" spans="1:29" ht="15.75" thickBot="1">
      <c r="A6" s="404"/>
      <c r="B6" s="405"/>
      <c r="C6" s="3365" t="s">
        <v>2528</v>
      </c>
      <c r="D6" s="3366"/>
      <c r="E6" s="3372" t="s">
        <v>2528</v>
      </c>
      <c r="F6" s="3373"/>
      <c r="G6" s="3365" t="s">
        <v>2528</v>
      </c>
      <c r="H6" s="3366"/>
      <c r="I6" s="3365" t="s">
        <v>2528</v>
      </c>
      <c r="J6" s="3366"/>
      <c r="K6" s="608" t="s">
        <v>2529</v>
      </c>
      <c r="L6" s="1126"/>
      <c r="M6" s="1127"/>
      <c r="N6" s="1127"/>
      <c r="O6" s="1127"/>
      <c r="P6" s="3420"/>
      <c r="Q6" s="3358"/>
      <c r="R6" s="3361"/>
      <c r="S6" s="3362"/>
      <c r="T6" s="3363"/>
      <c r="U6" s="3364"/>
      <c r="V6" s="3346"/>
      <c r="W6" s="3346"/>
      <c r="X6" s="1807"/>
      <c r="Y6" s="3363"/>
      <c r="Z6" s="3364"/>
      <c r="AA6" s="3349"/>
      <c r="AB6" s="3349"/>
      <c r="AC6" s="3416"/>
    </row>
    <row r="7" spans="1:29" s="115" customFormat="1" ht="15.75" thickBot="1">
      <c r="A7" s="406" t="s">
        <v>2530</v>
      </c>
      <c r="B7" s="407"/>
      <c r="C7" s="408">
        <f>'数据-取费表'!B2</f>
        <v>43878</v>
      </c>
      <c r="D7" s="409">
        <v>100</v>
      </c>
      <c r="E7" s="410"/>
      <c r="F7" s="411">
        <f>SUMIF(59:59,YEAR(E7)&amp;"-"&amp;MONTH(E7),60:60)</f>
        <v>0</v>
      </c>
      <c r="G7" s="410"/>
      <c r="H7" s="409">
        <f>SUMIF(59:59,YEAR(G7)&amp;"-"&amp;MONTH(G7),60:60)</f>
        <v>0</v>
      </c>
      <c r="I7" s="410"/>
      <c r="J7" s="409">
        <f>SUMIF(59:59,YEAR(I7)&amp;"-"&amp;MONTH(I7),60:60)</f>
        <v>0</v>
      </c>
      <c r="K7" s="609"/>
      <c r="L7" s="1128"/>
      <c r="M7" s="1129"/>
      <c r="N7" s="1129"/>
      <c r="O7" s="1129"/>
      <c r="P7" s="3424" t="s">
        <v>2531</v>
      </c>
      <c r="Q7" s="3371"/>
      <c r="R7" s="768" t="s">
        <v>17</v>
      </c>
      <c r="S7" s="769">
        <f t="shared" ref="S7:S15" si="0">F7</f>
        <v>0</v>
      </c>
      <c r="T7" s="768" t="s">
        <v>17</v>
      </c>
      <c r="U7" s="769">
        <f t="shared" ref="U7:U15" si="1">H7</f>
        <v>0</v>
      </c>
      <c r="V7" s="768" t="s">
        <v>17</v>
      </c>
      <c r="W7" s="769">
        <f t="shared" ref="W7:W15" si="2">J7</f>
        <v>0</v>
      </c>
      <c r="X7" s="770"/>
      <c r="Y7" s="3369" t="s">
        <v>2531</v>
      </c>
      <c r="Z7" s="3370"/>
      <c r="AA7" s="771" t="e">
        <f>D7/F7</f>
        <v>#DIV/0!</v>
      </c>
      <c r="AB7" s="771" t="e">
        <f>D7/H7</f>
        <v>#DIV/0!</v>
      </c>
      <c r="AC7" s="2655" t="e">
        <f>D7/J7</f>
        <v>#DIV/0!</v>
      </c>
    </row>
    <row r="8" spans="1:29" s="115" customFormat="1" ht="15.75" thickBot="1">
      <c r="A8" s="406" t="s">
        <v>2532</v>
      </c>
      <c r="B8" s="407"/>
      <c r="C8" s="412" t="s">
        <v>2634</v>
      </c>
      <c r="D8" s="409">
        <v>100</v>
      </c>
      <c r="E8" s="412"/>
      <c r="F8" s="411">
        <f>SUMIF(62:62,E8,63:63)-SUMIF(62:62,C8,63:63)+100</f>
        <v>0</v>
      </c>
      <c r="G8" s="412"/>
      <c r="H8" s="409">
        <f>SUMIF(62:62,G8,63:63)-SUMIF(62:62,C8,63:63)+100</f>
        <v>0</v>
      </c>
      <c r="I8" s="412"/>
      <c r="J8" s="409">
        <f>SUMIF(62:62,I8,63:63)-SUMIF(62:62,C8,63:63)+100</f>
        <v>0</v>
      </c>
      <c r="K8" s="609"/>
      <c r="L8" s="1128"/>
      <c r="M8" s="1129"/>
      <c r="N8" s="1129"/>
      <c r="O8" s="1129"/>
      <c r="P8" s="3424" t="s">
        <v>2534</v>
      </c>
      <c r="Q8" s="3370"/>
      <c r="R8" s="768" t="s">
        <v>17</v>
      </c>
      <c r="S8" s="769">
        <f t="shared" si="0"/>
        <v>0</v>
      </c>
      <c r="T8" s="768" t="s">
        <v>17</v>
      </c>
      <c r="U8" s="769">
        <f t="shared" si="1"/>
        <v>0</v>
      </c>
      <c r="V8" s="768" t="s">
        <v>17</v>
      </c>
      <c r="W8" s="769">
        <f t="shared" si="2"/>
        <v>0</v>
      </c>
      <c r="X8" s="770"/>
      <c r="Y8" s="3369" t="s">
        <v>2534</v>
      </c>
      <c r="Z8" s="3370"/>
      <c r="AA8" s="771" t="e">
        <f t="shared" ref="AA8:AA47" si="3">D8/F8</f>
        <v>#DIV/0!</v>
      </c>
      <c r="AB8" s="771" t="e">
        <f t="shared" ref="AB8:AB47" si="4">D8/H8</f>
        <v>#DIV/0!</v>
      </c>
      <c r="AC8" s="2655" t="e">
        <f t="shared" ref="AC8:AC47" si="5">D8/J8</f>
        <v>#DIV/0!</v>
      </c>
    </row>
    <row r="9" spans="1:29" s="115" customFormat="1">
      <c r="A9" s="413" t="s">
        <v>2535</v>
      </c>
      <c r="B9" s="70" t="s">
        <v>2536</v>
      </c>
      <c r="C9" s="414"/>
      <c r="D9" s="133">
        <v>100</v>
      </c>
      <c r="E9" s="417"/>
      <c r="F9" s="133">
        <f>SUMIF(64:64,E9,65:65)-SUMIF(64:64,C9,65:65)+100</f>
        <v>100</v>
      </c>
      <c r="G9" s="415"/>
      <c r="H9" s="133">
        <f>SUMIF(64:64,G9,65:65)-SUMIF(64:64,C9,65:65)+100</f>
        <v>100</v>
      </c>
      <c r="I9" s="415"/>
      <c r="J9" s="133">
        <f>SUMIF(64:64,I9,65:65)-SUMIF(64:64,C9,65:65)+100</f>
        <v>100</v>
      </c>
      <c r="K9" s="609"/>
      <c r="L9" s="1128"/>
      <c r="M9" s="1129"/>
      <c r="N9" s="1129"/>
      <c r="O9" s="1129"/>
      <c r="P9" s="3339" t="s">
        <v>2537</v>
      </c>
      <c r="Q9" s="1789" t="str">
        <f t="shared" ref="Q9:Q15" si="6">B9</f>
        <v>用途</v>
      </c>
      <c r="R9" s="768" t="s">
        <v>17</v>
      </c>
      <c r="S9" s="769">
        <f t="shared" si="0"/>
        <v>100</v>
      </c>
      <c r="T9" s="768" t="s">
        <v>17</v>
      </c>
      <c r="U9" s="769">
        <f t="shared" si="1"/>
        <v>100</v>
      </c>
      <c r="V9" s="768" t="s">
        <v>17</v>
      </c>
      <c r="W9" s="769">
        <f t="shared" si="2"/>
        <v>100</v>
      </c>
      <c r="X9" s="770"/>
      <c r="Y9" s="3168" t="s">
        <v>2538</v>
      </c>
      <c r="Z9" s="55" t="str">
        <f t="shared" ref="Z9:Z15" si="7">Q9</f>
        <v>用途</v>
      </c>
      <c r="AA9" s="771">
        <f t="shared" si="3"/>
        <v>1</v>
      </c>
      <c r="AB9" s="771">
        <f t="shared" si="4"/>
        <v>1</v>
      </c>
      <c r="AC9" s="2655">
        <f t="shared" si="5"/>
        <v>1</v>
      </c>
    </row>
    <row r="10" spans="1:29" s="425" customFormat="1" ht="27">
      <c r="A10" s="419"/>
      <c r="B10" s="420" t="s">
        <v>2539</v>
      </c>
      <c r="C10" s="421"/>
      <c r="D10" s="134">
        <v>100</v>
      </c>
      <c r="E10" s="421"/>
      <c r="F10" s="134">
        <f>SUMIF(66:66,E10,67:67)-SUMIF(66:66,C10,67:67)+100</f>
        <v>100</v>
      </c>
      <c r="G10" s="422"/>
      <c r="H10" s="134">
        <f>SUMIF(66:66,G10,67:67)-SUMIF(66:66,C10,67:67)+100</f>
        <v>100</v>
      </c>
      <c r="I10" s="421"/>
      <c r="J10" s="134">
        <f>SUMIF(66:66,I10,67:67)-SUMIF(66:66,C10,67:67)+100</f>
        <v>100</v>
      </c>
      <c r="K10" s="610"/>
      <c r="L10" s="1131"/>
      <c r="M10" s="1132"/>
      <c r="N10" s="1132"/>
      <c r="O10" s="1132"/>
      <c r="P10" s="3339"/>
      <c r="Q10" s="1789" t="str">
        <f t="shared" si="6"/>
        <v>土地使用年限（年）</v>
      </c>
      <c r="R10" s="768" t="s">
        <v>17</v>
      </c>
      <c r="S10" s="769">
        <f t="shared" si="0"/>
        <v>100</v>
      </c>
      <c r="T10" s="768" t="s">
        <v>17</v>
      </c>
      <c r="U10" s="769">
        <f t="shared" si="1"/>
        <v>100</v>
      </c>
      <c r="V10" s="768" t="s">
        <v>17</v>
      </c>
      <c r="W10" s="769">
        <f t="shared" si="2"/>
        <v>100</v>
      </c>
      <c r="X10" s="770"/>
      <c r="Y10" s="3168"/>
      <c r="Z10" s="55" t="str">
        <f t="shared" si="7"/>
        <v>土地使用年限（年）</v>
      </c>
      <c r="AA10" s="771">
        <f t="shared" si="3"/>
        <v>1</v>
      </c>
      <c r="AB10" s="771">
        <f t="shared" si="4"/>
        <v>1</v>
      </c>
      <c r="AC10" s="2655">
        <f t="shared" si="5"/>
        <v>1</v>
      </c>
    </row>
    <row r="11" spans="1:29" ht="15">
      <c r="A11" s="426"/>
      <c r="B11" s="420" t="s">
        <v>2540</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4"/>
      <c r="M11" s="1127"/>
      <c r="N11" s="1127"/>
      <c r="O11" s="1127"/>
      <c r="P11" s="3339"/>
      <c r="Q11" s="1789" t="str">
        <f t="shared" si="6"/>
        <v>容积率</v>
      </c>
      <c r="R11" s="768" t="s">
        <v>17</v>
      </c>
      <c r="S11" s="769" t="e">
        <f t="shared" si="0"/>
        <v>#N/A</v>
      </c>
      <c r="T11" s="768" t="s">
        <v>17</v>
      </c>
      <c r="U11" s="769" t="e">
        <f t="shared" si="1"/>
        <v>#N/A</v>
      </c>
      <c r="V11" s="768" t="s">
        <v>17</v>
      </c>
      <c r="W11" s="769" t="e">
        <f t="shared" si="2"/>
        <v>#N/A</v>
      </c>
      <c r="X11" s="770"/>
      <c r="Y11" s="3168"/>
      <c r="Z11" s="55" t="str">
        <f t="shared" si="7"/>
        <v>容积率</v>
      </c>
      <c r="AA11" s="771" t="e">
        <f t="shared" si="3"/>
        <v>#N/A</v>
      </c>
      <c r="AB11" s="771" t="e">
        <f t="shared" si="4"/>
        <v>#N/A</v>
      </c>
      <c r="AC11" s="2655" t="e">
        <f t="shared" si="5"/>
        <v>#N/A</v>
      </c>
    </row>
    <row r="12" spans="1:29" s="115" customFormat="1" ht="15">
      <c r="A12" s="429"/>
      <c r="B12" s="2584">
        <v>111</v>
      </c>
      <c r="C12" s="430"/>
      <c r="D12" s="431">
        <v>100</v>
      </c>
      <c r="E12" s="430"/>
      <c r="F12" s="134">
        <f>SUMIF(71:71,E12,72:72)-SUMIF(71:71,C12,72:72)+100</f>
        <v>100</v>
      </c>
      <c r="G12" s="2656"/>
      <c r="H12" s="134">
        <f>SUMIF(71:71,G12,72:72)-SUMIF(71:71,C12,72:72)+100</f>
        <v>100</v>
      </c>
      <c r="I12" s="430"/>
      <c r="J12" s="134">
        <f>SUMIF(71:71,I12,72:72)-SUMIF(71:71,C12,72:72)+100</f>
        <v>100</v>
      </c>
      <c r="K12" s="611"/>
      <c r="L12" s="1128"/>
      <c r="M12" s="1129"/>
      <c r="N12" s="1129"/>
      <c r="O12" s="1129"/>
      <c r="P12" s="3339"/>
      <c r="Q12" s="1789">
        <f t="shared" si="6"/>
        <v>111</v>
      </c>
      <c r="R12" s="768" t="s">
        <v>17</v>
      </c>
      <c r="S12" s="769">
        <f t="shared" si="0"/>
        <v>100</v>
      </c>
      <c r="T12" s="768" t="s">
        <v>17</v>
      </c>
      <c r="U12" s="769">
        <f t="shared" si="1"/>
        <v>100</v>
      </c>
      <c r="V12" s="768" t="s">
        <v>17</v>
      </c>
      <c r="W12" s="769">
        <f t="shared" si="2"/>
        <v>100</v>
      </c>
      <c r="X12" s="770"/>
      <c r="Y12" s="3168"/>
      <c r="Z12" s="55">
        <f t="shared" si="7"/>
        <v>111</v>
      </c>
      <c r="AA12" s="771">
        <f>D12/F12</f>
        <v>1</v>
      </c>
      <c r="AB12" s="771">
        <f>D12/H12</f>
        <v>1</v>
      </c>
      <c r="AC12" s="2655">
        <f>D12/J12</f>
        <v>1</v>
      </c>
    </row>
    <row r="13" spans="1:29" ht="15">
      <c r="A13" s="426"/>
      <c r="B13" s="2584">
        <v>111</v>
      </c>
      <c r="C13" s="432"/>
      <c r="D13" s="433">
        <v>100</v>
      </c>
      <c r="E13" s="430"/>
      <c r="F13" s="134">
        <f>SUMIF(73:73,E13,74:74)-SUMIF(73:73,C13,74:74)+100</f>
        <v>100</v>
      </c>
      <c r="G13" s="2656"/>
      <c r="H13" s="433">
        <f>SUMIF(73:73,G13,74:74)-SUMIF(73:73,C13,74:74)+100</f>
        <v>100</v>
      </c>
      <c r="I13" s="430"/>
      <c r="J13" s="433">
        <f>SUMIF(73:73,I13,74:74)-SUMIF(73:73,C13,74:74)+100</f>
        <v>100</v>
      </c>
      <c r="K13" s="611"/>
      <c r="L13" s="1136"/>
      <c r="M13" s="1127"/>
      <c r="N13" s="1127"/>
      <c r="O13" s="1127"/>
      <c r="P13" s="3339"/>
      <c r="Q13" s="1789">
        <f t="shared" si="6"/>
        <v>111</v>
      </c>
      <c r="R13" s="768" t="s">
        <v>17</v>
      </c>
      <c r="S13" s="769">
        <f t="shared" si="0"/>
        <v>100</v>
      </c>
      <c r="T13" s="768" t="s">
        <v>17</v>
      </c>
      <c r="U13" s="769">
        <f t="shared" si="1"/>
        <v>100</v>
      </c>
      <c r="V13" s="768" t="s">
        <v>17</v>
      </c>
      <c r="W13" s="769">
        <f t="shared" si="2"/>
        <v>100</v>
      </c>
      <c r="X13" s="770"/>
      <c r="Y13" s="3168"/>
      <c r="Z13" s="55">
        <f t="shared" si="7"/>
        <v>111</v>
      </c>
      <c r="AA13" s="771">
        <f t="shared" si="3"/>
        <v>1</v>
      </c>
      <c r="AB13" s="771">
        <f t="shared" si="4"/>
        <v>1</v>
      </c>
      <c r="AC13" s="2655">
        <f t="shared" si="5"/>
        <v>1</v>
      </c>
    </row>
    <row r="14" spans="1:29" ht="15.75" thickBot="1">
      <c r="A14" s="434"/>
      <c r="B14" s="2586">
        <v>111</v>
      </c>
      <c r="C14" s="435"/>
      <c r="D14" s="436">
        <v>100</v>
      </c>
      <c r="E14" s="626"/>
      <c r="F14" s="436">
        <f>SUMIF(75:75,E14,76:76)-SUMIF(75:75,C14,76:76)+100</f>
        <v>100</v>
      </c>
      <c r="G14" s="2656"/>
      <c r="H14" s="436">
        <f>SUMIF(75:75,G14,76:76)-SUMIF(75:75,C14,76:76)+100</f>
        <v>100</v>
      </c>
      <c r="I14" s="430"/>
      <c r="J14" s="436">
        <f>SUMIF(75:75,I14,76:76)-SUMIF(75:75,C14,76:76)+100</f>
        <v>100</v>
      </c>
      <c r="K14" s="611"/>
      <c r="L14" s="1136"/>
      <c r="M14" s="1127"/>
      <c r="N14" s="1127"/>
      <c r="O14" s="1127"/>
      <c r="P14" s="3339"/>
      <c r="Q14" s="1789">
        <f t="shared" si="6"/>
        <v>111</v>
      </c>
      <c r="R14" s="768" t="s">
        <v>17</v>
      </c>
      <c r="S14" s="769">
        <f t="shared" si="0"/>
        <v>100</v>
      </c>
      <c r="T14" s="768" t="s">
        <v>17</v>
      </c>
      <c r="U14" s="769">
        <f t="shared" si="1"/>
        <v>100</v>
      </c>
      <c r="V14" s="768" t="s">
        <v>17</v>
      </c>
      <c r="W14" s="769">
        <f t="shared" si="2"/>
        <v>100</v>
      </c>
      <c r="X14" s="770"/>
      <c r="Y14" s="3168"/>
      <c r="Z14" s="55">
        <f t="shared" si="7"/>
        <v>111</v>
      </c>
      <c r="AA14" s="771">
        <f t="shared" si="3"/>
        <v>1</v>
      </c>
      <c r="AB14" s="771">
        <f t="shared" si="4"/>
        <v>1</v>
      </c>
      <c r="AC14" s="2655">
        <f t="shared" si="5"/>
        <v>1</v>
      </c>
    </row>
    <row r="15" spans="1:29" ht="15">
      <c r="A15" s="438" t="s">
        <v>2541</v>
      </c>
      <c r="B15" s="627" t="s">
        <v>2669</v>
      </c>
      <c r="C15" s="2657">
        <f>估价对象房地状况!C5</f>
        <v>0</v>
      </c>
      <c r="D15" s="439">
        <v>100</v>
      </c>
      <c r="E15" s="442"/>
      <c r="F15" s="439">
        <f>SUMIF(77:77,E16,78:78)-SUMIF(77:77,C16,78:78)+100</f>
        <v>100</v>
      </c>
      <c r="G15" s="440"/>
      <c r="H15" s="439">
        <f>SUMIF(77:77,G16,78:78)-SUMIF(77:77,C16,78:78)+100</f>
        <v>100</v>
      </c>
      <c r="I15" s="440"/>
      <c r="J15" s="439">
        <f>SUMIF(77:77,I16,78:78)-SUMIF(77:77,C16,78:78)+100</f>
        <v>100</v>
      </c>
      <c r="K15" s="612"/>
      <c r="L15" s="1136"/>
      <c r="M15" s="1127"/>
      <c r="N15" s="1127"/>
      <c r="O15" s="1127"/>
      <c r="P15" s="3409" t="s">
        <v>2542</v>
      </c>
      <c r="Q15" s="1804" t="str">
        <f t="shared" si="6"/>
        <v>办公集聚程度</v>
      </c>
      <c r="R15" s="772" t="s">
        <v>17</v>
      </c>
      <c r="S15" s="773">
        <f t="shared" si="0"/>
        <v>100</v>
      </c>
      <c r="T15" s="772" t="s">
        <v>17</v>
      </c>
      <c r="U15" s="773">
        <f t="shared" si="1"/>
        <v>100</v>
      </c>
      <c r="V15" s="772" t="s">
        <v>17</v>
      </c>
      <c r="W15" s="773">
        <f t="shared" si="2"/>
        <v>100</v>
      </c>
      <c r="X15" s="1807"/>
      <c r="Y15" s="3342" t="s">
        <v>2542</v>
      </c>
      <c r="Z15" s="1808" t="str">
        <f t="shared" si="7"/>
        <v>办公集聚程度</v>
      </c>
      <c r="AA15" s="1805">
        <f t="shared" si="3"/>
        <v>1</v>
      </c>
      <c r="AB15" s="1805">
        <f t="shared" si="4"/>
        <v>1</v>
      </c>
      <c r="AC15" s="2658">
        <f t="shared" si="5"/>
        <v>1</v>
      </c>
    </row>
    <row r="16" spans="1:29" ht="15">
      <c r="A16" s="426"/>
      <c r="B16" s="628"/>
      <c r="C16" s="2595"/>
      <c r="D16" s="446"/>
      <c r="E16" s="445"/>
      <c r="F16" s="446"/>
      <c r="G16" s="2595"/>
      <c r="H16" s="448"/>
      <c r="I16" s="445"/>
      <c r="J16" s="446"/>
      <c r="K16" s="613"/>
      <c r="L16" s="1136"/>
      <c r="M16" s="1127"/>
      <c r="N16" s="1127"/>
      <c r="O16" s="1127"/>
      <c r="P16" s="3410"/>
      <c r="Q16" s="1804"/>
      <c r="R16" s="772"/>
      <c r="S16" s="773"/>
      <c r="T16" s="772"/>
      <c r="U16" s="773"/>
      <c r="V16" s="772"/>
      <c r="W16" s="773"/>
      <c r="X16" s="1807"/>
      <c r="Y16" s="3343"/>
      <c r="Z16" s="1808"/>
      <c r="AA16" s="1805">
        <v>1</v>
      </c>
      <c r="AB16" s="1805">
        <v>1</v>
      </c>
      <c r="AC16" s="2658">
        <v>1</v>
      </c>
    </row>
    <row r="17" spans="1:29" ht="15">
      <c r="A17" s="426"/>
      <c r="B17" s="629" t="s">
        <v>2083</v>
      </c>
      <c r="C17" s="2659" t="str">
        <f>估价对象房地状况!C6</f>
        <v>一般</v>
      </c>
      <c r="D17" s="448">
        <v>100</v>
      </c>
      <c r="E17" s="452"/>
      <c r="F17" s="448">
        <f>SUMIF(79:79,E18,80:80)-SUMIF(79:79,C18,80:80)+100</f>
        <v>100</v>
      </c>
      <c r="G17" s="450"/>
      <c r="H17" s="453">
        <f>SUMIF(79:79,G18,80:80)-SUMIF(79:79,C18,80:80)+100</f>
        <v>100</v>
      </c>
      <c r="I17" s="450"/>
      <c r="J17" s="453">
        <f>SUMIF(79:79,I18,80:80)-SUMIF(79:79,C18,80:80)+100</f>
        <v>100</v>
      </c>
      <c r="K17" s="612"/>
      <c r="L17" s="1136"/>
      <c r="M17" s="1127"/>
      <c r="N17" s="1127"/>
      <c r="O17" s="1127"/>
      <c r="P17" s="3410"/>
      <c r="Q17" s="1804" t="str">
        <f>B17</f>
        <v>交通便捷度</v>
      </c>
      <c r="R17" s="772" t="s">
        <v>17</v>
      </c>
      <c r="S17" s="773">
        <f>F17</f>
        <v>100</v>
      </c>
      <c r="T17" s="772" t="s">
        <v>17</v>
      </c>
      <c r="U17" s="773">
        <f>H17</f>
        <v>100</v>
      </c>
      <c r="V17" s="772" t="s">
        <v>17</v>
      </c>
      <c r="W17" s="773">
        <f>J17</f>
        <v>100</v>
      </c>
      <c r="X17" s="1807"/>
      <c r="Y17" s="3343"/>
      <c r="Z17" s="1808" t="str">
        <f>Q17</f>
        <v>交通便捷度</v>
      </c>
      <c r="AA17" s="1805">
        <f t="shared" si="3"/>
        <v>1</v>
      </c>
      <c r="AB17" s="1805">
        <f t="shared" si="4"/>
        <v>1</v>
      </c>
      <c r="AC17" s="2658">
        <f t="shared" si="5"/>
        <v>1</v>
      </c>
    </row>
    <row r="18" spans="1:29" ht="15">
      <c r="A18" s="426"/>
      <c r="B18" s="630"/>
      <c r="C18" s="2660"/>
      <c r="D18" s="448"/>
      <c r="E18" s="2593"/>
      <c r="F18" s="448"/>
      <c r="G18" s="2594"/>
      <c r="H18" s="446"/>
      <c r="I18" s="2594"/>
      <c r="J18" s="446"/>
      <c r="K18" s="613"/>
      <c r="L18" s="1136"/>
      <c r="M18" s="1127"/>
      <c r="N18" s="1127"/>
      <c r="O18" s="1127"/>
      <c r="P18" s="3410"/>
      <c r="Q18" s="1804"/>
      <c r="R18" s="772"/>
      <c r="S18" s="773"/>
      <c r="T18" s="772"/>
      <c r="U18" s="773"/>
      <c r="V18" s="772"/>
      <c r="W18" s="773"/>
      <c r="X18" s="1807"/>
      <c r="Y18" s="3343"/>
      <c r="Z18" s="1808"/>
      <c r="AA18" s="1805">
        <v>1</v>
      </c>
      <c r="AB18" s="1805">
        <v>1</v>
      </c>
      <c r="AC18" s="2658">
        <v>1</v>
      </c>
    </row>
    <row r="19" spans="1:29" ht="15">
      <c r="A19" s="426"/>
      <c r="B19" s="629" t="s">
        <v>2670</v>
      </c>
      <c r="C19" s="2659" t="str">
        <f>估价对象房地状况!C7</f>
        <v>一般</v>
      </c>
      <c r="D19" s="453">
        <v>100</v>
      </c>
      <c r="E19" s="457"/>
      <c r="F19" s="453">
        <f>SUMIF(81:81,E20,82:82)-SUMIF(81:81,C20,82:82)+100</f>
        <v>100</v>
      </c>
      <c r="G19" s="455"/>
      <c r="H19" s="448">
        <f>SUMIF(81:81,G20,82:82)-SUMIF(81:81,C20,82:82)+100</f>
        <v>100</v>
      </c>
      <c r="I19" s="455"/>
      <c r="J19" s="448">
        <f>SUMIF(81:81,I20,82:82)-SUMIF(81:81,C20,82:82)+100</f>
        <v>100</v>
      </c>
      <c r="K19" s="612"/>
      <c r="L19" s="1136"/>
      <c r="M19" s="1127"/>
      <c r="N19" s="1127"/>
      <c r="O19" s="1127"/>
      <c r="P19" s="3410"/>
      <c r="Q19" s="1804" t="str">
        <f>B19</f>
        <v>公共配套设施</v>
      </c>
      <c r="R19" s="772" t="s">
        <v>17</v>
      </c>
      <c r="S19" s="773">
        <f>F19</f>
        <v>100</v>
      </c>
      <c r="T19" s="772" t="s">
        <v>17</v>
      </c>
      <c r="U19" s="773">
        <f>H19</f>
        <v>100</v>
      </c>
      <c r="V19" s="772" t="s">
        <v>17</v>
      </c>
      <c r="W19" s="773">
        <f>J19</f>
        <v>100</v>
      </c>
      <c r="X19" s="1807"/>
      <c r="Y19" s="3343"/>
      <c r="Z19" s="1808" t="str">
        <f>Q19</f>
        <v>公共配套设施</v>
      </c>
      <c r="AA19" s="1805">
        <f t="shared" si="3"/>
        <v>1</v>
      </c>
      <c r="AB19" s="1805">
        <f t="shared" si="4"/>
        <v>1</v>
      </c>
      <c r="AC19" s="2658">
        <f t="shared" si="5"/>
        <v>1</v>
      </c>
    </row>
    <row r="20" spans="1:29" ht="15">
      <c r="A20" s="426"/>
      <c r="B20" s="630"/>
      <c r="C20" s="2595"/>
      <c r="D20" s="446"/>
      <c r="E20" s="2588"/>
      <c r="F20" s="446"/>
      <c r="G20" s="2589"/>
      <c r="H20" s="446"/>
      <c r="I20" s="2589"/>
      <c r="J20" s="446"/>
      <c r="K20" s="613"/>
      <c r="L20" s="1136"/>
      <c r="M20" s="1127"/>
      <c r="N20" s="1127"/>
      <c r="O20" s="1127"/>
      <c r="P20" s="3410"/>
      <c r="Q20" s="1804"/>
      <c r="R20" s="772"/>
      <c r="S20" s="773"/>
      <c r="T20" s="772"/>
      <c r="U20" s="773"/>
      <c r="V20" s="772"/>
      <c r="W20" s="773"/>
      <c r="X20" s="1807"/>
      <c r="Y20" s="3343"/>
      <c r="Z20" s="1808"/>
      <c r="AA20" s="1805">
        <v>1</v>
      </c>
      <c r="AB20" s="1805">
        <v>1</v>
      </c>
      <c r="AC20" s="2658">
        <v>1</v>
      </c>
    </row>
    <row r="21" spans="1:29" ht="15">
      <c r="A21" s="426"/>
      <c r="B21" s="631" t="s">
        <v>2671</v>
      </c>
      <c r="C21" s="2659" t="str">
        <f>估价对象房地状况!C8</f>
        <v>七通</v>
      </c>
      <c r="D21" s="448">
        <v>100</v>
      </c>
      <c r="E21" s="457"/>
      <c r="F21" s="453">
        <f>SUMIF(83:83,E22,84:84)-SUMIF(83:83,C22,84:84)+100</f>
        <v>100</v>
      </c>
      <c r="G21" s="455"/>
      <c r="H21" s="448">
        <f>SUMIF(83:83,G22,84:84)-SUMIF(83:83,C22,84:84)+100</f>
        <v>100</v>
      </c>
      <c r="I21" s="455"/>
      <c r="J21" s="448">
        <f>SUMIF(83:83,I22,84:84)-SUMIF(83:83,C22,84:84)+100</f>
        <v>100</v>
      </c>
      <c r="K21" s="612"/>
      <c r="L21" s="1136"/>
      <c r="M21" s="1127"/>
      <c r="N21" s="1127"/>
      <c r="O21" s="1127"/>
      <c r="P21" s="3410"/>
      <c r="Q21" s="1804" t="str">
        <f>B21</f>
        <v>基础设施水平</v>
      </c>
      <c r="R21" s="772" t="s">
        <v>17</v>
      </c>
      <c r="S21" s="773">
        <f>F21</f>
        <v>100</v>
      </c>
      <c r="T21" s="772" t="s">
        <v>17</v>
      </c>
      <c r="U21" s="773">
        <f>H21</f>
        <v>100</v>
      </c>
      <c r="V21" s="772" t="s">
        <v>17</v>
      </c>
      <c r="W21" s="773">
        <f>J21</f>
        <v>100</v>
      </c>
      <c r="X21" s="1807"/>
      <c r="Y21" s="3343"/>
      <c r="Z21" s="1808" t="str">
        <f>Q21</f>
        <v>基础设施水平</v>
      </c>
      <c r="AA21" s="1805">
        <f t="shared" ref="AA21" si="8">D21/F21</f>
        <v>1</v>
      </c>
      <c r="AB21" s="1805">
        <f t="shared" ref="AB21" si="9">D21/H21</f>
        <v>1</v>
      </c>
      <c r="AC21" s="2658">
        <f t="shared" ref="AC21" si="10">D21/J21</f>
        <v>1</v>
      </c>
    </row>
    <row r="22" spans="1:29" ht="15">
      <c r="A22" s="426"/>
      <c r="B22" s="631"/>
      <c r="C22" s="2660"/>
      <c r="D22" s="446"/>
      <c r="E22" s="445"/>
      <c r="F22" s="446"/>
      <c r="G22" s="2595"/>
      <c r="H22" s="446"/>
      <c r="I22" s="2595"/>
      <c r="J22" s="446"/>
      <c r="K22" s="1379"/>
      <c r="L22" s="1136"/>
      <c r="M22" s="1127"/>
      <c r="N22" s="1127"/>
      <c r="O22" s="1127"/>
      <c r="P22" s="3410"/>
      <c r="Q22" s="1804"/>
      <c r="R22" s="772"/>
      <c r="S22" s="773"/>
      <c r="T22" s="772"/>
      <c r="U22" s="773"/>
      <c r="V22" s="772"/>
      <c r="W22" s="773"/>
      <c r="X22" s="1807"/>
      <c r="Y22" s="3343"/>
      <c r="Z22" s="1808"/>
      <c r="AA22" s="1805">
        <v>1</v>
      </c>
      <c r="AB22" s="1805">
        <v>1</v>
      </c>
      <c r="AC22" s="2658">
        <v>1</v>
      </c>
    </row>
    <row r="23" spans="1:29" ht="15">
      <c r="A23" s="426"/>
      <c r="B23" s="629" t="s">
        <v>2672</v>
      </c>
      <c r="C23" s="2659" t="str">
        <f>估价对象房地状况!C9</f>
        <v>一般</v>
      </c>
      <c r="D23" s="448">
        <v>100</v>
      </c>
      <c r="E23" s="452"/>
      <c r="F23" s="448">
        <f>SUMIF(85:85,E24,86:86)-SUMIF(85:85,C24,86:86)+100</f>
        <v>100</v>
      </c>
      <c r="G23" s="450"/>
      <c r="H23" s="448">
        <f>SUMIF(85:85,G24,86:86)-SUMIF(85:85,C24,86:86)+100</f>
        <v>100</v>
      </c>
      <c r="I23" s="450"/>
      <c r="J23" s="448">
        <f>SUMIF(85:85,I24,86:86)-SUMIF(85:85,C24,86:86)+100</f>
        <v>100</v>
      </c>
      <c r="K23" s="612"/>
      <c r="L23" s="1136"/>
      <c r="M23" s="1127"/>
      <c r="N23" s="1127"/>
      <c r="O23" s="1127"/>
      <c r="P23" s="3410"/>
      <c r="Q23" s="1804" t="str">
        <f>B23</f>
        <v>环境质量</v>
      </c>
      <c r="R23" s="772" t="s">
        <v>17</v>
      </c>
      <c r="S23" s="773">
        <f>F23</f>
        <v>100</v>
      </c>
      <c r="T23" s="772" t="s">
        <v>17</v>
      </c>
      <c r="U23" s="773">
        <f>H23</f>
        <v>100</v>
      </c>
      <c r="V23" s="772" t="s">
        <v>17</v>
      </c>
      <c r="W23" s="773">
        <f>J23</f>
        <v>100</v>
      </c>
      <c r="X23" s="1807"/>
      <c r="Y23" s="3343"/>
      <c r="Z23" s="1808" t="str">
        <f>Q23</f>
        <v>环境质量</v>
      </c>
      <c r="AA23" s="1805">
        <f t="shared" si="3"/>
        <v>1</v>
      </c>
      <c r="AB23" s="1805">
        <f t="shared" si="4"/>
        <v>1</v>
      </c>
      <c r="AC23" s="2658">
        <f t="shared" si="5"/>
        <v>1</v>
      </c>
    </row>
    <row r="24" spans="1:29" ht="15">
      <c r="A24" s="426"/>
      <c r="B24" s="631"/>
      <c r="C24" s="2595"/>
      <c r="D24" s="446"/>
      <c r="E24" s="2588"/>
      <c r="F24" s="446"/>
      <c r="G24" s="2589"/>
      <c r="H24" s="446"/>
      <c r="I24" s="2589"/>
      <c r="J24" s="446"/>
      <c r="K24" s="613"/>
      <c r="L24" s="1136"/>
      <c r="M24" s="1127"/>
      <c r="N24" s="1127"/>
      <c r="O24" s="1127"/>
      <c r="P24" s="3410"/>
      <c r="Q24" s="1804"/>
      <c r="R24" s="772"/>
      <c r="S24" s="773"/>
      <c r="T24" s="772"/>
      <c r="U24" s="773"/>
      <c r="V24" s="772"/>
      <c r="W24" s="773"/>
      <c r="X24" s="1807"/>
      <c r="Y24" s="3343"/>
      <c r="Z24" s="1808"/>
      <c r="AA24" s="1805">
        <v>1</v>
      </c>
      <c r="AB24" s="1805">
        <v>1</v>
      </c>
      <c r="AC24" s="2658">
        <v>1</v>
      </c>
    </row>
    <row r="25" spans="1:29" ht="27">
      <c r="A25" s="402"/>
      <c r="B25" s="629" t="s">
        <v>2673</v>
      </c>
      <c r="C25" s="2599"/>
      <c r="D25" s="433">
        <v>100</v>
      </c>
      <c r="E25" s="432"/>
      <c r="F25" s="433">
        <f>SUMIF(87:87,E26,88:88)-SUMIF(87:87,C26,88:88)+100</f>
        <v>100</v>
      </c>
      <c r="G25" s="2599"/>
      <c r="H25" s="433">
        <f>SUMIF(87:87,G26,88:88)-SUMIF(87:87,C26,88:88)+100</f>
        <v>100</v>
      </c>
      <c r="I25" s="432"/>
      <c r="J25" s="433">
        <f>SUMIF(87:87,I26,88:88)-SUMIF(87:87,C26,88:88)+100</f>
        <v>100</v>
      </c>
      <c r="K25" s="612"/>
      <c r="L25" s="1136"/>
      <c r="M25" s="1127"/>
      <c r="N25" s="1127"/>
      <c r="O25" s="1127"/>
      <c r="P25" s="3410"/>
      <c r="Q25" s="1804" t="str">
        <f>B25</f>
        <v>毗邻道路的类型与等级</v>
      </c>
      <c r="R25" s="772" t="s">
        <v>17</v>
      </c>
      <c r="S25" s="773">
        <f>F25</f>
        <v>100</v>
      </c>
      <c r="T25" s="772" t="s">
        <v>17</v>
      </c>
      <c r="U25" s="773">
        <f>H25</f>
        <v>100</v>
      </c>
      <c r="V25" s="772" t="s">
        <v>17</v>
      </c>
      <c r="W25" s="773">
        <f>J25</f>
        <v>100</v>
      </c>
      <c r="X25" s="1807"/>
      <c r="Y25" s="3343"/>
      <c r="Z25" s="1808" t="str">
        <f>Q25</f>
        <v>毗邻道路的类型与等级</v>
      </c>
      <c r="AA25" s="1805">
        <f t="shared" si="3"/>
        <v>1</v>
      </c>
      <c r="AB25" s="1805">
        <f t="shared" si="4"/>
        <v>1</v>
      </c>
      <c r="AC25" s="2658">
        <f t="shared" si="5"/>
        <v>1</v>
      </c>
    </row>
    <row r="26" spans="1:29" ht="15">
      <c r="A26" s="402"/>
      <c r="B26" s="630"/>
      <c r="C26" s="632"/>
      <c r="D26" s="433"/>
      <c r="E26" s="614"/>
      <c r="F26" s="433"/>
      <c r="G26" s="632"/>
      <c r="H26" s="433"/>
      <c r="I26" s="614"/>
      <c r="J26" s="433"/>
      <c r="K26" s="613"/>
      <c r="L26" s="1136"/>
      <c r="M26" s="1127"/>
      <c r="N26" s="1127"/>
      <c r="O26" s="1127"/>
      <c r="P26" s="3410"/>
      <c r="Q26" s="1804"/>
      <c r="R26" s="772"/>
      <c r="S26" s="773"/>
      <c r="T26" s="772"/>
      <c r="U26" s="773"/>
      <c r="V26" s="772"/>
      <c r="W26" s="773"/>
      <c r="X26" s="1807"/>
      <c r="Y26" s="3343"/>
      <c r="Z26" s="1808"/>
      <c r="AA26" s="1805">
        <v>1</v>
      </c>
      <c r="AB26" s="1805">
        <v>1</v>
      </c>
      <c r="AC26" s="2658">
        <v>1</v>
      </c>
    </row>
    <row r="27" spans="1:29" ht="15">
      <c r="A27" s="426"/>
      <c r="B27" s="630" t="s">
        <v>2641</v>
      </c>
      <c r="C27" s="632"/>
      <c r="D27" s="433">
        <v>100</v>
      </c>
      <c r="E27" s="614"/>
      <c r="F27" s="433">
        <f>SUMIF(89:89,E27,90:90)-SUMIF(89:89,C27,90:90)+100</f>
        <v>100</v>
      </c>
      <c r="G27" s="632"/>
      <c r="H27" s="433">
        <f>SUMIF(89:89,G27,90:90)-SUMIF(89:89,C27,90:90)+100</f>
        <v>100</v>
      </c>
      <c r="I27" s="614"/>
      <c r="J27" s="433">
        <f>SUMIF(89:89,I27,90:90)-SUMIF(89:89,C27,90:90)+100</f>
        <v>100</v>
      </c>
      <c r="K27" s="610"/>
      <c r="L27" s="1136"/>
      <c r="M27" s="1127"/>
      <c r="N27" s="1127"/>
      <c r="O27" s="1127"/>
      <c r="P27" s="3410"/>
      <c r="Q27" s="1804" t="str">
        <f t="shared" ref="Q27:Q47" si="11">B27</f>
        <v>楼层</v>
      </c>
      <c r="R27" s="772" t="s">
        <v>17</v>
      </c>
      <c r="S27" s="773">
        <f>F27</f>
        <v>100</v>
      </c>
      <c r="T27" s="772" t="s">
        <v>17</v>
      </c>
      <c r="U27" s="773">
        <f>H27</f>
        <v>100</v>
      </c>
      <c r="V27" s="772" t="s">
        <v>17</v>
      </c>
      <c r="W27" s="773">
        <f>J27</f>
        <v>100</v>
      </c>
      <c r="X27" s="1807"/>
      <c r="Y27" s="3343"/>
      <c r="Z27" s="1808" t="str">
        <f>Q27</f>
        <v>楼层</v>
      </c>
      <c r="AA27" s="1805">
        <f t="shared" si="3"/>
        <v>1</v>
      </c>
      <c r="AB27" s="1805">
        <f t="shared" si="4"/>
        <v>1</v>
      </c>
      <c r="AC27" s="2658">
        <f t="shared" si="5"/>
        <v>1</v>
      </c>
    </row>
    <row r="28" spans="1:29" s="115" customFormat="1" ht="15">
      <c r="A28" s="429"/>
      <c r="B28" s="629" t="s">
        <v>2674</v>
      </c>
      <c r="C28" s="2661"/>
      <c r="D28" s="460">
        <v>100</v>
      </c>
      <c r="E28" s="2649"/>
      <c r="F28" s="460">
        <f>SUMIF(91:91,E28,92:92)-SUMIF(91:91,C28,92:92)+100</f>
        <v>100</v>
      </c>
      <c r="G28" s="2661"/>
      <c r="H28" s="460">
        <f>SUMIF(91:91,G28,92:92)-SUMIF(91:91,C28,92:92)+100</f>
        <v>100</v>
      </c>
      <c r="I28" s="2649"/>
      <c r="J28" s="460">
        <f>SUMIF(91:91,I28,92:92)-SUMIF(91:91,C28,92:92)+100</f>
        <v>100</v>
      </c>
      <c r="K28" s="610"/>
      <c r="L28" s="1128"/>
      <c r="M28" s="1129"/>
      <c r="N28" s="1129"/>
      <c r="O28" s="1129"/>
      <c r="P28" s="3410"/>
      <c r="Q28" s="1789" t="str">
        <f t="shared" si="11"/>
        <v>朝向</v>
      </c>
      <c r="R28" s="768" t="s">
        <v>17</v>
      </c>
      <c r="S28" s="769">
        <f>F28</f>
        <v>100</v>
      </c>
      <c r="T28" s="768" t="s">
        <v>17</v>
      </c>
      <c r="U28" s="769">
        <f>H28</f>
        <v>100</v>
      </c>
      <c r="V28" s="768" t="s">
        <v>17</v>
      </c>
      <c r="W28" s="769">
        <f>J28</f>
        <v>100</v>
      </c>
      <c r="X28" s="770"/>
      <c r="Y28" s="3343"/>
      <c r="Z28" s="55" t="str">
        <f>Q28</f>
        <v>朝向</v>
      </c>
      <c r="AA28" s="1805">
        <f>D28/F28</f>
        <v>1</v>
      </c>
      <c r="AB28" s="1805">
        <f>D28/H28</f>
        <v>1</v>
      </c>
      <c r="AC28" s="2658">
        <f>D28/J28</f>
        <v>1</v>
      </c>
    </row>
    <row r="29" spans="1:29" ht="15">
      <c r="A29" s="426"/>
      <c r="B29" s="2662">
        <v>111</v>
      </c>
      <c r="C29" s="2599"/>
      <c r="D29" s="433">
        <v>100</v>
      </c>
      <c r="E29" s="430"/>
      <c r="F29" s="433">
        <f>SUMIF(93:93,E29,94:94)-SUMIF(93:93,C29,94:94)+100</f>
        <v>100</v>
      </c>
      <c r="G29" s="2656"/>
      <c r="H29" s="433">
        <f>SUMIF(93:93,G29,94:94)-SUMIF(93:93,C29,94:94)+100</f>
        <v>100</v>
      </c>
      <c r="I29" s="430"/>
      <c r="J29" s="433">
        <f>SUMIF(93:93,I29,94:94)-SUMIF(93:93,C29,94:94)+100</f>
        <v>100</v>
      </c>
      <c r="K29" s="611"/>
      <c r="L29" s="1136"/>
      <c r="M29" s="1127"/>
      <c r="N29" s="1127"/>
      <c r="O29" s="1127"/>
      <c r="P29" s="3410"/>
      <c r="Q29" s="1804">
        <f t="shared" si="11"/>
        <v>111</v>
      </c>
      <c r="R29" s="772" t="s">
        <v>17</v>
      </c>
      <c r="S29" s="773">
        <f t="shared" ref="S29:S47" si="12">F29</f>
        <v>100</v>
      </c>
      <c r="T29" s="772" t="s">
        <v>17</v>
      </c>
      <c r="U29" s="773">
        <f t="shared" ref="U29:U47" si="13">H29</f>
        <v>100</v>
      </c>
      <c r="V29" s="772" t="s">
        <v>17</v>
      </c>
      <c r="W29" s="773">
        <f t="shared" ref="W29:W47" si="14">J29</f>
        <v>100</v>
      </c>
      <c r="X29" s="1807"/>
      <c r="Y29" s="3343"/>
      <c r="Z29" s="1808">
        <f t="shared" ref="Z29:Z47" si="15">Q29</f>
        <v>111</v>
      </c>
      <c r="AA29" s="1805">
        <f t="shared" si="3"/>
        <v>1</v>
      </c>
      <c r="AB29" s="1805">
        <f t="shared" si="4"/>
        <v>1</v>
      </c>
      <c r="AC29" s="2658">
        <f t="shared" si="5"/>
        <v>1</v>
      </c>
    </row>
    <row r="30" spans="1:29" ht="15">
      <c r="A30" s="426"/>
      <c r="B30" s="2662">
        <v>111</v>
      </c>
      <c r="C30" s="2599"/>
      <c r="D30" s="433">
        <v>100</v>
      </c>
      <c r="E30" s="430"/>
      <c r="F30" s="433">
        <f>SUMIF(95:95,E30,96:96)-SUMIF(95:95,C30,96:96)+100</f>
        <v>100</v>
      </c>
      <c r="G30" s="2656"/>
      <c r="H30" s="433">
        <f>SUMIF(95:95,G30,96:96)-SUMIF(95:95,C30,96:96)+100</f>
        <v>100</v>
      </c>
      <c r="I30" s="430"/>
      <c r="J30" s="433">
        <f>SUMIF(95:95,I30,96:96)-SUMIF(95:95,C30,96:96)+100</f>
        <v>100</v>
      </c>
      <c r="K30" s="611"/>
      <c r="L30" s="1136"/>
      <c r="M30" s="1127"/>
      <c r="N30" s="1127"/>
      <c r="O30" s="1127"/>
      <c r="P30" s="3410"/>
      <c r="Q30" s="1804">
        <f t="shared" si="11"/>
        <v>111</v>
      </c>
      <c r="R30" s="772" t="s">
        <v>17</v>
      </c>
      <c r="S30" s="773">
        <f t="shared" si="12"/>
        <v>100</v>
      </c>
      <c r="T30" s="772" t="s">
        <v>17</v>
      </c>
      <c r="U30" s="773">
        <f t="shared" si="13"/>
        <v>100</v>
      </c>
      <c r="V30" s="772" t="s">
        <v>17</v>
      </c>
      <c r="W30" s="773">
        <f t="shared" si="14"/>
        <v>100</v>
      </c>
      <c r="X30" s="1807"/>
      <c r="Y30" s="3343"/>
      <c r="Z30" s="1808">
        <f t="shared" si="15"/>
        <v>111</v>
      </c>
      <c r="AA30" s="1805">
        <f t="shared" si="3"/>
        <v>1</v>
      </c>
      <c r="AB30" s="1805">
        <f t="shared" si="4"/>
        <v>1</v>
      </c>
      <c r="AC30" s="2658">
        <f t="shared" si="5"/>
        <v>1</v>
      </c>
    </row>
    <row r="31" spans="1:29" ht="15">
      <c r="A31" s="426"/>
      <c r="B31" s="2662">
        <v>111</v>
      </c>
      <c r="C31" s="2599"/>
      <c r="D31" s="433">
        <v>100</v>
      </c>
      <c r="E31" s="430"/>
      <c r="F31" s="433">
        <f>SUMIF(97:97,E31,98:98)-SUMIF(97:97,C31,98:98)+100</f>
        <v>100</v>
      </c>
      <c r="G31" s="2656"/>
      <c r="H31" s="433">
        <f>SUMIF(97:97,G31,98:98)-SUMIF(97:97,C31,98:98)+100</f>
        <v>100</v>
      </c>
      <c r="I31" s="430"/>
      <c r="J31" s="433">
        <f>SUMIF(97:97,I31,98:98)-SUMIF(97:97,C31,98:98)+100</f>
        <v>100</v>
      </c>
      <c r="K31" s="611"/>
      <c r="L31" s="1136"/>
      <c r="M31" s="1127"/>
      <c r="N31" s="1127"/>
      <c r="O31" s="1127"/>
      <c r="P31" s="3410"/>
      <c r="Q31" s="1804">
        <f t="shared" si="11"/>
        <v>111</v>
      </c>
      <c r="R31" s="772" t="s">
        <v>17</v>
      </c>
      <c r="S31" s="773">
        <f t="shared" si="12"/>
        <v>100</v>
      </c>
      <c r="T31" s="772" t="s">
        <v>17</v>
      </c>
      <c r="U31" s="773">
        <f t="shared" si="13"/>
        <v>100</v>
      </c>
      <c r="V31" s="772" t="s">
        <v>17</v>
      </c>
      <c r="W31" s="773">
        <f t="shared" si="14"/>
        <v>100</v>
      </c>
      <c r="X31" s="1807"/>
      <c r="Y31" s="3343"/>
      <c r="Z31" s="1808">
        <f t="shared" si="15"/>
        <v>111</v>
      </c>
      <c r="AA31" s="1805">
        <f t="shared" si="3"/>
        <v>1</v>
      </c>
      <c r="AB31" s="1805">
        <f t="shared" si="4"/>
        <v>1</v>
      </c>
      <c r="AC31" s="2658">
        <f t="shared" si="5"/>
        <v>1</v>
      </c>
    </row>
    <row r="32" spans="1:29" ht="15.75" thickBot="1">
      <c r="A32" s="434"/>
      <c r="B32" s="633">
        <v>111</v>
      </c>
      <c r="C32" s="2600"/>
      <c r="D32" s="436">
        <v>100</v>
      </c>
      <c r="E32" s="626"/>
      <c r="F32" s="436">
        <f>SUMIF(99:99,E32,100:100)-SUMIF(99:99,C32,100:100)+100</f>
        <v>100</v>
      </c>
      <c r="G32" s="2656"/>
      <c r="H32" s="436">
        <f>SUMIF(99:99,G32,100:100)-SUMIF(99:99,C32,100:100)+100</f>
        <v>100</v>
      </c>
      <c r="I32" s="430"/>
      <c r="J32" s="436">
        <f>SUMIF(99:99,I32,100:100)-SUMIF(99:99,C32,100:100)+100</f>
        <v>100</v>
      </c>
      <c r="K32" s="611"/>
      <c r="L32" s="1136"/>
      <c r="M32" s="1127"/>
      <c r="N32" s="1127"/>
      <c r="O32" s="1127"/>
      <c r="P32" s="3410"/>
      <c r="Q32" s="1804">
        <f t="shared" si="11"/>
        <v>111</v>
      </c>
      <c r="R32" s="772" t="s">
        <v>17</v>
      </c>
      <c r="S32" s="773">
        <f t="shared" si="12"/>
        <v>100</v>
      </c>
      <c r="T32" s="772" t="s">
        <v>17</v>
      </c>
      <c r="U32" s="773">
        <f t="shared" si="13"/>
        <v>100</v>
      </c>
      <c r="V32" s="772" t="s">
        <v>17</v>
      </c>
      <c r="W32" s="773">
        <f t="shared" si="14"/>
        <v>100</v>
      </c>
      <c r="X32" s="1807"/>
      <c r="Y32" s="3343"/>
      <c r="Z32" s="1808">
        <f t="shared" si="15"/>
        <v>111</v>
      </c>
      <c r="AA32" s="1805">
        <f t="shared" si="3"/>
        <v>1</v>
      </c>
      <c r="AB32" s="1805">
        <f t="shared" si="4"/>
        <v>1</v>
      </c>
      <c r="AC32" s="2658">
        <f t="shared" si="5"/>
        <v>1</v>
      </c>
    </row>
    <row r="33" spans="1:29" ht="15">
      <c r="A33" s="438" t="s">
        <v>2545</v>
      </c>
      <c r="B33" s="70" t="s">
        <v>2675</v>
      </c>
      <c r="C33" s="2663"/>
      <c r="D33" s="465">
        <v>100</v>
      </c>
      <c r="E33" s="2663"/>
      <c r="F33" s="459">
        <f>SUMIF(101:101,E33,102:102)-SUMIF(101:101,C33,102:102)+100</f>
        <v>100</v>
      </c>
      <c r="G33" s="2663"/>
      <c r="H33" s="433">
        <f>SUMIF(101:101,G33,102:102)-SUMIF(101:101,C33,102:102)+100</f>
        <v>100</v>
      </c>
      <c r="I33" s="2663"/>
      <c r="J33" s="465">
        <f>SUMIF(101:101,I33,102:102)-SUMIF(101:101,C33,102:102)+100</f>
        <v>100</v>
      </c>
      <c r="K33" s="610"/>
      <c r="L33" s="1136"/>
      <c r="M33" s="1127"/>
      <c r="N33" s="1127"/>
      <c r="O33" s="1127"/>
      <c r="P33" s="3405" t="s">
        <v>2547</v>
      </c>
      <c r="Q33" s="1804" t="str">
        <f t="shared" si="11"/>
        <v>建筑类型</v>
      </c>
      <c r="R33" s="772" t="s">
        <v>17</v>
      </c>
      <c r="S33" s="773">
        <f t="shared" si="12"/>
        <v>100</v>
      </c>
      <c r="T33" s="772" t="s">
        <v>17</v>
      </c>
      <c r="U33" s="773">
        <f t="shared" si="13"/>
        <v>100</v>
      </c>
      <c r="V33" s="772" t="s">
        <v>17</v>
      </c>
      <c r="W33" s="773">
        <f t="shared" si="14"/>
        <v>100</v>
      </c>
      <c r="X33" s="1807"/>
      <c r="Y33" s="3345" t="s">
        <v>2547</v>
      </c>
      <c r="Z33" s="1808" t="str">
        <f t="shared" si="15"/>
        <v>建筑类型</v>
      </c>
      <c r="AA33" s="1805">
        <f t="shared" si="3"/>
        <v>1</v>
      </c>
      <c r="AB33" s="1805">
        <f t="shared" si="4"/>
        <v>1</v>
      </c>
      <c r="AC33" s="2658">
        <f t="shared" si="5"/>
        <v>1</v>
      </c>
    </row>
    <row r="34" spans="1:29" s="469" customFormat="1" ht="15">
      <c r="A34" s="466"/>
      <c r="B34" s="420" t="s">
        <v>2548</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4"/>
      <c r="M34" s="1137"/>
      <c r="N34" s="1137"/>
      <c r="O34" s="1137"/>
      <c r="P34" s="3406"/>
      <c r="Q34" s="774" t="str">
        <f t="shared" si="11"/>
        <v>项目建筑规模</v>
      </c>
      <c r="R34" s="775" t="s">
        <v>17</v>
      </c>
      <c r="S34" s="776" t="e">
        <f t="shared" si="12"/>
        <v>#N/A</v>
      </c>
      <c r="T34" s="775" t="s">
        <v>17</v>
      </c>
      <c r="U34" s="776" t="e">
        <f t="shared" si="13"/>
        <v>#N/A</v>
      </c>
      <c r="V34" s="775" t="s">
        <v>17</v>
      </c>
      <c r="W34" s="776" t="e">
        <f t="shared" si="14"/>
        <v>#N/A</v>
      </c>
      <c r="X34" s="777"/>
      <c r="Y34" s="3345"/>
      <c r="Z34" s="778" t="str">
        <f t="shared" si="15"/>
        <v>项目建筑规模</v>
      </c>
      <c r="AA34" s="1805" t="e">
        <f t="shared" si="3"/>
        <v>#N/A</v>
      </c>
      <c r="AB34" s="1805" t="e">
        <f t="shared" si="4"/>
        <v>#N/A</v>
      </c>
      <c r="AC34" s="2658" t="e">
        <f t="shared" si="5"/>
        <v>#N/A</v>
      </c>
    </row>
    <row r="35" spans="1:29" ht="15">
      <c r="A35" s="470"/>
      <c r="B35" s="420" t="s">
        <v>2549</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6"/>
      <c r="M35" s="1127"/>
      <c r="N35" s="1127"/>
      <c r="O35" s="1127"/>
      <c r="P35" s="3406"/>
      <c r="Q35" s="1804" t="str">
        <f t="shared" si="11"/>
        <v>建筑结构</v>
      </c>
      <c r="R35" s="772" t="s">
        <v>17</v>
      </c>
      <c r="S35" s="773">
        <f t="shared" si="12"/>
        <v>100</v>
      </c>
      <c r="T35" s="772" t="s">
        <v>17</v>
      </c>
      <c r="U35" s="773">
        <f t="shared" si="13"/>
        <v>100</v>
      </c>
      <c r="V35" s="772" t="s">
        <v>17</v>
      </c>
      <c r="W35" s="773">
        <f t="shared" si="14"/>
        <v>100</v>
      </c>
      <c r="X35" s="1807"/>
      <c r="Y35" s="3345"/>
      <c r="Z35" s="1808" t="str">
        <f t="shared" si="15"/>
        <v>建筑结构</v>
      </c>
      <c r="AA35" s="1805">
        <f t="shared" si="3"/>
        <v>1</v>
      </c>
      <c r="AB35" s="1805">
        <f t="shared" si="4"/>
        <v>1</v>
      </c>
      <c r="AC35" s="2658">
        <f t="shared" si="5"/>
        <v>1</v>
      </c>
    </row>
    <row r="36" spans="1:29" ht="15">
      <c r="A36" s="470"/>
      <c r="B36" s="420" t="s">
        <v>2643</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6"/>
      <c r="M36" s="1127"/>
      <c r="N36" s="1127"/>
      <c r="O36" s="1127"/>
      <c r="P36" s="3406"/>
      <c r="Q36" s="1804" t="str">
        <f t="shared" si="11"/>
        <v>公共部分装修</v>
      </c>
      <c r="R36" s="772" t="s">
        <v>17</v>
      </c>
      <c r="S36" s="773">
        <f t="shared" si="12"/>
        <v>100</v>
      </c>
      <c r="T36" s="772" t="s">
        <v>17</v>
      </c>
      <c r="U36" s="773">
        <f t="shared" si="13"/>
        <v>100</v>
      </c>
      <c r="V36" s="772" t="s">
        <v>17</v>
      </c>
      <c r="W36" s="773">
        <f t="shared" si="14"/>
        <v>100</v>
      </c>
      <c r="X36" s="1807"/>
      <c r="Y36" s="3345"/>
      <c r="Z36" s="1808" t="str">
        <f t="shared" si="15"/>
        <v>公共部分装修</v>
      </c>
      <c r="AA36" s="1805">
        <f t="shared" si="3"/>
        <v>1</v>
      </c>
      <c r="AB36" s="1805">
        <f t="shared" si="4"/>
        <v>1</v>
      </c>
      <c r="AC36" s="2658">
        <f t="shared" si="5"/>
        <v>1</v>
      </c>
    </row>
    <row r="37" spans="1:29" ht="15">
      <c r="A37" s="470"/>
      <c r="B37" s="420" t="s">
        <v>2644</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6"/>
      <c r="M37" s="1127"/>
      <c r="N37" s="1127"/>
      <c r="O37" s="1127"/>
      <c r="P37" s="3406"/>
      <c r="Q37" s="1804" t="str">
        <f t="shared" si="11"/>
        <v>成新度</v>
      </c>
      <c r="R37" s="772" t="s">
        <v>17</v>
      </c>
      <c r="S37" s="773" t="e">
        <f t="shared" si="12"/>
        <v>#N/A</v>
      </c>
      <c r="T37" s="772" t="s">
        <v>17</v>
      </c>
      <c r="U37" s="773" t="e">
        <f t="shared" si="13"/>
        <v>#N/A</v>
      </c>
      <c r="V37" s="772" t="s">
        <v>17</v>
      </c>
      <c r="W37" s="773" t="e">
        <f t="shared" si="14"/>
        <v>#N/A</v>
      </c>
      <c r="X37" s="1807"/>
      <c r="Y37" s="3345"/>
      <c r="Z37" s="1808" t="str">
        <f t="shared" si="15"/>
        <v>成新度</v>
      </c>
      <c r="AA37" s="1805" t="e">
        <f t="shared" si="3"/>
        <v>#N/A</v>
      </c>
      <c r="AB37" s="1805" t="e">
        <f t="shared" si="4"/>
        <v>#N/A</v>
      </c>
      <c r="AC37" s="2658" t="e">
        <f t="shared" si="5"/>
        <v>#N/A</v>
      </c>
    </row>
    <row r="38" spans="1:29" s="115" customFormat="1" ht="15">
      <c r="A38" s="471"/>
      <c r="B38" s="420" t="s">
        <v>2676</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8"/>
      <c r="M38" s="1129"/>
      <c r="N38" s="1129"/>
      <c r="O38" s="1129"/>
      <c r="P38" s="3406"/>
      <c r="Q38" s="1789" t="str">
        <f t="shared" si="11"/>
        <v>写字楼等级</v>
      </c>
      <c r="R38" s="768" t="s">
        <v>17</v>
      </c>
      <c r="S38" s="769">
        <f t="shared" si="12"/>
        <v>100</v>
      </c>
      <c r="T38" s="768" t="s">
        <v>17</v>
      </c>
      <c r="U38" s="769">
        <f t="shared" si="13"/>
        <v>100</v>
      </c>
      <c r="V38" s="768" t="s">
        <v>17</v>
      </c>
      <c r="W38" s="769">
        <f t="shared" si="14"/>
        <v>100</v>
      </c>
      <c r="X38" s="770"/>
      <c r="Y38" s="3345"/>
      <c r="Z38" s="55" t="str">
        <f t="shared" si="15"/>
        <v>写字楼等级</v>
      </c>
      <c r="AA38" s="771">
        <f t="shared" si="3"/>
        <v>1</v>
      </c>
      <c r="AB38" s="771">
        <f t="shared" si="4"/>
        <v>1</v>
      </c>
      <c r="AC38" s="2655">
        <f t="shared" si="5"/>
        <v>1</v>
      </c>
    </row>
    <row r="39" spans="1:29" ht="15">
      <c r="A39" s="470"/>
      <c r="B39" s="420" t="s">
        <v>2677</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6"/>
      <c r="M39" s="1127"/>
      <c r="N39" s="1127"/>
      <c r="O39" s="1127"/>
      <c r="P39" s="3406" t="s">
        <v>2547</v>
      </c>
      <c r="Q39" s="1804" t="str">
        <f t="shared" si="11"/>
        <v>物业管理</v>
      </c>
      <c r="R39" s="772" t="s">
        <v>17</v>
      </c>
      <c r="S39" s="773">
        <f t="shared" si="12"/>
        <v>100</v>
      </c>
      <c r="T39" s="772" t="s">
        <v>17</v>
      </c>
      <c r="U39" s="773">
        <f t="shared" si="13"/>
        <v>100</v>
      </c>
      <c r="V39" s="772" t="s">
        <v>17</v>
      </c>
      <c r="W39" s="773">
        <f t="shared" si="14"/>
        <v>100</v>
      </c>
      <c r="X39" s="1807"/>
      <c r="Y39" s="3345" t="s">
        <v>2547</v>
      </c>
      <c r="Z39" s="1808" t="str">
        <f t="shared" si="15"/>
        <v>物业管理</v>
      </c>
      <c r="AA39" s="1805">
        <f t="shared" si="3"/>
        <v>1</v>
      </c>
      <c r="AB39" s="1805">
        <f t="shared" si="4"/>
        <v>1</v>
      </c>
      <c r="AC39" s="2658">
        <f t="shared" si="5"/>
        <v>1</v>
      </c>
    </row>
    <row r="40" spans="1:29" ht="15">
      <c r="A40" s="470"/>
      <c r="B40" s="420" t="s">
        <v>2645</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6"/>
      <c r="M40" s="1127"/>
      <c r="N40" s="1127"/>
      <c r="O40" s="1127"/>
      <c r="P40" s="3406"/>
      <c r="Q40" s="1804" t="str">
        <f t="shared" si="11"/>
        <v>市政基础设施</v>
      </c>
      <c r="R40" s="772" t="s">
        <v>17</v>
      </c>
      <c r="S40" s="773">
        <f t="shared" si="12"/>
        <v>100</v>
      </c>
      <c r="T40" s="772" t="s">
        <v>17</v>
      </c>
      <c r="U40" s="773">
        <f t="shared" si="13"/>
        <v>100</v>
      </c>
      <c r="V40" s="772" t="s">
        <v>17</v>
      </c>
      <c r="W40" s="773">
        <f t="shared" si="14"/>
        <v>100</v>
      </c>
      <c r="X40" s="1807"/>
      <c r="Y40" s="3345"/>
      <c r="Z40" s="1808" t="str">
        <f t="shared" si="15"/>
        <v>市政基础设施</v>
      </c>
      <c r="AA40" s="1805">
        <f t="shared" si="3"/>
        <v>1</v>
      </c>
      <c r="AB40" s="1805">
        <f t="shared" si="4"/>
        <v>1</v>
      </c>
      <c r="AC40" s="2658">
        <f t="shared" si="5"/>
        <v>1</v>
      </c>
    </row>
    <row r="41" spans="1:29" ht="15">
      <c r="A41" s="470"/>
      <c r="B41" s="420" t="s">
        <v>2647</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6"/>
      <c r="M41" s="1127"/>
      <c r="N41" s="1127"/>
      <c r="O41" s="1127"/>
      <c r="P41" s="3406"/>
      <c r="Q41" s="1804" t="str">
        <f t="shared" si="11"/>
        <v>层高</v>
      </c>
      <c r="R41" s="772" t="s">
        <v>17</v>
      </c>
      <c r="S41" s="773">
        <f t="shared" si="12"/>
        <v>100</v>
      </c>
      <c r="T41" s="772" t="s">
        <v>17</v>
      </c>
      <c r="U41" s="773">
        <f t="shared" si="13"/>
        <v>100</v>
      </c>
      <c r="V41" s="772" t="s">
        <v>17</v>
      </c>
      <c r="W41" s="773">
        <f t="shared" si="14"/>
        <v>100</v>
      </c>
      <c r="X41" s="1807"/>
      <c r="Y41" s="3345"/>
      <c r="Z41" s="1808" t="str">
        <f t="shared" si="15"/>
        <v>层高</v>
      </c>
      <c r="AA41" s="1805">
        <f t="shared" si="3"/>
        <v>1</v>
      </c>
      <c r="AB41" s="1805">
        <f t="shared" si="4"/>
        <v>1</v>
      </c>
      <c r="AC41" s="2658">
        <f t="shared" si="5"/>
        <v>1</v>
      </c>
    </row>
    <row r="42" spans="1:29" s="469" customFormat="1" ht="15">
      <c r="A42" s="466"/>
      <c r="B42" s="1806" t="s">
        <v>2678</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4"/>
      <c r="M42" s="1137"/>
      <c r="N42" s="1137"/>
      <c r="O42" s="1137"/>
      <c r="P42" s="3406"/>
      <c r="Q42" s="774" t="str">
        <f t="shared" si="11"/>
        <v>单套建筑面积</v>
      </c>
      <c r="R42" s="775" t="s">
        <v>17</v>
      </c>
      <c r="S42" s="776">
        <f t="shared" si="12"/>
        <v>100</v>
      </c>
      <c r="T42" s="775" t="s">
        <v>17</v>
      </c>
      <c r="U42" s="776">
        <f t="shared" si="13"/>
        <v>100</v>
      </c>
      <c r="V42" s="775" t="s">
        <v>17</v>
      </c>
      <c r="W42" s="776">
        <f t="shared" si="14"/>
        <v>100</v>
      </c>
      <c r="X42" s="777"/>
      <c r="Y42" s="3345"/>
      <c r="Z42" s="778" t="str">
        <f t="shared" si="15"/>
        <v>单套建筑面积</v>
      </c>
      <c r="AA42" s="1805">
        <f t="shared" si="3"/>
        <v>1</v>
      </c>
      <c r="AB42" s="1805">
        <f t="shared" si="4"/>
        <v>1</v>
      </c>
      <c r="AC42" s="2658">
        <f t="shared" si="5"/>
        <v>1</v>
      </c>
    </row>
    <row r="43" spans="1:29" ht="15">
      <c r="A43" s="470"/>
      <c r="B43" s="420" t="s">
        <v>2650</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6"/>
      <c r="M43" s="1127"/>
      <c r="N43" s="1127"/>
      <c r="O43" s="1127"/>
      <c r="P43" s="3406"/>
      <c r="Q43" s="1804" t="str">
        <f t="shared" si="11"/>
        <v>内部装修</v>
      </c>
      <c r="R43" s="772" t="s">
        <v>17</v>
      </c>
      <c r="S43" s="773">
        <f t="shared" si="12"/>
        <v>100</v>
      </c>
      <c r="T43" s="772" t="s">
        <v>17</v>
      </c>
      <c r="U43" s="773">
        <f t="shared" si="13"/>
        <v>100</v>
      </c>
      <c r="V43" s="772" t="s">
        <v>17</v>
      </c>
      <c r="W43" s="773">
        <f t="shared" si="14"/>
        <v>100</v>
      </c>
      <c r="X43" s="1807"/>
      <c r="Y43" s="3345"/>
      <c r="Z43" s="1808" t="str">
        <f t="shared" si="15"/>
        <v>内部装修</v>
      </c>
      <c r="AA43" s="1805">
        <f t="shared" si="3"/>
        <v>1</v>
      </c>
      <c r="AB43" s="1805">
        <f t="shared" si="4"/>
        <v>1</v>
      </c>
      <c r="AC43" s="2658">
        <f t="shared" si="5"/>
        <v>1</v>
      </c>
    </row>
    <row r="44" spans="1:29" ht="15">
      <c r="A44" s="470"/>
      <c r="B44" s="420" t="s">
        <v>2558</v>
      </c>
      <c r="C44" s="458"/>
      <c r="D44" s="433">
        <v>100</v>
      </c>
      <c r="E44" s="2597"/>
      <c r="F44" s="459">
        <f>SUMIF(125:125,E44,126:126)-SUMIF(125:125,C44,126:126)+100</f>
        <v>100</v>
      </c>
      <c r="G44" s="2597"/>
      <c r="H44" s="433">
        <f>SUMIF(125:125,G44,126:126)-SUMIF(125:125,C44,126:126)+100</f>
        <v>100</v>
      </c>
      <c r="I44" s="2597"/>
      <c r="J44" s="433">
        <f>SUMIF(125:125,I44,126:126)-SUMIF(125:125,C44,126:126)+100</f>
        <v>100</v>
      </c>
      <c r="K44" s="610"/>
      <c r="L44" s="1136"/>
      <c r="M44" s="1127"/>
      <c r="N44" s="1127"/>
      <c r="O44" s="1127"/>
      <c r="P44" s="3406"/>
      <c r="Q44" s="1804" t="str">
        <f t="shared" si="11"/>
        <v>内部装修维护情况</v>
      </c>
      <c r="R44" s="772" t="s">
        <v>17</v>
      </c>
      <c r="S44" s="773">
        <f t="shared" si="12"/>
        <v>100</v>
      </c>
      <c r="T44" s="772" t="s">
        <v>17</v>
      </c>
      <c r="U44" s="773">
        <f t="shared" si="13"/>
        <v>100</v>
      </c>
      <c r="V44" s="772" t="s">
        <v>17</v>
      </c>
      <c r="W44" s="773">
        <f t="shared" si="14"/>
        <v>100</v>
      </c>
      <c r="X44" s="1807"/>
      <c r="Y44" s="3345"/>
      <c r="Z44" s="1808" t="str">
        <f t="shared" si="15"/>
        <v>内部装修维护情况</v>
      </c>
      <c r="AA44" s="1805">
        <f t="shared" si="3"/>
        <v>1</v>
      </c>
      <c r="AB44" s="1805">
        <f t="shared" si="4"/>
        <v>1</v>
      </c>
      <c r="AC44" s="2658">
        <f t="shared" si="5"/>
        <v>1</v>
      </c>
    </row>
    <row r="45" spans="1:29" s="115" customFormat="1" ht="15">
      <c r="A45" s="471"/>
      <c r="B45" s="1382">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8"/>
      <c r="M45" s="1129"/>
      <c r="N45" s="1129"/>
      <c r="O45" s="1129"/>
      <c r="P45" s="3406"/>
      <c r="Q45" s="1789">
        <f t="shared" si="11"/>
        <v>111</v>
      </c>
      <c r="R45" s="768" t="s">
        <v>17</v>
      </c>
      <c r="S45" s="769">
        <f t="shared" si="12"/>
        <v>100</v>
      </c>
      <c r="T45" s="768" t="s">
        <v>17</v>
      </c>
      <c r="U45" s="769">
        <f t="shared" si="13"/>
        <v>100</v>
      </c>
      <c r="V45" s="768" t="s">
        <v>17</v>
      </c>
      <c r="W45" s="769">
        <f t="shared" si="14"/>
        <v>100</v>
      </c>
      <c r="X45" s="770"/>
      <c r="Y45" s="3345"/>
      <c r="Z45" s="55">
        <f t="shared" si="15"/>
        <v>111</v>
      </c>
      <c r="AA45" s="771">
        <f t="shared" si="3"/>
        <v>1</v>
      </c>
      <c r="AB45" s="771">
        <f t="shared" si="4"/>
        <v>1</v>
      </c>
      <c r="AC45" s="2655">
        <f t="shared" si="5"/>
        <v>1</v>
      </c>
    </row>
    <row r="46" spans="1:29" ht="15">
      <c r="A46" s="470"/>
      <c r="B46" s="1382">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6"/>
      <c r="M46" s="1127"/>
      <c r="N46" s="1127"/>
      <c r="O46" s="1127"/>
      <c r="P46" s="3406"/>
      <c r="Q46" s="1804">
        <f t="shared" si="11"/>
        <v>111</v>
      </c>
      <c r="R46" s="772" t="s">
        <v>17</v>
      </c>
      <c r="S46" s="773">
        <f t="shared" si="12"/>
        <v>100</v>
      </c>
      <c r="T46" s="772" t="s">
        <v>17</v>
      </c>
      <c r="U46" s="773">
        <f t="shared" si="13"/>
        <v>100</v>
      </c>
      <c r="V46" s="772" t="s">
        <v>17</v>
      </c>
      <c r="W46" s="773">
        <f t="shared" si="14"/>
        <v>100</v>
      </c>
      <c r="X46" s="1807"/>
      <c r="Y46" s="3345"/>
      <c r="Z46" s="1808">
        <f t="shared" si="15"/>
        <v>111</v>
      </c>
      <c r="AA46" s="1805">
        <f t="shared" si="3"/>
        <v>1</v>
      </c>
      <c r="AB46" s="1805">
        <f t="shared" si="4"/>
        <v>1</v>
      </c>
      <c r="AC46" s="2658">
        <f t="shared" si="5"/>
        <v>1</v>
      </c>
    </row>
    <row r="47" spans="1:29" ht="15.75" thickBot="1">
      <c r="A47" s="476"/>
      <c r="B47" s="2586">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6"/>
      <c r="M47" s="1127"/>
      <c r="N47" s="1127"/>
      <c r="O47" s="1127"/>
      <c r="P47" s="3407"/>
      <c r="Q47" s="1804">
        <f t="shared" si="11"/>
        <v>111</v>
      </c>
      <c r="R47" s="772" t="s">
        <v>17</v>
      </c>
      <c r="S47" s="773">
        <f t="shared" si="12"/>
        <v>100</v>
      </c>
      <c r="T47" s="772" t="s">
        <v>17</v>
      </c>
      <c r="U47" s="773">
        <f t="shared" si="13"/>
        <v>100</v>
      </c>
      <c r="V47" s="772" t="s">
        <v>17</v>
      </c>
      <c r="W47" s="773">
        <f t="shared" si="14"/>
        <v>100</v>
      </c>
      <c r="X47" s="1807"/>
      <c r="Y47" s="3408"/>
      <c r="Z47" s="1808">
        <f t="shared" si="15"/>
        <v>111</v>
      </c>
      <c r="AA47" s="1805">
        <f t="shared" si="3"/>
        <v>1</v>
      </c>
      <c r="AB47" s="1805">
        <f t="shared" si="4"/>
        <v>1</v>
      </c>
      <c r="AC47" s="2658">
        <f t="shared" si="5"/>
        <v>1</v>
      </c>
    </row>
    <row r="48" spans="1:29" ht="15">
      <c r="A48" s="477" t="s">
        <v>2559</v>
      </c>
      <c r="B48" s="478"/>
      <c r="C48" s="1403" t="s">
        <v>1</v>
      </c>
      <c r="D48" s="1404"/>
      <c r="E48" s="1405"/>
      <c r="F48" s="1406"/>
      <c r="G48" s="1407"/>
      <c r="H48" s="1408"/>
      <c r="I48" s="1405"/>
      <c r="J48" s="483"/>
      <c r="K48" s="781"/>
      <c r="L48" s="1139"/>
      <c r="M48" s="1127"/>
      <c r="N48" s="1127"/>
      <c r="O48" s="1127"/>
      <c r="P48" s="3339" t="str">
        <f>A48</f>
        <v>成交单价（元/平方米）</v>
      </c>
      <c r="Q48" s="3340"/>
      <c r="R48" s="3381">
        <f>E48</f>
        <v>0</v>
      </c>
      <c r="S48" s="3381"/>
      <c r="T48" s="3381">
        <f>G48</f>
        <v>0</v>
      </c>
      <c r="U48" s="3381"/>
      <c r="V48" s="3381">
        <f>I48</f>
        <v>0</v>
      </c>
      <c r="W48" s="3381"/>
      <c r="X48" s="444"/>
      <c r="Y48" s="779"/>
      <c r="Z48" s="444"/>
      <c r="AA48" s="444"/>
      <c r="AB48" s="444"/>
      <c r="AC48" s="628"/>
    </row>
    <row r="49" spans="1:29" ht="15.75" thickBot="1">
      <c r="A49" s="484" t="s">
        <v>2651</v>
      </c>
      <c r="B49" s="485"/>
      <c r="C49" s="1409" t="e">
        <f>R50</f>
        <v>#DIV/0!</v>
      </c>
      <c r="D49" s="1410"/>
      <c r="E49" s="1411" t="e">
        <f>R49</f>
        <v>#DIV/0!</v>
      </c>
      <c r="F49" s="1411"/>
      <c r="G49" s="1409" t="e">
        <f>T49</f>
        <v>#DIV/0!</v>
      </c>
      <c r="H49" s="1410"/>
      <c r="I49" s="1411" t="e">
        <f>V49</f>
        <v>#DIV/0!</v>
      </c>
      <c r="J49" s="487"/>
      <c r="K49" s="782"/>
      <c r="L49" s="1139"/>
      <c r="M49" s="1127"/>
      <c r="N49" s="1127"/>
      <c r="O49" s="1127"/>
      <c r="P49" s="3339" t="str">
        <f>A49</f>
        <v>比较价值（元/平方米）</v>
      </c>
      <c r="Q49" s="3340"/>
      <c r="R49" s="3381" t="e">
        <f>IF(F1="售价",ROUND(PRODUCT(R48,AA7:AA47),0),ROUND(PRODUCT(R48,AA7:AA47),1))</f>
        <v>#DIV/0!</v>
      </c>
      <c r="S49" s="3381"/>
      <c r="T49" s="3381" t="e">
        <f>IF(F1="售价",ROUND(PRODUCT(T48,AB7:AB47),0),ROUND(PRODUCT(T48,AB7:AB47),1))</f>
        <v>#DIV/0!</v>
      </c>
      <c r="U49" s="3381"/>
      <c r="V49" s="3381" t="e">
        <f>IF(F1="售价",ROUND(PRODUCT(V48,AC7:AC47),0),ROUND(PRODUCT(V48,AC7:AC47),1))</f>
        <v>#DIV/0!</v>
      </c>
      <c r="W49" s="3381"/>
      <c r="X49" s="444"/>
      <c r="Y49" s="444"/>
      <c r="Z49" s="444"/>
      <c r="AA49" s="444"/>
      <c r="AB49" s="444"/>
      <c r="AC49" s="628"/>
    </row>
    <row r="50" spans="1:29" ht="15.75" thickBot="1">
      <c r="A50" s="490" t="s">
        <v>2652</v>
      </c>
      <c r="B50" s="491"/>
      <c r="C50" s="1413" t="e">
        <f>R50</f>
        <v>#DIV/0!</v>
      </c>
      <c r="D50" s="1413"/>
      <c r="E50" s="1413"/>
      <c r="F50" s="1413"/>
      <c r="G50" s="1413"/>
      <c r="H50" s="1413"/>
      <c r="I50" s="1413"/>
      <c r="J50" s="492"/>
      <c r="K50" s="783"/>
      <c r="L50" s="1139"/>
      <c r="M50" s="1127"/>
      <c r="N50" s="1127"/>
      <c r="O50" s="1127"/>
      <c r="P50" s="3411" t="str">
        <f>A50</f>
        <v>估价对象XX用房的比较价值（楼面单价，元/平方米）</v>
      </c>
      <c r="Q50" s="3412"/>
      <c r="R50" s="3413" t="e">
        <f>IF(F1="售价",ROUND(AVERAGE(R49:V49),0),ROUND(AVERAGE(R49:V49),1))</f>
        <v>#DIV/0!</v>
      </c>
      <c r="S50" s="3413"/>
      <c r="T50" s="3413"/>
      <c r="U50" s="3413"/>
      <c r="V50" s="3413"/>
      <c r="W50" s="3413"/>
      <c r="X50" s="2638"/>
      <c r="Y50" s="2638"/>
      <c r="Z50" s="2638"/>
      <c r="AA50" s="2638"/>
      <c r="AB50" s="2638"/>
      <c r="AC50" s="2639"/>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5" t="s">
        <v>2653</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1"/>
      <c r="L53" s="1102"/>
      <c r="M53" s="1140"/>
      <c r="N53" s="1140"/>
      <c r="O53" s="1140"/>
    </row>
    <row r="54" spans="1:29" ht="13.5" customHeight="1">
      <c r="A54" s="1140"/>
      <c r="B54" s="1140"/>
      <c r="C54" s="495" t="s">
        <v>2654</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1"/>
      <c r="L54" s="1102"/>
      <c r="M54" s="1140"/>
      <c r="N54" s="1140"/>
      <c r="O54" s="1140"/>
    </row>
    <row r="55" spans="1:29" s="500" customFormat="1" ht="13.5" customHeight="1">
      <c r="A55" s="1141"/>
      <c r="B55" s="1141"/>
      <c r="C55" s="495" t="s">
        <v>2655</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4"/>
      <c r="L55" s="1145"/>
      <c r="M55" s="1141"/>
      <c r="N55" s="1141"/>
      <c r="O55" s="1141"/>
      <c r="P55" s="2664"/>
    </row>
    <row r="56" spans="1:29" s="500" customFormat="1">
      <c r="A56" s="1141"/>
      <c r="B56" s="1142"/>
      <c r="C56" s="1146"/>
      <c r="D56" s="1141"/>
      <c r="E56" s="1141"/>
      <c r="F56" s="1141"/>
      <c r="G56" s="1141"/>
      <c r="H56" s="1141"/>
      <c r="I56" s="1141"/>
      <c r="J56" s="1141"/>
      <c r="K56" s="1144"/>
      <c r="L56" s="1145"/>
      <c r="M56" s="1141"/>
      <c r="N56" s="1141"/>
      <c r="O56" s="1141"/>
      <c r="P56" s="2664"/>
    </row>
    <row r="57" spans="1:29">
      <c r="A57" s="1140"/>
      <c r="B57" s="1142"/>
      <c r="C57" s="1146"/>
      <c r="D57" s="1140"/>
      <c r="E57" s="1140"/>
      <c r="F57" s="1140"/>
      <c r="G57" s="1140"/>
      <c r="H57" s="1140"/>
      <c r="I57" s="1140"/>
      <c r="J57" s="1140"/>
      <c r="K57" s="1101"/>
      <c r="L57" s="1102"/>
      <c r="M57" s="1140"/>
      <c r="N57" s="1140"/>
      <c r="O57" s="1140"/>
    </row>
    <row r="58" spans="1:29" ht="21.75" thickBot="1">
      <c r="A58" s="761" t="s">
        <v>2656</v>
      </c>
      <c r="B58" s="757"/>
      <c r="C58" s="762"/>
      <c r="D58" s="762"/>
      <c r="E58" s="762"/>
      <c r="F58" s="763"/>
      <c r="G58" s="763"/>
      <c r="H58" s="762"/>
      <c r="I58" s="762"/>
      <c r="J58" s="762"/>
      <c r="K58" s="764"/>
      <c r="L58" s="1157"/>
      <c r="M58" s="1155"/>
      <c r="N58" s="1155"/>
      <c r="O58" s="1155"/>
      <c r="P58" s="2665"/>
      <c r="Q58" s="502"/>
    </row>
    <row r="59" spans="1:29" s="506" customFormat="1" ht="15">
      <c r="A59" s="503" t="s">
        <v>2530</v>
      </c>
      <c r="B59" s="504"/>
      <c r="C59" s="1568" t="str">
        <f>YEAR(C7)&amp;"-"&amp;MONTH(C7)</f>
        <v>2020-2</v>
      </c>
      <c r="D59" s="1569">
        <f>EDATE(C59,-1)</f>
        <v>43831</v>
      </c>
      <c r="E59" s="1569">
        <f>EDATE(D59,-1)</f>
        <v>43800</v>
      </c>
      <c r="F59" s="1569">
        <f t="shared" ref="F59:O59" si="16">EDATE(E59,-1)</f>
        <v>43770</v>
      </c>
      <c r="G59" s="1569">
        <f t="shared" si="16"/>
        <v>43739</v>
      </c>
      <c r="H59" s="1569">
        <f t="shared" si="16"/>
        <v>43709</v>
      </c>
      <c r="I59" s="1569">
        <f t="shared" si="16"/>
        <v>43678</v>
      </c>
      <c r="J59" s="1569">
        <f t="shared" si="16"/>
        <v>43647</v>
      </c>
      <c r="K59" s="1569">
        <f t="shared" si="16"/>
        <v>43617</v>
      </c>
      <c r="L59" s="1569">
        <f t="shared" si="16"/>
        <v>43586</v>
      </c>
      <c r="M59" s="1569">
        <f t="shared" si="16"/>
        <v>43556</v>
      </c>
      <c r="N59" s="1569">
        <f t="shared" si="16"/>
        <v>43525</v>
      </c>
      <c r="O59" s="1569">
        <f t="shared" si="16"/>
        <v>43497</v>
      </c>
      <c r="P59" s="1565"/>
    </row>
    <row r="60" spans="1:29" s="115" customFormat="1" ht="15">
      <c r="A60" s="507"/>
      <c r="B60" s="508"/>
      <c r="C60" s="1567">
        <v>100</v>
      </c>
      <c r="D60" s="510"/>
      <c r="E60" s="510"/>
      <c r="F60" s="510"/>
      <c r="G60" s="510"/>
      <c r="H60" s="510"/>
      <c r="I60" s="510"/>
      <c r="J60" s="510"/>
      <c r="K60" s="510"/>
      <c r="L60" s="510"/>
      <c r="M60" s="511"/>
      <c r="N60" s="510"/>
      <c r="O60" s="511"/>
      <c r="P60" s="2666"/>
    </row>
    <row r="61" spans="1:29" s="115" customFormat="1" ht="15.75" thickBot="1">
      <c r="A61" s="513" t="s">
        <v>2567</v>
      </c>
      <c r="B61" s="514"/>
      <c r="C61" s="515"/>
      <c r="D61" s="516"/>
      <c r="E61" s="516"/>
      <c r="F61" s="516"/>
      <c r="G61" s="516"/>
      <c r="H61" s="516"/>
      <c r="I61" s="516"/>
      <c r="J61" s="516"/>
      <c r="K61" s="516"/>
      <c r="L61" s="516"/>
      <c r="M61" s="517"/>
      <c r="N61" s="516"/>
      <c r="O61" s="517"/>
      <c r="P61" s="2666"/>
      <c r="Q61" s="502"/>
    </row>
    <row r="62" spans="1:29" s="115" customFormat="1" ht="15">
      <c r="A62" s="519" t="s">
        <v>2532</v>
      </c>
      <c r="B62" s="508"/>
      <c r="C62" s="520" t="s">
        <v>2634</v>
      </c>
      <c r="D62" s="521"/>
      <c r="E62" s="521"/>
      <c r="F62" s="521"/>
      <c r="G62" s="521"/>
      <c r="H62" s="521"/>
      <c r="I62" s="521"/>
      <c r="J62" s="521"/>
      <c r="K62" s="521"/>
      <c r="L62" s="522"/>
      <c r="M62" s="523"/>
      <c r="N62" s="1147"/>
      <c r="O62" s="1147"/>
      <c r="P62" s="2667"/>
      <c r="Q62" s="502"/>
    </row>
    <row r="63" spans="1:29" s="115" customFormat="1" ht="15.75" thickBot="1">
      <c r="A63" s="519"/>
      <c r="B63" s="508"/>
      <c r="C63" s="509">
        <v>100</v>
      </c>
      <c r="D63" s="510"/>
      <c r="E63" s="510"/>
      <c r="F63" s="510"/>
      <c r="G63" s="510"/>
      <c r="H63" s="510"/>
      <c r="I63" s="510"/>
      <c r="J63" s="510"/>
      <c r="K63" s="510"/>
      <c r="L63" s="510"/>
      <c r="M63" s="512"/>
      <c r="N63" s="1147"/>
      <c r="O63" s="1147"/>
      <c r="P63" s="2666"/>
      <c r="Q63" s="502"/>
    </row>
    <row r="64" spans="1:29">
      <c r="A64" s="525" t="s">
        <v>2570</v>
      </c>
      <c r="B64" s="526" t="s">
        <v>2536</v>
      </c>
      <c r="C64" s="527">
        <f>C9</f>
        <v>0</v>
      </c>
      <c r="D64" s="528"/>
      <c r="E64" s="528"/>
      <c r="F64" s="528"/>
      <c r="G64" s="528"/>
      <c r="H64" s="528"/>
      <c r="I64" s="528"/>
      <c r="J64" s="528"/>
      <c r="K64" s="529"/>
      <c r="L64" s="530"/>
      <c r="M64" s="531"/>
      <c r="N64" s="1148"/>
      <c r="O64" s="1148"/>
      <c r="P64" s="2668"/>
      <c r="Q64" s="502"/>
    </row>
    <row r="65" spans="1:17" ht="15.75" thickBot="1">
      <c r="A65" s="532"/>
      <c r="B65" s="533"/>
      <c r="C65" s="534">
        <v>100</v>
      </c>
      <c r="D65" s="534"/>
      <c r="E65" s="534"/>
      <c r="F65" s="534"/>
      <c r="G65" s="534"/>
      <c r="H65" s="534"/>
      <c r="I65" s="534"/>
      <c r="J65" s="534"/>
      <c r="K65" s="534"/>
      <c r="L65" s="534"/>
      <c r="M65" s="535"/>
      <c r="N65" s="1149"/>
      <c r="O65" s="1149"/>
      <c r="P65" s="2668"/>
      <c r="Q65" s="502"/>
    </row>
    <row r="66" spans="1:17" ht="27.75" thickTop="1">
      <c r="A66" s="532"/>
      <c r="B66" s="536" t="s">
        <v>2539</v>
      </c>
      <c r="C66" s="537" t="s">
        <v>2571</v>
      </c>
      <c r="D66" s="537" t="s">
        <v>2572</v>
      </c>
      <c r="E66" s="537" t="s">
        <v>2573</v>
      </c>
      <c r="F66" s="537" t="s">
        <v>2574</v>
      </c>
      <c r="G66" s="537" t="s">
        <v>2575</v>
      </c>
      <c r="H66" s="537" t="s">
        <v>2576</v>
      </c>
      <c r="I66" s="537" t="s">
        <v>2577</v>
      </c>
      <c r="J66" s="537"/>
      <c r="K66" s="538"/>
      <c r="L66" s="539"/>
      <c r="M66" s="540"/>
      <c r="N66" s="1148"/>
      <c r="O66" s="1148"/>
      <c r="P66" s="2668"/>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49"/>
      <c r="O67" s="1149"/>
      <c r="P67" s="2668"/>
      <c r="Q67" s="502"/>
    </row>
    <row r="68" spans="1:17" ht="15.75" thickTop="1">
      <c r="A68" s="532"/>
      <c r="B68" s="544" t="s">
        <v>2540</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9"/>
      <c r="O68" s="1149"/>
      <c r="P68" s="2668"/>
      <c r="Q68" s="502"/>
    </row>
    <row r="69" spans="1:17" ht="15">
      <c r="A69" s="532"/>
      <c r="B69" s="546"/>
      <c r="C69" s="547"/>
      <c r="D69" s="547"/>
      <c r="E69" s="547"/>
      <c r="F69" s="547"/>
      <c r="G69" s="547"/>
      <c r="H69" s="547"/>
      <c r="I69" s="547"/>
      <c r="J69" s="547"/>
      <c r="K69" s="548"/>
      <c r="L69" s="549"/>
      <c r="M69" s="550"/>
      <c r="N69" s="1148"/>
      <c r="O69" s="1148"/>
      <c r="P69" s="2668"/>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9"/>
      <c r="O70" s="1149"/>
      <c r="P70" s="2668"/>
      <c r="Q70" s="502"/>
    </row>
    <row r="71" spans="1:17" s="469" customFormat="1" ht="15.75" thickTop="1">
      <c r="A71" s="551"/>
      <c r="B71" s="536">
        <f>B12</f>
        <v>111</v>
      </c>
      <c r="C71" s="552"/>
      <c r="D71" s="552"/>
      <c r="E71" s="552"/>
      <c r="F71" s="552"/>
      <c r="G71" s="552"/>
      <c r="H71" s="553"/>
      <c r="I71" s="553"/>
      <c r="J71" s="553"/>
      <c r="K71" s="553"/>
      <c r="L71" s="554"/>
      <c r="M71" s="555"/>
      <c r="N71" s="1150"/>
      <c r="O71" s="1150"/>
      <c r="P71" s="2669"/>
      <c r="Q71" s="557"/>
    </row>
    <row r="72" spans="1:17" s="469" customFormat="1" ht="15.75" thickBot="1">
      <c r="A72" s="551"/>
      <c r="B72" s="541"/>
      <c r="C72" s="558"/>
      <c r="D72" s="534"/>
      <c r="E72" s="534"/>
      <c r="F72" s="534"/>
      <c r="G72" s="534"/>
      <c r="H72" s="534"/>
      <c r="I72" s="534"/>
      <c r="J72" s="534"/>
      <c r="K72" s="534"/>
      <c r="L72" s="534"/>
      <c r="M72" s="535"/>
      <c r="N72" s="1149"/>
      <c r="O72" s="1149"/>
      <c r="P72" s="2669"/>
      <c r="Q72" s="557"/>
    </row>
    <row r="73" spans="1:17" s="469" customFormat="1" ht="15.75" thickTop="1">
      <c r="A73" s="551"/>
      <c r="B73" s="536">
        <f>B13</f>
        <v>111</v>
      </c>
      <c r="C73" s="552"/>
      <c r="D73" s="552"/>
      <c r="E73" s="552"/>
      <c r="F73" s="552"/>
      <c r="G73" s="552"/>
      <c r="H73" s="553"/>
      <c r="I73" s="553"/>
      <c r="J73" s="553"/>
      <c r="K73" s="553"/>
      <c r="L73" s="554"/>
      <c r="M73" s="555"/>
      <c r="N73" s="1150"/>
      <c r="O73" s="1150"/>
      <c r="P73" s="2670"/>
      <c r="Q73" s="559"/>
    </row>
    <row r="74" spans="1:17" s="469" customFormat="1" ht="15.75" thickBot="1">
      <c r="A74" s="551"/>
      <c r="B74" s="541"/>
      <c r="C74" s="558"/>
      <c r="D74" s="558"/>
      <c r="E74" s="558"/>
      <c r="F74" s="558"/>
      <c r="G74" s="558"/>
      <c r="H74" s="560"/>
      <c r="I74" s="560"/>
      <c r="J74" s="560"/>
      <c r="K74" s="560"/>
      <c r="L74" s="560"/>
      <c r="M74" s="561"/>
      <c r="N74" s="1150"/>
      <c r="O74" s="1150"/>
      <c r="P74" s="2669"/>
      <c r="Q74" s="557"/>
    </row>
    <row r="75" spans="1:17" s="469" customFormat="1" ht="15.75" thickTop="1">
      <c r="A75" s="551"/>
      <c r="B75" s="544">
        <f>B14</f>
        <v>111</v>
      </c>
      <c r="C75" s="521"/>
      <c r="D75" s="521"/>
      <c r="E75" s="521"/>
      <c r="F75" s="521"/>
      <c r="G75" s="521"/>
      <c r="H75" s="562"/>
      <c r="I75" s="562"/>
      <c r="J75" s="562"/>
      <c r="K75" s="562"/>
      <c r="L75" s="563"/>
      <c r="M75" s="564"/>
      <c r="N75" s="1150"/>
      <c r="O75" s="1150"/>
      <c r="P75" s="2671"/>
      <c r="Q75" s="557"/>
    </row>
    <row r="76" spans="1:17" s="469" customFormat="1" ht="15.75" thickBot="1">
      <c r="A76" s="566"/>
      <c r="B76" s="567"/>
      <c r="C76" s="568"/>
      <c r="D76" s="568"/>
      <c r="E76" s="568"/>
      <c r="F76" s="568"/>
      <c r="G76" s="568"/>
      <c r="H76" s="569"/>
      <c r="I76" s="569"/>
      <c r="J76" s="569"/>
      <c r="K76" s="569"/>
      <c r="L76" s="569"/>
      <c r="M76" s="570"/>
      <c r="N76" s="1150"/>
      <c r="O76" s="1150"/>
      <c r="P76" s="2669"/>
      <c r="Q76" s="557"/>
    </row>
    <row r="77" spans="1:17">
      <c r="A77" s="525" t="s">
        <v>2541</v>
      </c>
      <c r="B77" s="526" t="s">
        <v>2679</v>
      </c>
      <c r="C77" s="571" t="s">
        <v>2579</v>
      </c>
      <c r="D77" s="571" t="s">
        <v>2580</v>
      </c>
      <c r="E77" s="571" t="s">
        <v>2581</v>
      </c>
      <c r="F77" s="571" t="s">
        <v>2582</v>
      </c>
      <c r="G77" s="571" t="s">
        <v>2583</v>
      </c>
      <c r="H77" s="527"/>
      <c r="I77" s="527"/>
      <c r="J77" s="527"/>
      <c r="K77" s="572"/>
      <c r="L77" s="573"/>
      <c r="M77" s="574"/>
      <c r="N77" s="1148"/>
      <c r="O77" s="1148"/>
      <c r="P77" s="2672"/>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49"/>
      <c r="O78" s="1149"/>
      <c r="P78" s="2668"/>
      <c r="Q78" s="502"/>
    </row>
    <row r="79" spans="1:17" ht="15.75" thickTop="1">
      <c r="A79" s="532"/>
      <c r="B79" s="536" t="s">
        <v>2584</v>
      </c>
      <c r="C79" s="576" t="s">
        <v>2579</v>
      </c>
      <c r="D79" s="576" t="s">
        <v>2580</v>
      </c>
      <c r="E79" s="576" t="s">
        <v>2581</v>
      </c>
      <c r="F79" s="576" t="s">
        <v>2582</v>
      </c>
      <c r="G79" s="576" t="s">
        <v>2583</v>
      </c>
      <c r="H79" s="537"/>
      <c r="I79" s="537"/>
      <c r="J79" s="537"/>
      <c r="K79" s="538"/>
      <c r="L79" s="539"/>
      <c r="M79" s="540"/>
      <c r="N79" s="1148"/>
      <c r="O79" s="1148"/>
      <c r="P79" s="2668"/>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49"/>
      <c r="O80" s="1149"/>
      <c r="P80" s="2668"/>
      <c r="Q80" s="502"/>
    </row>
    <row r="81" spans="1:17" ht="15.75" thickTop="1">
      <c r="A81" s="532"/>
      <c r="B81" s="536" t="s">
        <v>2585</v>
      </c>
      <c r="C81" s="576" t="s">
        <v>2579</v>
      </c>
      <c r="D81" s="576" t="s">
        <v>2580</v>
      </c>
      <c r="E81" s="576" t="s">
        <v>2581</v>
      </c>
      <c r="F81" s="576" t="s">
        <v>2582</v>
      </c>
      <c r="G81" s="576" t="s">
        <v>2583</v>
      </c>
      <c r="H81" s="537"/>
      <c r="I81" s="537"/>
      <c r="J81" s="537"/>
      <c r="K81" s="538"/>
      <c r="L81" s="539"/>
      <c r="M81" s="540"/>
      <c r="N81" s="1148"/>
      <c r="O81" s="1148"/>
      <c r="P81" s="2668"/>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49"/>
      <c r="O82" s="1149"/>
      <c r="P82" s="2668"/>
      <c r="Q82" s="502"/>
    </row>
    <row r="83" spans="1:17" ht="15.75" thickTop="1">
      <c r="A83" s="532"/>
      <c r="B83" s="544" t="s">
        <v>2671</v>
      </c>
      <c r="C83" s="658" t="s">
        <v>2657</v>
      </c>
      <c r="D83" s="658" t="s">
        <v>2658</v>
      </c>
      <c r="E83" s="658" t="s">
        <v>2659</v>
      </c>
      <c r="F83" s="658" t="s">
        <v>2660</v>
      </c>
      <c r="G83" s="658" t="s">
        <v>2661</v>
      </c>
      <c r="H83" s="537"/>
      <c r="I83" s="537"/>
      <c r="J83" s="537"/>
      <c r="K83" s="537"/>
      <c r="L83" s="537"/>
      <c r="M83" s="1378"/>
      <c r="N83" s="1149"/>
      <c r="O83" s="1149"/>
      <c r="P83" s="2668"/>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49"/>
      <c r="O84" s="1149"/>
      <c r="P84" s="2668"/>
      <c r="Q84" s="502"/>
    </row>
    <row r="85" spans="1:17" ht="15.75" thickTop="1">
      <c r="A85" s="532"/>
      <c r="B85" s="536" t="s">
        <v>2680</v>
      </c>
      <c r="C85" s="576" t="s">
        <v>2579</v>
      </c>
      <c r="D85" s="576" t="s">
        <v>2580</v>
      </c>
      <c r="E85" s="576" t="s">
        <v>2581</v>
      </c>
      <c r="F85" s="576" t="s">
        <v>2582</v>
      </c>
      <c r="G85" s="576" t="s">
        <v>2583</v>
      </c>
      <c r="H85" s="537"/>
      <c r="I85" s="537"/>
      <c r="J85" s="537"/>
      <c r="K85" s="538"/>
      <c r="L85" s="539"/>
      <c r="M85" s="540"/>
      <c r="N85" s="1148"/>
      <c r="O85" s="1148"/>
      <c r="P85" s="2668"/>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49"/>
      <c r="O86" s="1149"/>
      <c r="P86" s="2668"/>
      <c r="Q86" s="502"/>
    </row>
    <row r="87" spans="1:17" s="115" customFormat="1" ht="27.75" thickTop="1">
      <c r="A87" s="577"/>
      <c r="B87" s="536" t="s">
        <v>2681</v>
      </c>
      <c r="C87" s="552"/>
      <c r="D87" s="552"/>
      <c r="E87" s="552"/>
      <c r="F87" s="552"/>
      <c r="G87" s="552"/>
      <c r="H87" s="552"/>
      <c r="I87" s="552"/>
      <c r="J87" s="552"/>
      <c r="K87" s="552"/>
      <c r="L87" s="578"/>
      <c r="M87" s="579"/>
      <c r="N87" s="1147"/>
      <c r="O87" s="1147"/>
      <c r="P87" s="2668"/>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9"/>
      <c r="O88" s="1149"/>
      <c r="P88" s="2668"/>
      <c r="Q88" s="502"/>
    </row>
    <row r="89" spans="1:17" s="115" customFormat="1" ht="15.75" thickTop="1">
      <c r="A89" s="577"/>
      <c r="B89" s="536" t="str">
        <f>B27</f>
        <v>楼层</v>
      </c>
      <c r="C89" s="552"/>
      <c r="D89" s="552"/>
      <c r="E89" s="552"/>
      <c r="F89" s="2619"/>
      <c r="G89" s="552"/>
      <c r="H89" s="552"/>
      <c r="I89" s="552"/>
      <c r="J89" s="552"/>
      <c r="K89" s="552"/>
      <c r="L89" s="552"/>
      <c r="M89" s="579"/>
      <c r="N89" s="1147"/>
      <c r="O89" s="1147"/>
      <c r="P89" s="2668"/>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9"/>
      <c r="O90" s="1149"/>
      <c r="P90" s="2668"/>
      <c r="Q90" s="502"/>
    </row>
    <row r="91" spans="1:17" s="469" customFormat="1" ht="15.75" thickTop="1">
      <c r="A91" s="551"/>
      <c r="B91" s="536" t="str">
        <f>B28</f>
        <v>朝向</v>
      </c>
      <c r="C91" s="552"/>
      <c r="D91" s="552"/>
      <c r="E91" s="552"/>
      <c r="F91" s="552"/>
      <c r="G91" s="552"/>
      <c r="H91" s="553"/>
      <c r="I91" s="553"/>
      <c r="J91" s="553"/>
      <c r="K91" s="553"/>
      <c r="L91" s="554"/>
      <c r="M91" s="555"/>
      <c r="N91" s="1150"/>
      <c r="O91" s="1150"/>
      <c r="P91" s="2669"/>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0"/>
      <c r="O92" s="1150"/>
      <c r="P92" s="2669"/>
      <c r="Q92" s="557"/>
    </row>
    <row r="93" spans="1:17" ht="15.75" thickTop="1">
      <c r="A93" s="532"/>
      <c r="B93" s="536">
        <f>B29</f>
        <v>111</v>
      </c>
      <c r="C93" s="552"/>
      <c r="D93" s="552"/>
      <c r="E93" s="552"/>
      <c r="F93" s="552"/>
      <c r="G93" s="552"/>
      <c r="H93" s="552"/>
      <c r="I93" s="552"/>
      <c r="J93" s="552"/>
      <c r="K93" s="552"/>
      <c r="L93" s="578"/>
      <c r="M93" s="579"/>
      <c r="N93" s="1148"/>
      <c r="O93" s="1148"/>
      <c r="P93" s="2668"/>
      <c r="Q93" s="502"/>
    </row>
    <row r="94" spans="1:17" ht="15.75" thickBot="1">
      <c r="A94" s="532"/>
      <c r="B94" s="541"/>
      <c r="C94" s="558"/>
      <c r="D94" s="534"/>
      <c r="E94" s="534"/>
      <c r="F94" s="534"/>
      <c r="G94" s="534"/>
      <c r="H94" s="534"/>
      <c r="I94" s="534"/>
      <c r="J94" s="534"/>
      <c r="K94" s="534"/>
      <c r="L94" s="534"/>
      <c r="M94" s="535"/>
      <c r="N94" s="1149"/>
      <c r="O94" s="1149"/>
      <c r="P94" s="2668"/>
      <c r="Q94" s="502"/>
    </row>
    <row r="95" spans="1:17" ht="15.75" thickTop="1">
      <c r="A95" s="532"/>
      <c r="B95" s="536">
        <f>B30</f>
        <v>111</v>
      </c>
      <c r="C95" s="552"/>
      <c r="D95" s="552"/>
      <c r="E95" s="552"/>
      <c r="F95" s="552"/>
      <c r="G95" s="581"/>
      <c r="H95" s="581"/>
      <c r="I95" s="581"/>
      <c r="J95" s="581"/>
      <c r="K95" s="582"/>
      <c r="L95" s="583"/>
      <c r="M95" s="584"/>
      <c r="N95" s="1148"/>
      <c r="O95" s="1148"/>
      <c r="P95" s="2668"/>
      <c r="Q95" s="502"/>
    </row>
    <row r="96" spans="1:17" ht="15.75" thickBot="1">
      <c r="A96" s="532"/>
      <c r="B96" s="541"/>
      <c r="C96" s="558"/>
      <c r="D96" s="558"/>
      <c r="E96" s="558"/>
      <c r="F96" s="558"/>
      <c r="G96" s="534"/>
      <c r="H96" s="534"/>
      <c r="I96" s="534"/>
      <c r="J96" s="534"/>
      <c r="K96" s="534"/>
      <c r="L96" s="534"/>
      <c r="M96" s="535"/>
      <c r="N96" s="1149"/>
      <c r="O96" s="1149"/>
      <c r="P96" s="2668"/>
      <c r="Q96" s="502"/>
    </row>
    <row r="97" spans="1:17" ht="15.75" thickTop="1">
      <c r="A97" s="532"/>
      <c r="B97" s="536">
        <f>B31</f>
        <v>111</v>
      </c>
      <c r="C97" s="552"/>
      <c r="D97" s="552"/>
      <c r="E97" s="552"/>
      <c r="F97" s="552"/>
      <c r="G97" s="581"/>
      <c r="H97" s="581"/>
      <c r="I97" s="581"/>
      <c r="J97" s="581"/>
      <c r="K97" s="582"/>
      <c r="L97" s="583"/>
      <c r="M97" s="584"/>
      <c r="N97" s="1148"/>
      <c r="O97" s="1148"/>
      <c r="P97" s="2668"/>
      <c r="Q97" s="502"/>
    </row>
    <row r="98" spans="1:17" ht="15.75" thickBot="1">
      <c r="A98" s="532"/>
      <c r="B98" s="541"/>
      <c r="C98" s="558"/>
      <c r="D98" s="534"/>
      <c r="E98" s="534"/>
      <c r="F98" s="534"/>
      <c r="G98" s="534"/>
      <c r="H98" s="534"/>
      <c r="I98" s="534"/>
      <c r="J98" s="534"/>
      <c r="K98" s="534"/>
      <c r="L98" s="534"/>
      <c r="M98" s="535"/>
      <c r="N98" s="1149"/>
      <c r="O98" s="1149"/>
      <c r="P98" s="2668"/>
      <c r="Q98" s="502"/>
    </row>
    <row r="99" spans="1:17" ht="15.75" thickTop="1">
      <c r="A99" s="532"/>
      <c r="B99" s="544">
        <f>B32</f>
        <v>111</v>
      </c>
      <c r="C99" s="521"/>
      <c r="D99" s="521"/>
      <c r="E99" s="521"/>
      <c r="F99" s="521"/>
      <c r="G99" s="585"/>
      <c r="H99" s="585"/>
      <c r="I99" s="585"/>
      <c r="J99" s="585"/>
      <c r="K99" s="586"/>
      <c r="L99" s="587"/>
      <c r="M99" s="588"/>
      <c r="N99" s="1148"/>
      <c r="O99" s="1148"/>
      <c r="P99" s="2668"/>
      <c r="Q99" s="502"/>
    </row>
    <row r="100" spans="1:17" ht="15.75" thickBot="1">
      <c r="A100" s="2620"/>
      <c r="B100" s="567"/>
      <c r="C100" s="568"/>
      <c r="D100" s="568"/>
      <c r="E100" s="568"/>
      <c r="F100" s="568"/>
      <c r="G100" s="589"/>
      <c r="H100" s="589"/>
      <c r="I100" s="589"/>
      <c r="J100" s="589"/>
      <c r="K100" s="589"/>
      <c r="L100" s="589"/>
      <c r="M100" s="590"/>
      <c r="N100" s="1149"/>
      <c r="O100" s="1149"/>
      <c r="P100" s="2668"/>
      <c r="Q100" s="502"/>
    </row>
    <row r="101" spans="1:17">
      <c r="A101" s="525" t="s">
        <v>2545</v>
      </c>
      <c r="B101" s="526" t="s">
        <v>2594</v>
      </c>
      <c r="C101" s="528"/>
      <c r="D101" s="528"/>
      <c r="E101" s="528"/>
      <c r="F101" s="528"/>
      <c r="G101" s="528"/>
      <c r="H101" s="528"/>
      <c r="I101" s="528"/>
      <c r="J101" s="528"/>
      <c r="K101" s="529"/>
      <c r="L101" s="530"/>
      <c r="M101" s="531"/>
      <c r="N101" s="1148"/>
      <c r="O101" s="1148"/>
      <c r="P101" s="2668"/>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9"/>
      <c r="O102" s="1149"/>
      <c r="P102" s="2668"/>
      <c r="Q102" s="502"/>
    </row>
    <row r="103" spans="1:17" ht="15.75" thickTop="1">
      <c r="A103" s="532"/>
      <c r="B103" s="536" t="s">
        <v>2595</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7"/>
      <c r="O103" s="1147"/>
      <c r="P103" s="2668"/>
      <c r="Q103" s="502"/>
    </row>
    <row r="104" spans="1:17" s="469" customFormat="1">
      <c r="A104" s="591"/>
      <c r="B104" s="592"/>
      <c r="C104" s="593"/>
      <c r="D104" s="593"/>
      <c r="E104" s="593"/>
      <c r="F104" s="593"/>
      <c r="G104" s="593"/>
      <c r="H104" s="593"/>
      <c r="I104" s="593"/>
      <c r="J104" s="594"/>
      <c r="K104" s="594"/>
      <c r="L104" s="595"/>
      <c r="M104" s="596"/>
      <c r="N104" s="1150"/>
      <c r="O104" s="1150"/>
      <c r="P104" s="2669"/>
      <c r="Q104" s="557"/>
    </row>
    <row r="105" spans="1:17" s="469" customFormat="1" ht="15.75" thickBot="1">
      <c r="A105" s="551"/>
      <c r="B105" s="541"/>
      <c r="C105" s="558"/>
      <c r="D105" s="534"/>
      <c r="E105" s="534"/>
      <c r="F105" s="534"/>
      <c r="G105" s="534"/>
      <c r="H105" s="534"/>
      <c r="I105" s="534"/>
      <c r="J105" s="534"/>
      <c r="K105" s="534"/>
      <c r="L105" s="534"/>
      <c r="M105" s="535"/>
      <c r="N105" s="1149"/>
      <c r="O105" s="1149"/>
      <c r="P105" s="2669"/>
      <c r="Q105" s="557"/>
    </row>
    <row r="106" spans="1:17" ht="15" thickTop="1">
      <c r="A106" s="597"/>
      <c r="B106" s="536" t="s">
        <v>2596</v>
      </c>
      <c r="C106" s="552"/>
      <c r="D106" s="552"/>
      <c r="E106" s="581"/>
      <c r="F106" s="581"/>
      <c r="G106" s="581"/>
      <c r="H106" s="581"/>
      <c r="I106" s="581"/>
      <c r="J106" s="581"/>
      <c r="K106" s="582"/>
      <c r="L106" s="583"/>
      <c r="M106" s="584"/>
      <c r="N106" s="1148"/>
      <c r="O106" s="1148"/>
      <c r="P106" s="2668"/>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9"/>
      <c r="O107" s="1149"/>
      <c r="P107" s="2668"/>
      <c r="Q107" s="502"/>
    </row>
    <row r="108" spans="1:17" ht="15" thickTop="1">
      <c r="A108" s="597"/>
      <c r="B108" s="536" t="s">
        <v>2598</v>
      </c>
      <c r="C108" s="552"/>
      <c r="D108" s="552"/>
      <c r="E108" s="552"/>
      <c r="F108" s="581"/>
      <c r="G108" s="581"/>
      <c r="H108" s="581"/>
      <c r="I108" s="581"/>
      <c r="J108" s="581"/>
      <c r="K108" s="582"/>
      <c r="L108" s="583"/>
      <c r="M108" s="584"/>
      <c r="N108" s="1148"/>
      <c r="O108" s="1148"/>
      <c r="P108" s="2668"/>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9"/>
      <c r="O109" s="1149"/>
      <c r="P109" s="2668"/>
      <c r="Q109" s="502"/>
    </row>
    <row r="110" spans="1:17" ht="15" thickTop="1">
      <c r="A110" s="597"/>
      <c r="B110" s="536" t="s">
        <v>1987</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8"/>
      <c r="O110" s="1148"/>
      <c r="P110" s="2668"/>
      <c r="Q110" s="502"/>
    </row>
    <row r="111" spans="1:17">
      <c r="A111" s="597"/>
      <c r="B111" s="544"/>
      <c r="C111" s="601">
        <v>0.5</v>
      </c>
      <c r="D111" s="601">
        <v>0.6</v>
      </c>
      <c r="E111" s="601">
        <v>0.7</v>
      </c>
      <c r="F111" s="601">
        <v>0.8</v>
      </c>
      <c r="G111" s="601">
        <v>0.9</v>
      </c>
      <c r="H111" s="601">
        <v>1.0001</v>
      </c>
      <c r="I111" s="621"/>
      <c r="J111" s="621"/>
      <c r="K111" s="622"/>
      <c r="L111" s="623"/>
      <c r="M111" s="624"/>
      <c r="N111" s="1148"/>
      <c r="O111" s="1148"/>
      <c r="P111" s="2668"/>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9"/>
      <c r="O112" s="1149"/>
      <c r="P112" s="2668"/>
      <c r="Q112" s="502"/>
    </row>
    <row r="113" spans="1:17" s="469" customFormat="1" ht="15" thickTop="1">
      <c r="A113" s="591"/>
      <c r="B113" s="536" t="s">
        <v>2682</v>
      </c>
      <c r="C113" s="552"/>
      <c r="D113" s="552"/>
      <c r="E113" s="552"/>
      <c r="F113" s="552"/>
      <c r="G113" s="552"/>
      <c r="H113" s="581"/>
      <c r="I113" s="581"/>
      <c r="J113" s="581"/>
      <c r="K113" s="582"/>
      <c r="L113" s="583"/>
      <c r="M113" s="584"/>
      <c r="N113" s="1150"/>
      <c r="O113" s="1150"/>
      <c r="P113" s="2669"/>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0"/>
      <c r="O114" s="1150"/>
      <c r="P114" s="2669"/>
      <c r="Q114" s="557"/>
    </row>
    <row r="115" spans="1:17" ht="15" thickTop="1">
      <c r="A115" s="597"/>
      <c r="B115" s="536" t="s">
        <v>2599</v>
      </c>
      <c r="C115" s="552"/>
      <c r="D115" s="552"/>
      <c r="E115" s="581"/>
      <c r="F115" s="581"/>
      <c r="G115" s="581"/>
      <c r="H115" s="581"/>
      <c r="I115" s="581"/>
      <c r="J115" s="581"/>
      <c r="K115" s="582"/>
      <c r="L115" s="583"/>
      <c r="M115" s="584"/>
      <c r="N115" s="1148"/>
      <c r="O115" s="1148"/>
      <c r="P115" s="2668"/>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9"/>
      <c r="O116" s="1149"/>
      <c r="P116" s="2668"/>
      <c r="Q116" s="502"/>
    </row>
    <row r="117" spans="1:17" ht="15" thickTop="1">
      <c r="A117" s="597"/>
      <c r="B117" s="536" t="s">
        <v>2600</v>
      </c>
      <c r="C117" s="552"/>
      <c r="D117" s="552"/>
      <c r="E117" s="552"/>
      <c r="F117" s="552"/>
      <c r="G117" s="552"/>
      <c r="H117" s="581"/>
      <c r="I117" s="581"/>
      <c r="J117" s="581"/>
      <c r="K117" s="582"/>
      <c r="L117" s="583"/>
      <c r="M117" s="584"/>
      <c r="N117" s="1148"/>
      <c r="O117" s="1148"/>
      <c r="P117" s="2668"/>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49"/>
      <c r="O118" s="1149"/>
      <c r="P118" s="2668"/>
      <c r="Q118" s="502"/>
    </row>
    <row r="119" spans="1:17" ht="15" thickTop="1">
      <c r="A119" s="597"/>
      <c r="B119" s="634" t="s">
        <v>2683</v>
      </c>
      <c r="C119" s="581"/>
      <c r="D119" s="581"/>
      <c r="E119" s="581"/>
      <c r="F119" s="581"/>
      <c r="G119" s="581"/>
      <c r="H119" s="581"/>
      <c r="I119" s="581"/>
      <c r="J119" s="581"/>
      <c r="K119" s="581"/>
      <c r="L119" s="2673"/>
      <c r="M119" s="2674"/>
      <c r="N119" s="1149"/>
      <c r="O119" s="1149"/>
      <c r="P119" s="2675"/>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9"/>
      <c r="O120" s="1149"/>
      <c r="P120" s="2668"/>
      <c r="Q120" s="502"/>
    </row>
    <row r="121" spans="1:17" s="469" customFormat="1" ht="15" thickTop="1">
      <c r="A121" s="591"/>
      <c r="B121" s="536" t="s">
        <v>2666</v>
      </c>
      <c r="C121" s="552"/>
      <c r="D121" s="552"/>
      <c r="E121" s="552"/>
      <c r="F121" s="581"/>
      <c r="G121" s="553"/>
      <c r="H121" s="553"/>
      <c r="I121" s="553"/>
      <c r="J121" s="553"/>
      <c r="K121" s="553"/>
      <c r="L121" s="554"/>
      <c r="M121" s="555"/>
      <c r="N121" s="1150"/>
      <c r="O121" s="1150"/>
      <c r="P121" s="2669"/>
      <c r="Q121" s="557"/>
    </row>
    <row r="122" spans="1:17" s="469" customFormat="1" ht="15.75" thickBot="1">
      <c r="A122" s="551"/>
      <c r="B122" s="533"/>
      <c r="C122" s="558"/>
      <c r="D122" s="558"/>
      <c r="E122" s="558"/>
      <c r="F122" s="558"/>
      <c r="G122" s="558"/>
      <c r="H122" s="558"/>
      <c r="I122" s="558"/>
      <c r="J122" s="558"/>
      <c r="K122" s="558"/>
      <c r="L122" s="558"/>
      <c r="M122" s="558"/>
      <c r="N122" s="1150"/>
      <c r="O122" s="1150"/>
      <c r="P122" s="2669"/>
      <c r="Q122" s="557"/>
    </row>
    <row r="123" spans="1:17" ht="15" thickTop="1">
      <c r="A123" s="597"/>
      <c r="B123" s="536" t="s">
        <v>2602</v>
      </c>
      <c r="C123" s="552"/>
      <c r="D123" s="552"/>
      <c r="E123" s="552"/>
      <c r="F123" s="581"/>
      <c r="G123" s="581"/>
      <c r="H123" s="581"/>
      <c r="I123" s="581"/>
      <c r="J123" s="581"/>
      <c r="K123" s="582"/>
      <c r="L123" s="583"/>
      <c r="M123" s="584"/>
      <c r="N123" s="1148"/>
      <c r="O123" s="1148"/>
      <c r="P123" s="2668"/>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9"/>
      <c r="O124" s="1149"/>
      <c r="P124" s="2668"/>
      <c r="Q124" s="502"/>
    </row>
    <row r="125" spans="1:17" ht="15" thickTop="1">
      <c r="A125" s="597"/>
      <c r="B125" s="536" t="s">
        <v>2603</v>
      </c>
      <c r="C125" s="576" t="s">
        <v>2579</v>
      </c>
      <c r="D125" s="576" t="s">
        <v>2580</v>
      </c>
      <c r="E125" s="576" t="s">
        <v>2581</v>
      </c>
      <c r="F125" s="576" t="s">
        <v>2582</v>
      </c>
      <c r="G125" s="576" t="s">
        <v>2583</v>
      </c>
      <c r="H125" s="537"/>
      <c r="I125" s="537"/>
      <c r="J125" s="537"/>
      <c r="K125" s="538"/>
      <c r="L125" s="539"/>
      <c r="M125" s="540"/>
      <c r="N125" s="1148"/>
      <c r="O125" s="1148"/>
      <c r="P125" s="2669"/>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49"/>
      <c r="O126" s="1149"/>
      <c r="P126" s="2668"/>
      <c r="Q126" s="502"/>
    </row>
    <row r="127" spans="1:17" s="469" customFormat="1" ht="15" thickTop="1">
      <c r="A127" s="591"/>
      <c r="B127" s="536">
        <f>B45</f>
        <v>111</v>
      </c>
      <c r="C127" s="552"/>
      <c r="D127" s="552"/>
      <c r="E127" s="552"/>
      <c r="F127" s="552"/>
      <c r="G127" s="552"/>
      <c r="H127" s="553"/>
      <c r="I127" s="553"/>
      <c r="J127" s="553"/>
      <c r="K127" s="553"/>
      <c r="L127" s="554"/>
      <c r="M127" s="555"/>
      <c r="N127" s="1150"/>
      <c r="O127" s="1150"/>
      <c r="P127" s="2669"/>
      <c r="Q127" s="557"/>
    </row>
    <row r="128" spans="1:17" s="469" customFormat="1" ht="15.75" thickBot="1">
      <c r="A128" s="551"/>
      <c r="B128" s="541"/>
      <c r="C128" s="558"/>
      <c r="D128" s="534"/>
      <c r="E128" s="534"/>
      <c r="F128" s="534"/>
      <c r="G128" s="558"/>
      <c r="H128" s="560"/>
      <c r="I128" s="560"/>
      <c r="J128" s="560"/>
      <c r="K128" s="560"/>
      <c r="L128" s="560"/>
      <c r="M128" s="561"/>
      <c r="N128" s="1150"/>
      <c r="O128" s="1150"/>
      <c r="P128" s="2669"/>
      <c r="Q128" s="557"/>
    </row>
    <row r="129" spans="1:17" ht="15" thickTop="1">
      <c r="A129" s="597"/>
      <c r="B129" s="536">
        <f>B46</f>
        <v>111</v>
      </c>
      <c r="C129" s="552"/>
      <c r="D129" s="552"/>
      <c r="E129" s="552"/>
      <c r="F129" s="552"/>
      <c r="G129" s="581"/>
      <c r="H129" s="581"/>
      <c r="I129" s="581"/>
      <c r="J129" s="581"/>
      <c r="K129" s="582"/>
      <c r="L129" s="583"/>
      <c r="M129" s="584"/>
      <c r="N129" s="1148"/>
      <c r="O129" s="1148"/>
      <c r="P129" s="2668"/>
      <c r="Q129" s="502"/>
    </row>
    <row r="130" spans="1:17" ht="15.75" thickBot="1">
      <c r="A130" s="532"/>
      <c r="B130" s="541"/>
      <c r="C130" s="558"/>
      <c r="D130" s="558"/>
      <c r="E130" s="558"/>
      <c r="F130" s="558"/>
      <c r="G130" s="534"/>
      <c r="H130" s="534"/>
      <c r="I130" s="534"/>
      <c r="J130" s="534"/>
      <c r="K130" s="534"/>
      <c r="L130" s="534"/>
      <c r="M130" s="535"/>
      <c r="N130" s="1149"/>
      <c r="O130" s="1149"/>
      <c r="P130" s="2668"/>
      <c r="Q130" s="502"/>
    </row>
    <row r="131" spans="1:17" ht="15" thickTop="1">
      <c r="A131" s="597"/>
      <c r="B131" s="544">
        <f>B47</f>
        <v>111</v>
      </c>
      <c r="C131" s="521"/>
      <c r="D131" s="521"/>
      <c r="E131" s="521"/>
      <c r="F131" s="521"/>
      <c r="G131" s="585"/>
      <c r="H131" s="585"/>
      <c r="I131" s="585"/>
      <c r="J131" s="585"/>
      <c r="K131" s="521"/>
      <c r="L131" s="522"/>
      <c r="M131" s="588"/>
      <c r="N131" s="1148"/>
      <c r="O131" s="1148"/>
      <c r="P131" s="2668"/>
      <c r="Q131" s="502"/>
    </row>
    <row r="132" spans="1:17" ht="15.75" thickBot="1">
      <c r="A132" s="2620"/>
      <c r="B132" s="567"/>
      <c r="C132" s="568"/>
      <c r="D132" s="568"/>
      <c r="E132" s="568"/>
      <c r="F132" s="568"/>
      <c r="G132" s="589"/>
      <c r="H132" s="589"/>
      <c r="I132" s="589"/>
      <c r="J132" s="589"/>
      <c r="K132" s="589"/>
      <c r="L132" s="589"/>
      <c r="M132" s="590"/>
      <c r="N132" s="1149"/>
      <c r="O132" s="1149"/>
      <c r="P132" s="2668"/>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64" priority="16" stopIfTrue="1" operator="containsText" text="超过">
      <formula>NOT(ISERROR(SEARCH("超过",F53)))</formula>
    </cfRule>
  </conditionalFormatting>
  <conditionalFormatting sqref="H55">
    <cfRule type="containsText" dxfId="63" priority="15" stopIfTrue="1" operator="containsText" text="超过">
      <formula>NOT(ISERROR(SEARCH("超过",H55)))</formula>
    </cfRule>
  </conditionalFormatting>
  <conditionalFormatting sqref="F55">
    <cfRule type="containsText" dxfId="62" priority="14" stopIfTrue="1" operator="containsText" text="超过">
      <formula>NOT(ISERROR(SEARCH("超过",F55)))</formula>
    </cfRule>
  </conditionalFormatting>
  <conditionalFormatting sqref="F54 H54">
    <cfRule type="containsText" dxfId="61" priority="13" stopIfTrue="1" operator="containsText" text="超过">
      <formula>NOT(ISERROR(SEARCH("超过",F54)))</formula>
    </cfRule>
  </conditionalFormatting>
  <conditionalFormatting sqref="E53">
    <cfRule type="expression" dxfId="60" priority="12" stopIfTrue="1">
      <formula>$F$53="超过30%"</formula>
    </cfRule>
  </conditionalFormatting>
  <conditionalFormatting sqref="E54">
    <cfRule type="expression" dxfId="59" priority="11" stopIfTrue="1">
      <formula>$F$54="超过20%"</formula>
    </cfRule>
  </conditionalFormatting>
  <conditionalFormatting sqref="E55">
    <cfRule type="expression" dxfId="58" priority="10" stopIfTrue="1">
      <formula>$F$55="超过30%"</formula>
    </cfRule>
  </conditionalFormatting>
  <conditionalFormatting sqref="G55">
    <cfRule type="expression" dxfId="57" priority="9" stopIfTrue="1">
      <formula>$H$55="超过30%"</formula>
    </cfRule>
  </conditionalFormatting>
  <conditionalFormatting sqref="G53">
    <cfRule type="expression" dxfId="56" priority="8" stopIfTrue="1">
      <formula>$H$53="超过30%"</formula>
    </cfRule>
  </conditionalFormatting>
  <conditionalFormatting sqref="G54">
    <cfRule type="expression" dxfId="55" priority="7" stopIfTrue="1">
      <formula>$H$54="超过20%"</formula>
    </cfRule>
  </conditionalFormatting>
  <conditionalFormatting sqref="J53">
    <cfRule type="containsText" dxfId="54" priority="6" stopIfTrue="1" operator="containsText" text="超过">
      <formula>NOT(ISERROR(SEARCH("超过",J53)))</formula>
    </cfRule>
  </conditionalFormatting>
  <conditionalFormatting sqref="J55">
    <cfRule type="containsText" dxfId="53" priority="5" stopIfTrue="1" operator="containsText" text="超过">
      <formula>NOT(ISERROR(SEARCH("超过",J55)))</formula>
    </cfRule>
  </conditionalFormatting>
  <conditionalFormatting sqref="J54">
    <cfRule type="containsText" dxfId="52" priority="4" stopIfTrue="1" operator="containsText" text="超过">
      <formula>NOT(ISERROR(SEARCH("超过",J54)))</formula>
    </cfRule>
  </conditionalFormatting>
  <conditionalFormatting sqref="I53">
    <cfRule type="expression" dxfId="51" priority="3" stopIfTrue="1">
      <formula>$J$53="超过30%"</formula>
    </cfRule>
  </conditionalFormatting>
  <conditionalFormatting sqref="I54">
    <cfRule type="expression" dxfId="50" priority="2" stopIfTrue="1">
      <formula>$J$53+$J$54="超过20%"</formula>
    </cfRule>
  </conditionalFormatting>
  <conditionalFormatting sqref="I55">
    <cfRule type="expression" dxfId="4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2510</v>
      </c>
      <c r="B1" s="2653" t="s">
        <v>2684</v>
      </c>
      <c r="C1" s="1614" t="s">
        <v>2512</v>
      </c>
      <c r="D1" s="1615"/>
      <c r="E1" s="1624"/>
      <c r="F1" s="2568"/>
      <c r="G1" s="1625" t="s">
        <v>2625</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6" customFormat="1" ht="28.5" customHeight="1" thickTop="1">
      <c r="A2" s="1611" t="s">
        <v>2312</v>
      </c>
      <c r="B2" s="1414" t="e">
        <f ca="1">IF(C2="——",ROUND(C43*D3/10000,0),ROUND(C43*D3/10000,0)-D2)</f>
        <v>#DIV/0!</v>
      </c>
      <c r="C2" s="2570"/>
      <c r="D2" s="1120" t="e">
        <f ca="1">SUMIF(INDIRECT("'"&amp;F2&amp;"'"&amp;"!A:A"),"承租人权益价值",INDIRECT("'"&amp;F2&amp;"'"&amp;"!c:c"))</f>
        <v>#REF!</v>
      </c>
      <c r="E2" s="2571" t="s">
        <v>2313</v>
      </c>
      <c r="F2" s="2572"/>
      <c r="G2" s="1121"/>
      <c r="H2" s="1121"/>
      <c r="I2" s="1121"/>
      <c r="J2" s="1121"/>
      <c r="K2" s="1121"/>
      <c r="L2" s="1124"/>
      <c r="M2" s="1125"/>
      <c r="N2" s="1125"/>
      <c r="O2" s="1125"/>
      <c r="P2" s="766"/>
      <c r="Q2" s="766"/>
      <c r="R2" s="766"/>
      <c r="S2" s="766"/>
      <c r="T2" s="766"/>
      <c r="U2" s="766"/>
      <c r="V2" s="766"/>
      <c r="W2" s="766"/>
      <c r="X2" s="766"/>
      <c r="Y2" s="766"/>
      <c r="Z2" s="766"/>
      <c r="AA2" s="766"/>
      <c r="AB2" s="766"/>
      <c r="AC2" s="780"/>
    </row>
    <row r="3" spans="1:29" s="396" customFormat="1" ht="28.5" customHeight="1" thickBot="1">
      <c r="A3" s="245" t="s">
        <v>2314</v>
      </c>
      <c r="B3" s="607" t="e">
        <f ca="1">IF(C2="——",C43,ROUND(B2*10000/D3,0))</f>
        <v>#DIV/0!</v>
      </c>
      <c r="C3" s="398" t="s">
        <v>2626</v>
      </c>
      <c r="D3" s="397">
        <f>IF(D1="",'数据-汇总表'!E3,SUMIF('数据-汇总表'!$C19:$C33,D1,'数据-汇总表'!$E19:$E33))</f>
        <v>149246.95000000001</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399" t="s">
        <v>2627</v>
      </c>
      <c r="B4" s="400"/>
      <c r="C4" s="3337" t="s">
        <v>2628</v>
      </c>
      <c r="D4" s="3350"/>
      <c r="E4" s="3351" t="s">
        <v>2629</v>
      </c>
      <c r="F4" s="3352"/>
      <c r="G4" s="3337" t="s">
        <v>2630</v>
      </c>
      <c r="H4" s="3350"/>
      <c r="I4" s="3337" t="s">
        <v>2631</v>
      </c>
      <c r="J4" s="3350"/>
      <c r="K4" s="608" t="s">
        <v>2632</v>
      </c>
      <c r="L4" s="1126"/>
      <c r="M4" s="1127"/>
      <c r="N4" s="1127"/>
      <c r="O4" s="1127"/>
      <c r="P4" s="3353" t="s">
        <v>2633</v>
      </c>
      <c r="Q4" s="3354"/>
      <c r="R4" s="3359" t="s">
        <v>2629</v>
      </c>
      <c r="S4" s="3360"/>
      <c r="T4" s="3359" t="s">
        <v>2630</v>
      </c>
      <c r="U4" s="3360"/>
      <c r="V4" s="3346" t="s">
        <v>2631</v>
      </c>
      <c r="W4" s="3346"/>
      <c r="X4" s="1807"/>
      <c r="Y4" s="3359" t="s">
        <v>2633</v>
      </c>
      <c r="Z4" s="3360"/>
      <c r="AA4" s="3347" t="s">
        <v>2629</v>
      </c>
      <c r="AB4" s="3348" t="s">
        <v>2630</v>
      </c>
      <c r="AC4" s="3347" t="s">
        <v>2631</v>
      </c>
    </row>
    <row r="5" spans="1:29" ht="15">
      <c r="A5" s="402"/>
      <c r="B5" s="403"/>
      <c r="C5" s="3367" t="s">
        <v>2524</v>
      </c>
      <c r="D5" s="3368"/>
      <c r="E5" s="3374" t="s">
        <v>2525</v>
      </c>
      <c r="F5" s="3375"/>
      <c r="G5" s="3367" t="s">
        <v>2526</v>
      </c>
      <c r="H5" s="3368"/>
      <c r="I5" s="3367" t="s">
        <v>2527</v>
      </c>
      <c r="J5" s="3368"/>
      <c r="K5" s="608"/>
      <c r="L5" s="1126"/>
      <c r="M5" s="1127"/>
      <c r="N5" s="1127"/>
      <c r="O5" s="1127"/>
      <c r="P5" s="3355"/>
      <c r="Q5" s="3356"/>
      <c r="R5" s="3361"/>
      <c r="S5" s="3362"/>
      <c r="T5" s="3361"/>
      <c r="U5" s="3362"/>
      <c r="V5" s="3346"/>
      <c r="W5" s="3346"/>
      <c r="X5" s="1807"/>
      <c r="Y5" s="3361"/>
      <c r="Z5" s="3362"/>
      <c r="AA5" s="3348"/>
      <c r="AB5" s="3348"/>
      <c r="AC5" s="3348"/>
    </row>
    <row r="6" spans="1:29" ht="15.75" thickBot="1">
      <c r="A6" s="404"/>
      <c r="B6" s="405"/>
      <c r="C6" s="3365" t="s">
        <v>2528</v>
      </c>
      <c r="D6" s="3366"/>
      <c r="E6" s="3372" t="s">
        <v>2528</v>
      </c>
      <c r="F6" s="3373"/>
      <c r="G6" s="3365" t="s">
        <v>2528</v>
      </c>
      <c r="H6" s="3366"/>
      <c r="I6" s="3365" t="s">
        <v>2528</v>
      </c>
      <c r="J6" s="3366"/>
      <c r="K6" s="608" t="s">
        <v>2529</v>
      </c>
      <c r="L6" s="1126"/>
      <c r="M6" s="1127"/>
      <c r="N6" s="1127"/>
      <c r="O6" s="1127"/>
      <c r="P6" s="3357"/>
      <c r="Q6" s="3358"/>
      <c r="R6" s="3361"/>
      <c r="S6" s="3362"/>
      <c r="T6" s="3363"/>
      <c r="U6" s="3364"/>
      <c r="V6" s="3346"/>
      <c r="W6" s="3346"/>
      <c r="X6" s="1807"/>
      <c r="Y6" s="3363"/>
      <c r="Z6" s="3364"/>
      <c r="AA6" s="3349"/>
      <c r="AB6" s="3349"/>
      <c r="AC6" s="3349"/>
    </row>
    <row r="7" spans="1:29" s="115" customFormat="1" ht="15.75" thickBot="1">
      <c r="A7" s="406" t="s">
        <v>2530</v>
      </c>
      <c r="B7" s="407"/>
      <c r="C7" s="408">
        <f>'数据-取费表'!B2</f>
        <v>43878</v>
      </c>
      <c r="D7" s="409">
        <v>100</v>
      </c>
      <c r="E7" s="410"/>
      <c r="F7" s="411">
        <f>SUMIF(52:52,YEAR(E7)&amp;"-"&amp;MONTH(E7),53:53)</f>
        <v>0</v>
      </c>
      <c r="G7" s="410"/>
      <c r="H7" s="409">
        <f>SUMIF(52:52,YEAR(G7)&amp;"-"&amp;MONTH(G7),53:53)</f>
        <v>0</v>
      </c>
      <c r="I7" s="410"/>
      <c r="J7" s="409">
        <f>SUMIF(52:52,YEAR(I7)&amp;"-"&amp;MONTH(I7),53:53)</f>
        <v>0</v>
      </c>
      <c r="K7" s="609"/>
      <c r="L7" s="1128"/>
      <c r="M7" s="1129"/>
      <c r="N7" s="1129"/>
      <c r="O7" s="1129"/>
      <c r="P7" s="3369" t="s">
        <v>2531</v>
      </c>
      <c r="Q7" s="3371"/>
      <c r="R7" s="768" t="s">
        <v>17</v>
      </c>
      <c r="S7" s="769">
        <f t="shared" ref="S7:S15" si="0">F7</f>
        <v>0</v>
      </c>
      <c r="T7" s="768" t="s">
        <v>17</v>
      </c>
      <c r="U7" s="769">
        <f t="shared" ref="U7:U15" si="1">H7</f>
        <v>0</v>
      </c>
      <c r="V7" s="768" t="s">
        <v>17</v>
      </c>
      <c r="W7" s="769">
        <f t="shared" ref="W7:W15" si="2">J7</f>
        <v>0</v>
      </c>
      <c r="X7" s="770"/>
      <c r="Y7" s="3369" t="s">
        <v>2531</v>
      </c>
      <c r="Z7" s="3370"/>
      <c r="AA7" s="771" t="e">
        <f>D7/F7</f>
        <v>#DIV/0!</v>
      </c>
      <c r="AB7" s="771" t="e">
        <f>D7/H7</f>
        <v>#DIV/0!</v>
      </c>
      <c r="AC7" s="771" t="e">
        <f>D7/J7</f>
        <v>#DIV/0!</v>
      </c>
    </row>
    <row r="8" spans="1:29" s="115" customFormat="1" ht="15.75" thickBot="1">
      <c r="A8" s="406" t="s">
        <v>2532</v>
      </c>
      <c r="B8" s="407"/>
      <c r="C8" s="412" t="s">
        <v>2533</v>
      </c>
      <c r="D8" s="409">
        <v>100</v>
      </c>
      <c r="E8" s="412"/>
      <c r="F8" s="411">
        <f>SUMIF(55:55,E8,56:56)-SUMIF(55:55,C8,56:56)+100</f>
        <v>0</v>
      </c>
      <c r="G8" s="412"/>
      <c r="H8" s="409">
        <f>SUMIF(55:55,G8,56:56)-SUMIF(55:55,C8,56:56)+100</f>
        <v>0</v>
      </c>
      <c r="I8" s="412"/>
      <c r="J8" s="409">
        <f>SUMIF(55:55,I8,56:56)-SUMIF(55:55,C8,56:56)+100</f>
        <v>0</v>
      </c>
      <c r="K8" s="609"/>
      <c r="L8" s="1128"/>
      <c r="M8" s="1129"/>
      <c r="N8" s="1129"/>
      <c r="O8" s="1129"/>
      <c r="P8" s="3369" t="s">
        <v>2534</v>
      </c>
      <c r="Q8" s="3370"/>
      <c r="R8" s="768" t="s">
        <v>17</v>
      </c>
      <c r="S8" s="769">
        <f t="shared" si="0"/>
        <v>0</v>
      </c>
      <c r="T8" s="768" t="s">
        <v>17</v>
      </c>
      <c r="U8" s="769">
        <f t="shared" si="1"/>
        <v>0</v>
      </c>
      <c r="V8" s="768" t="s">
        <v>17</v>
      </c>
      <c r="W8" s="769">
        <f t="shared" si="2"/>
        <v>0</v>
      </c>
      <c r="X8" s="770"/>
      <c r="Y8" s="3369" t="s">
        <v>2534</v>
      </c>
      <c r="Z8" s="3370"/>
      <c r="AA8" s="771" t="e">
        <f t="shared" ref="AA8:AA40" si="3">D8/F8</f>
        <v>#DIV/0!</v>
      </c>
      <c r="AB8" s="771" t="e">
        <f t="shared" ref="AB8:AB40" si="4">D8/H8</f>
        <v>#DIV/0!</v>
      </c>
      <c r="AC8" s="771" t="e">
        <f t="shared" ref="AC8:AC40" si="5">D8/J8</f>
        <v>#DIV/0!</v>
      </c>
    </row>
    <row r="9" spans="1:29" s="115" customFormat="1">
      <c r="A9" s="413" t="s">
        <v>2535</v>
      </c>
      <c r="B9" s="70" t="s">
        <v>2536</v>
      </c>
      <c r="C9" s="414"/>
      <c r="D9" s="133">
        <v>100</v>
      </c>
      <c r="E9" s="417"/>
      <c r="F9" s="133">
        <f>SUMIF(57:57,E9,58:58)-SUMIF(57:57,C9,58:58)+100</f>
        <v>100</v>
      </c>
      <c r="G9" s="415"/>
      <c r="H9" s="133">
        <f>SUMIF(57:57,G9,58:58)-SUMIF(57:57,C9,58:58)+100</f>
        <v>100</v>
      </c>
      <c r="I9" s="415"/>
      <c r="J9" s="133">
        <f>SUMIF(57:57,I9,58:58)-SUMIF(57:57,C9,58:58)+100</f>
        <v>100</v>
      </c>
      <c r="K9" s="609"/>
      <c r="L9" s="1128"/>
      <c r="M9" s="1129"/>
      <c r="N9" s="1129"/>
      <c r="O9" s="1130"/>
      <c r="P9" s="3340" t="s">
        <v>2537</v>
      </c>
      <c r="Q9" s="1789" t="str">
        <f t="shared" ref="Q9:Q15" si="6">B9</f>
        <v>用途</v>
      </c>
      <c r="R9" s="768" t="s">
        <v>17</v>
      </c>
      <c r="S9" s="769">
        <f t="shared" si="0"/>
        <v>100</v>
      </c>
      <c r="T9" s="768" t="s">
        <v>17</v>
      </c>
      <c r="U9" s="769">
        <f t="shared" si="1"/>
        <v>100</v>
      </c>
      <c r="V9" s="768" t="s">
        <v>17</v>
      </c>
      <c r="W9" s="769">
        <f t="shared" si="2"/>
        <v>100</v>
      </c>
      <c r="X9" s="770"/>
      <c r="Y9" s="3168" t="s">
        <v>2538</v>
      </c>
      <c r="Z9" s="55" t="str">
        <f t="shared" ref="Z9:Z15" si="7">Q9</f>
        <v>用途</v>
      </c>
      <c r="AA9" s="771">
        <f t="shared" si="3"/>
        <v>1</v>
      </c>
      <c r="AB9" s="771">
        <f t="shared" si="4"/>
        <v>1</v>
      </c>
      <c r="AC9" s="771">
        <f t="shared" si="5"/>
        <v>1</v>
      </c>
    </row>
    <row r="10" spans="1:29" s="425" customFormat="1" ht="27">
      <c r="A10" s="419"/>
      <c r="B10" s="420" t="s">
        <v>2539</v>
      </c>
      <c r="C10" s="421"/>
      <c r="D10" s="134">
        <v>100</v>
      </c>
      <c r="E10" s="421"/>
      <c r="F10" s="134">
        <f>SUMIF(59:59,E10,60:60)-SUMIF(59:59,C10,60:60)+100</f>
        <v>100</v>
      </c>
      <c r="G10" s="422"/>
      <c r="H10" s="134">
        <f>SUMIF(59:59,G10,60:60)-SUMIF(59:59,C10,60:60)+100</f>
        <v>100</v>
      </c>
      <c r="I10" s="421"/>
      <c r="J10" s="134">
        <f>SUMIF(59:59,I10,60:60)-SUMIF(59:59,C10,60:60)+100</f>
        <v>100</v>
      </c>
      <c r="K10" s="610"/>
      <c r="L10" s="1131"/>
      <c r="M10" s="1132"/>
      <c r="N10" s="1132"/>
      <c r="O10" s="1133"/>
      <c r="P10" s="3340"/>
      <c r="Q10" s="1789" t="str">
        <f t="shared" si="6"/>
        <v>土地使用年限（年）</v>
      </c>
      <c r="R10" s="768" t="s">
        <v>17</v>
      </c>
      <c r="S10" s="769">
        <f t="shared" si="0"/>
        <v>100</v>
      </c>
      <c r="T10" s="768" t="s">
        <v>17</v>
      </c>
      <c r="U10" s="769">
        <f t="shared" si="1"/>
        <v>100</v>
      </c>
      <c r="V10" s="768" t="s">
        <v>17</v>
      </c>
      <c r="W10" s="769">
        <f t="shared" si="2"/>
        <v>100</v>
      </c>
      <c r="X10" s="770"/>
      <c r="Y10" s="3168"/>
      <c r="Z10" s="55" t="str">
        <f t="shared" si="7"/>
        <v>土地使用年限（年）</v>
      </c>
      <c r="AA10" s="771">
        <f t="shared" si="3"/>
        <v>1</v>
      </c>
      <c r="AB10" s="771">
        <f t="shared" si="4"/>
        <v>1</v>
      </c>
      <c r="AC10" s="771">
        <f t="shared" si="5"/>
        <v>1</v>
      </c>
    </row>
    <row r="11" spans="1:29" ht="15">
      <c r="A11" s="426"/>
      <c r="B11" s="420" t="s">
        <v>2540</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4"/>
      <c r="M11" s="1127"/>
      <c r="N11" s="1127"/>
      <c r="O11" s="1135"/>
      <c r="P11" s="3340"/>
      <c r="Q11" s="1789" t="str">
        <f t="shared" si="6"/>
        <v>容积率</v>
      </c>
      <c r="R11" s="768" t="s">
        <v>17</v>
      </c>
      <c r="S11" s="769" t="e">
        <f t="shared" si="0"/>
        <v>#N/A</v>
      </c>
      <c r="T11" s="768" t="s">
        <v>17</v>
      </c>
      <c r="U11" s="769" t="e">
        <f t="shared" si="1"/>
        <v>#N/A</v>
      </c>
      <c r="V11" s="768" t="s">
        <v>17</v>
      </c>
      <c r="W11" s="769" t="e">
        <f t="shared" si="2"/>
        <v>#N/A</v>
      </c>
      <c r="X11" s="770"/>
      <c r="Y11" s="3168"/>
      <c r="Z11" s="55" t="str">
        <f t="shared" si="7"/>
        <v>容积率</v>
      </c>
      <c r="AA11" s="771" t="e">
        <f t="shared" si="3"/>
        <v>#N/A</v>
      </c>
      <c r="AB11" s="771" t="e">
        <f t="shared" si="4"/>
        <v>#N/A</v>
      </c>
      <c r="AC11" s="771" t="e">
        <f t="shared" si="5"/>
        <v>#N/A</v>
      </c>
    </row>
    <row r="12" spans="1:29" s="115" customFormat="1" ht="15">
      <c r="A12" s="429"/>
      <c r="B12" s="2584">
        <v>111</v>
      </c>
      <c r="C12" s="430"/>
      <c r="D12" s="431">
        <v>100</v>
      </c>
      <c r="E12" s="432"/>
      <c r="F12" s="134">
        <f>SUMIF(64:64,E12,65:65)-SUMIF(64:64,C12,65:65)+100</f>
        <v>100</v>
      </c>
      <c r="G12" s="2676"/>
      <c r="H12" s="134">
        <f>SUMIF(64:64,G12,65:65)-SUMIF(64:64,C12,65:65)+100</f>
        <v>100</v>
      </c>
      <c r="I12" s="467"/>
      <c r="J12" s="134">
        <f>SUMIF(64:64,I12,65:65)-SUMIF(64:64,C12,65:65)+100</f>
        <v>100</v>
      </c>
      <c r="K12" s="611"/>
      <c r="L12" s="1128"/>
      <c r="M12" s="1129"/>
      <c r="N12" s="1129"/>
      <c r="O12" s="1130"/>
      <c r="P12" s="3340"/>
      <c r="Q12" s="1789">
        <f t="shared" si="6"/>
        <v>111</v>
      </c>
      <c r="R12" s="768" t="s">
        <v>17</v>
      </c>
      <c r="S12" s="769">
        <f t="shared" si="0"/>
        <v>100</v>
      </c>
      <c r="T12" s="768" t="s">
        <v>17</v>
      </c>
      <c r="U12" s="769">
        <f t="shared" si="1"/>
        <v>100</v>
      </c>
      <c r="V12" s="768" t="s">
        <v>17</v>
      </c>
      <c r="W12" s="769">
        <f t="shared" si="2"/>
        <v>100</v>
      </c>
      <c r="X12" s="770"/>
      <c r="Y12" s="3168"/>
      <c r="Z12" s="55">
        <f t="shared" si="7"/>
        <v>111</v>
      </c>
      <c r="AA12" s="771">
        <f>D12/F12</f>
        <v>1</v>
      </c>
      <c r="AB12" s="771">
        <f>D12/H12</f>
        <v>1</v>
      </c>
      <c r="AC12" s="771">
        <f>D12/J12</f>
        <v>1</v>
      </c>
    </row>
    <row r="13" spans="1:29" ht="15">
      <c r="A13" s="426"/>
      <c r="B13" s="2584">
        <v>111</v>
      </c>
      <c r="C13" s="432"/>
      <c r="D13" s="433">
        <v>100</v>
      </c>
      <c r="E13" s="432"/>
      <c r="F13" s="134">
        <f>SUMIF(66:66,E13,67:67)-SUMIF(66:66,C13,67:67)+100</f>
        <v>100</v>
      </c>
      <c r="G13" s="2676"/>
      <c r="H13" s="433">
        <f>SUMIF(66:66,G13,67:67)-SUMIF(66:66,C13,67:67)+100</f>
        <v>100</v>
      </c>
      <c r="I13" s="467"/>
      <c r="J13" s="433">
        <f>SUMIF(66:66,I13,67:67)-SUMIF(66:66,C13,67:67)+100</f>
        <v>100</v>
      </c>
      <c r="K13" s="611"/>
      <c r="L13" s="1136"/>
      <c r="M13" s="1127"/>
      <c r="N13" s="1127"/>
      <c r="O13" s="1135"/>
      <c r="P13" s="3340"/>
      <c r="Q13" s="1789">
        <f t="shared" si="6"/>
        <v>111</v>
      </c>
      <c r="R13" s="768" t="s">
        <v>17</v>
      </c>
      <c r="S13" s="769">
        <f t="shared" si="0"/>
        <v>100</v>
      </c>
      <c r="T13" s="768" t="s">
        <v>17</v>
      </c>
      <c r="U13" s="769">
        <f t="shared" si="1"/>
        <v>100</v>
      </c>
      <c r="V13" s="768" t="s">
        <v>17</v>
      </c>
      <c r="W13" s="769">
        <f t="shared" si="2"/>
        <v>100</v>
      </c>
      <c r="X13" s="770"/>
      <c r="Y13" s="3168"/>
      <c r="Z13" s="55">
        <f t="shared" si="7"/>
        <v>111</v>
      </c>
      <c r="AA13" s="771">
        <f t="shared" si="3"/>
        <v>1</v>
      </c>
      <c r="AB13" s="771">
        <f t="shared" si="4"/>
        <v>1</v>
      </c>
      <c r="AC13" s="771">
        <f t="shared" si="5"/>
        <v>1</v>
      </c>
    </row>
    <row r="14" spans="1:29" ht="15.75" thickBot="1">
      <c r="A14" s="434"/>
      <c r="B14" s="2586">
        <v>111</v>
      </c>
      <c r="C14" s="435"/>
      <c r="D14" s="436">
        <v>100</v>
      </c>
      <c r="E14" s="435"/>
      <c r="F14" s="436">
        <f>SUMIF(68:68,E14,69:69)-SUMIF(68:68,C14,69:69)+100</f>
        <v>100</v>
      </c>
      <c r="G14" s="2676"/>
      <c r="H14" s="436">
        <f>SUMIF(68:68,G14,69:69)-SUMIF(68:68,C14,69:69)+100</f>
        <v>100</v>
      </c>
      <c r="I14" s="467"/>
      <c r="J14" s="436">
        <f>SUMIF(68:68,I14,69:69)-SUMIF(68:68,C14,69:69)+100</f>
        <v>100</v>
      </c>
      <c r="K14" s="611"/>
      <c r="L14" s="1136"/>
      <c r="M14" s="1127"/>
      <c r="N14" s="1127"/>
      <c r="O14" s="1135"/>
      <c r="P14" s="3340"/>
      <c r="Q14" s="1789">
        <f t="shared" si="6"/>
        <v>111</v>
      </c>
      <c r="R14" s="768" t="s">
        <v>17</v>
      </c>
      <c r="S14" s="769">
        <f t="shared" si="0"/>
        <v>100</v>
      </c>
      <c r="T14" s="768" t="s">
        <v>17</v>
      </c>
      <c r="U14" s="769">
        <f t="shared" si="1"/>
        <v>100</v>
      </c>
      <c r="V14" s="768" t="s">
        <v>17</v>
      </c>
      <c r="W14" s="769">
        <f t="shared" si="2"/>
        <v>100</v>
      </c>
      <c r="X14" s="770"/>
      <c r="Y14" s="3168"/>
      <c r="Z14" s="55">
        <f t="shared" si="7"/>
        <v>111</v>
      </c>
      <c r="AA14" s="771">
        <f t="shared" si="3"/>
        <v>1</v>
      </c>
      <c r="AB14" s="771">
        <f t="shared" si="4"/>
        <v>1</v>
      </c>
      <c r="AC14" s="771">
        <f t="shared" si="5"/>
        <v>1</v>
      </c>
    </row>
    <row r="15" spans="1:29" ht="15">
      <c r="A15" s="438" t="s">
        <v>2541</v>
      </c>
      <c r="B15" s="68" t="s">
        <v>2685</v>
      </c>
      <c r="C15" s="2677">
        <f>估价对象房地状况!G3</f>
        <v>0</v>
      </c>
      <c r="D15" s="439">
        <v>100</v>
      </c>
      <c r="E15" s="440"/>
      <c r="F15" s="441">
        <f>SUMIF(70:70,E16,71:71)-SUMIF(70:70,C16,71:71)+100</f>
        <v>100</v>
      </c>
      <c r="G15" s="442"/>
      <c r="H15" s="439">
        <f>SUMIF(70:70,G16,71:71)-SUMIF(70:70,C16,71:71)+100</f>
        <v>100</v>
      </c>
      <c r="I15" s="440"/>
      <c r="J15" s="439">
        <f>SUMIF(70:70,I16,71:71)-SUMIF(70:70,C16,71:71)+100</f>
        <v>100</v>
      </c>
      <c r="K15" s="612"/>
      <c r="L15" s="1136"/>
      <c r="M15" s="1127"/>
      <c r="N15" s="1127"/>
      <c r="O15" s="1135"/>
      <c r="P15" s="3342" t="s">
        <v>2542</v>
      </c>
      <c r="Q15" s="1804" t="str">
        <f t="shared" si="6"/>
        <v>产业集聚程度</v>
      </c>
      <c r="R15" s="772" t="s">
        <v>17</v>
      </c>
      <c r="S15" s="773">
        <f t="shared" si="0"/>
        <v>100</v>
      </c>
      <c r="T15" s="772" t="s">
        <v>17</v>
      </c>
      <c r="U15" s="773">
        <f t="shared" si="1"/>
        <v>100</v>
      </c>
      <c r="V15" s="772" t="s">
        <v>17</v>
      </c>
      <c r="W15" s="773">
        <f t="shared" si="2"/>
        <v>100</v>
      </c>
      <c r="X15" s="1807"/>
      <c r="Y15" s="3342" t="s">
        <v>2542</v>
      </c>
      <c r="Z15" s="1808" t="str">
        <f t="shared" si="7"/>
        <v>产业集聚程度</v>
      </c>
      <c r="AA15" s="1805">
        <f t="shared" si="3"/>
        <v>1</v>
      </c>
      <c r="AB15" s="1805">
        <f t="shared" si="4"/>
        <v>1</v>
      </c>
      <c r="AC15" s="1805">
        <f t="shared" si="5"/>
        <v>1</v>
      </c>
    </row>
    <row r="16" spans="1:29" ht="15">
      <c r="A16" s="426"/>
      <c r="B16" s="444"/>
      <c r="C16" s="445"/>
      <c r="D16" s="446"/>
      <c r="E16" s="445"/>
      <c r="F16" s="447"/>
      <c r="G16" s="445"/>
      <c r="H16" s="448"/>
      <c r="I16" s="445"/>
      <c r="J16" s="446"/>
      <c r="K16" s="613"/>
      <c r="L16" s="1136"/>
      <c r="M16" s="1127"/>
      <c r="N16" s="1127"/>
      <c r="O16" s="1135"/>
      <c r="P16" s="3343"/>
      <c r="Q16" s="1804"/>
      <c r="R16" s="772"/>
      <c r="S16" s="773"/>
      <c r="T16" s="772"/>
      <c r="U16" s="773"/>
      <c r="V16" s="772"/>
      <c r="W16" s="773"/>
      <c r="X16" s="1807"/>
      <c r="Y16" s="3343"/>
      <c r="Z16" s="1808"/>
      <c r="AA16" s="1805">
        <v>1</v>
      </c>
      <c r="AB16" s="1805">
        <v>1</v>
      </c>
      <c r="AC16" s="1805">
        <v>1</v>
      </c>
    </row>
    <row r="17" spans="1:29" ht="15">
      <c r="A17" s="426"/>
      <c r="B17" s="449" t="s">
        <v>2083</v>
      </c>
      <c r="C17" s="2591">
        <f>估价对象房地状况!G4</f>
        <v>0</v>
      </c>
      <c r="D17" s="448">
        <v>100</v>
      </c>
      <c r="E17" s="450"/>
      <c r="F17" s="451">
        <f>SUMIF(72:72,E18,73:73)-SUMIF(72:72,C18,73:73)+100</f>
        <v>100</v>
      </c>
      <c r="G17" s="452"/>
      <c r="H17" s="453">
        <f>SUMIF(72:72,G18,73:73)-SUMIF(72:72,C18,73:73)+100</f>
        <v>100</v>
      </c>
      <c r="I17" s="450"/>
      <c r="J17" s="453">
        <f>SUMIF(72:72,I18,73:73)-SUMIF(72:72,C18,73:73)+100</f>
        <v>100</v>
      </c>
      <c r="K17" s="612"/>
      <c r="L17" s="1136"/>
      <c r="M17" s="1127"/>
      <c r="N17" s="1127"/>
      <c r="O17" s="1135"/>
      <c r="P17" s="3343"/>
      <c r="Q17" s="1804" t="str">
        <f>B17</f>
        <v>交通便捷度</v>
      </c>
      <c r="R17" s="772" t="s">
        <v>17</v>
      </c>
      <c r="S17" s="773">
        <f>F17</f>
        <v>100</v>
      </c>
      <c r="T17" s="772" t="s">
        <v>17</v>
      </c>
      <c r="U17" s="773">
        <f>H17</f>
        <v>100</v>
      </c>
      <c r="V17" s="772" t="s">
        <v>17</v>
      </c>
      <c r="W17" s="773">
        <f>J17</f>
        <v>100</v>
      </c>
      <c r="X17" s="1807"/>
      <c r="Y17" s="3343"/>
      <c r="Z17" s="1808" t="str">
        <f>Q17</f>
        <v>交通便捷度</v>
      </c>
      <c r="AA17" s="1805">
        <f t="shared" si="3"/>
        <v>1</v>
      </c>
      <c r="AB17" s="1805">
        <f t="shared" si="4"/>
        <v>1</v>
      </c>
      <c r="AC17" s="1805">
        <f t="shared" si="5"/>
        <v>1</v>
      </c>
    </row>
    <row r="18" spans="1:29" ht="15">
      <c r="A18" s="426"/>
      <c r="B18" s="454"/>
      <c r="C18" s="2592"/>
      <c r="D18" s="448"/>
      <c r="E18" s="2594"/>
      <c r="F18" s="451"/>
      <c r="G18" s="2593"/>
      <c r="H18" s="446"/>
      <c r="I18" s="2594"/>
      <c r="J18" s="446"/>
      <c r="K18" s="613"/>
      <c r="L18" s="1136"/>
      <c r="M18" s="1127"/>
      <c r="N18" s="1127"/>
      <c r="O18" s="1135"/>
      <c r="P18" s="3343"/>
      <c r="Q18" s="1804"/>
      <c r="R18" s="772"/>
      <c r="S18" s="773"/>
      <c r="T18" s="772"/>
      <c r="U18" s="773"/>
      <c r="V18" s="772"/>
      <c r="W18" s="773"/>
      <c r="X18" s="1807"/>
      <c r="Y18" s="3343"/>
      <c r="Z18" s="1808"/>
      <c r="AA18" s="1805">
        <v>1</v>
      </c>
      <c r="AB18" s="1805">
        <v>1</v>
      </c>
      <c r="AC18" s="1805">
        <v>1</v>
      </c>
    </row>
    <row r="19" spans="1:29" ht="15">
      <c r="A19" s="426"/>
      <c r="B19" s="449" t="s">
        <v>2670</v>
      </c>
      <c r="C19" s="2591">
        <f>估价对象房地状况!G5</f>
        <v>0</v>
      </c>
      <c r="D19" s="453">
        <v>100</v>
      </c>
      <c r="E19" s="455"/>
      <c r="F19" s="456">
        <f>SUMIF(74:74,E20,75:75)-SUMIF(74:74,C20,75:75)+100</f>
        <v>100</v>
      </c>
      <c r="G19" s="457"/>
      <c r="H19" s="448">
        <f>SUMIF(74:74,G20,75:75)-SUMIF(74:74,C20,75:75)+100</f>
        <v>100</v>
      </c>
      <c r="I19" s="455"/>
      <c r="J19" s="448">
        <f>SUMIF(74:74,I20,75:75)-SUMIF(74:74,C20,75:75)+100</f>
        <v>100</v>
      </c>
      <c r="K19" s="612"/>
      <c r="L19" s="1136"/>
      <c r="M19" s="1127"/>
      <c r="N19" s="1127"/>
      <c r="O19" s="1135"/>
      <c r="P19" s="3343"/>
      <c r="Q19" s="1804" t="str">
        <f>B19</f>
        <v>公共配套设施</v>
      </c>
      <c r="R19" s="772" t="s">
        <v>17</v>
      </c>
      <c r="S19" s="773">
        <f>F19</f>
        <v>100</v>
      </c>
      <c r="T19" s="772" t="s">
        <v>17</v>
      </c>
      <c r="U19" s="773">
        <f>H19</f>
        <v>100</v>
      </c>
      <c r="V19" s="772" t="s">
        <v>17</v>
      </c>
      <c r="W19" s="773">
        <f>J19</f>
        <v>100</v>
      </c>
      <c r="X19" s="1807"/>
      <c r="Y19" s="3343"/>
      <c r="Z19" s="1808" t="str">
        <f>Q19</f>
        <v>公共配套设施</v>
      </c>
      <c r="AA19" s="1805">
        <f t="shared" si="3"/>
        <v>1</v>
      </c>
      <c r="AB19" s="1805">
        <f t="shared" si="4"/>
        <v>1</v>
      </c>
      <c r="AC19" s="1805">
        <f t="shared" si="5"/>
        <v>1</v>
      </c>
    </row>
    <row r="20" spans="1:29" ht="15">
      <c r="A20" s="426"/>
      <c r="B20" s="454"/>
      <c r="C20" s="445"/>
      <c r="D20" s="446"/>
      <c r="E20" s="2589"/>
      <c r="F20" s="447"/>
      <c r="G20" s="2588"/>
      <c r="H20" s="446"/>
      <c r="I20" s="2589"/>
      <c r="J20" s="446"/>
      <c r="K20" s="613"/>
      <c r="L20" s="1136"/>
      <c r="M20" s="1127"/>
      <c r="N20" s="1127"/>
      <c r="O20" s="1135"/>
      <c r="P20" s="3343"/>
      <c r="Q20" s="1804"/>
      <c r="R20" s="772"/>
      <c r="S20" s="773"/>
      <c r="T20" s="772"/>
      <c r="U20" s="773"/>
      <c r="V20" s="772"/>
      <c r="W20" s="773"/>
      <c r="X20" s="1807"/>
      <c r="Y20" s="3343"/>
      <c r="Z20" s="1808"/>
      <c r="AA20" s="1805">
        <v>1</v>
      </c>
      <c r="AB20" s="1805">
        <v>1</v>
      </c>
      <c r="AC20" s="1805">
        <v>1</v>
      </c>
    </row>
    <row r="21" spans="1:29" ht="15">
      <c r="A21" s="426"/>
      <c r="B21" s="1380" t="s">
        <v>2671</v>
      </c>
      <c r="C21" s="2591">
        <f>估价对象房地状况!G6</f>
        <v>0</v>
      </c>
      <c r="D21" s="448">
        <v>100</v>
      </c>
      <c r="E21" s="455"/>
      <c r="F21" s="456">
        <f>SUMIF(76:76,E22,77:77)-SUMIF(76:76,C22,77:77)+100</f>
        <v>100</v>
      </c>
      <c r="G21" s="457"/>
      <c r="H21" s="448">
        <f>SUMIF(76:76,G22,77:77)-SUMIF(76:76,C22,77:77)+100</f>
        <v>100</v>
      </c>
      <c r="I21" s="455"/>
      <c r="J21" s="448">
        <f>SUMIF(76:76,I22,77:77)-SUMIF(76:76,C22,77:77)+100</f>
        <v>100</v>
      </c>
      <c r="K21" s="612"/>
      <c r="L21" s="1136"/>
      <c r="M21" s="1127"/>
      <c r="N21" s="1127"/>
      <c r="O21" s="1135"/>
      <c r="P21" s="3343"/>
      <c r="Q21" s="1804" t="str">
        <f>B21</f>
        <v>基础设施水平</v>
      </c>
      <c r="R21" s="772" t="s">
        <v>17</v>
      </c>
      <c r="S21" s="773">
        <f>F21</f>
        <v>100</v>
      </c>
      <c r="T21" s="772" t="s">
        <v>17</v>
      </c>
      <c r="U21" s="773">
        <f>H21</f>
        <v>100</v>
      </c>
      <c r="V21" s="772" t="s">
        <v>17</v>
      </c>
      <c r="W21" s="773">
        <f>J21</f>
        <v>100</v>
      </c>
      <c r="X21" s="1807"/>
      <c r="Y21" s="3343"/>
      <c r="Z21" s="1808" t="str">
        <f>Q21</f>
        <v>基础设施水平</v>
      </c>
      <c r="AA21" s="1805">
        <f t="shared" ref="AA21" si="8">D21/F21</f>
        <v>1</v>
      </c>
      <c r="AB21" s="1805">
        <f t="shared" ref="AB21" si="9">D21/H21</f>
        <v>1</v>
      </c>
      <c r="AC21" s="1805">
        <f t="shared" ref="AC21" si="10">D21/J21</f>
        <v>1</v>
      </c>
    </row>
    <row r="22" spans="1:29" ht="15">
      <c r="A22" s="426"/>
      <c r="B22" s="1380"/>
      <c r="C22" s="2592"/>
      <c r="D22" s="446"/>
      <c r="E22" s="445"/>
      <c r="F22" s="447"/>
      <c r="G22" s="445"/>
      <c r="H22" s="446"/>
      <c r="I22" s="445"/>
      <c r="J22" s="446"/>
      <c r="K22" s="1379"/>
      <c r="L22" s="1136"/>
      <c r="M22" s="1127"/>
      <c r="N22" s="1127"/>
      <c r="O22" s="1135"/>
      <c r="P22" s="3343"/>
      <c r="Q22" s="1804"/>
      <c r="R22" s="772"/>
      <c r="S22" s="773"/>
      <c r="T22" s="772"/>
      <c r="U22" s="773"/>
      <c r="V22" s="772"/>
      <c r="W22" s="773"/>
      <c r="X22" s="1807"/>
      <c r="Y22" s="3343"/>
      <c r="Z22" s="1808"/>
      <c r="AA22" s="1805">
        <v>1</v>
      </c>
      <c r="AB22" s="1805">
        <v>1</v>
      </c>
      <c r="AC22" s="1805">
        <v>1</v>
      </c>
    </row>
    <row r="23" spans="1:29" ht="15">
      <c r="A23" s="426"/>
      <c r="B23" s="449" t="s">
        <v>2672</v>
      </c>
      <c r="C23" s="2591">
        <f>估价对象房地状况!G7</f>
        <v>0</v>
      </c>
      <c r="D23" s="448">
        <v>100</v>
      </c>
      <c r="E23" s="450"/>
      <c r="F23" s="451">
        <f>SUMIF(78:78,E24,79:79)-SUMIF(78:78,C24,79:79)+100</f>
        <v>100</v>
      </c>
      <c r="G23" s="452"/>
      <c r="H23" s="448">
        <f>SUMIF(78:78,G24,79:79)-SUMIF(78:78,C24,79:79)+100</f>
        <v>100</v>
      </c>
      <c r="I23" s="450"/>
      <c r="J23" s="448">
        <f>SUMIF(78:78,I24,79:79)-SUMIF(78:78,C24,79:79)+100</f>
        <v>100</v>
      </c>
      <c r="K23" s="612"/>
      <c r="L23" s="1136"/>
      <c r="M23" s="1127"/>
      <c r="N23" s="1127"/>
      <c r="O23" s="1135"/>
      <c r="P23" s="3343"/>
      <c r="Q23" s="1804" t="str">
        <f>B23</f>
        <v>环境质量</v>
      </c>
      <c r="R23" s="772" t="s">
        <v>17</v>
      </c>
      <c r="S23" s="773">
        <f>F23</f>
        <v>100</v>
      </c>
      <c r="T23" s="772" t="s">
        <v>17</v>
      </c>
      <c r="U23" s="773">
        <f>H23</f>
        <v>100</v>
      </c>
      <c r="V23" s="772" t="s">
        <v>17</v>
      </c>
      <c r="W23" s="773">
        <f>J23</f>
        <v>100</v>
      </c>
      <c r="X23" s="1807"/>
      <c r="Y23" s="3343"/>
      <c r="Z23" s="1808" t="str">
        <f>Q23</f>
        <v>环境质量</v>
      </c>
      <c r="AA23" s="1805">
        <f t="shared" si="3"/>
        <v>1</v>
      </c>
      <c r="AB23" s="1805">
        <f t="shared" si="4"/>
        <v>1</v>
      </c>
      <c r="AC23" s="1805">
        <f t="shared" si="5"/>
        <v>1</v>
      </c>
    </row>
    <row r="24" spans="1:29" ht="15">
      <c r="A24" s="426"/>
      <c r="B24" s="1380"/>
      <c r="C24" s="445"/>
      <c r="D24" s="446"/>
      <c r="E24" s="2589"/>
      <c r="F24" s="447"/>
      <c r="G24" s="2588"/>
      <c r="H24" s="446"/>
      <c r="I24" s="2589"/>
      <c r="J24" s="446"/>
      <c r="K24" s="613"/>
      <c r="L24" s="1136"/>
      <c r="M24" s="1127"/>
      <c r="N24" s="1127"/>
      <c r="O24" s="1135"/>
      <c r="P24" s="3343"/>
      <c r="Q24" s="1804"/>
      <c r="R24" s="772"/>
      <c r="S24" s="773"/>
      <c r="T24" s="772"/>
      <c r="U24" s="773"/>
      <c r="V24" s="772"/>
      <c r="W24" s="773"/>
      <c r="X24" s="1807"/>
      <c r="Y24" s="3343"/>
      <c r="Z24" s="1808"/>
      <c r="AA24" s="1805">
        <v>1</v>
      </c>
      <c r="AB24" s="1805">
        <v>1</v>
      </c>
      <c r="AC24" s="1805">
        <v>1</v>
      </c>
    </row>
    <row r="25" spans="1:29" ht="15">
      <c r="A25" s="402"/>
      <c r="B25" s="1382">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6"/>
      <c r="M25" s="1127"/>
      <c r="N25" s="1127"/>
      <c r="O25" s="1135"/>
      <c r="P25" s="3343"/>
      <c r="Q25" s="1804">
        <f>B25</f>
        <v>111</v>
      </c>
      <c r="R25" s="772" t="s">
        <v>17</v>
      </c>
      <c r="S25" s="773">
        <f>F25</f>
        <v>100</v>
      </c>
      <c r="T25" s="772" t="s">
        <v>17</v>
      </c>
      <c r="U25" s="773">
        <f>H25</f>
        <v>100</v>
      </c>
      <c r="V25" s="772" t="s">
        <v>17</v>
      </c>
      <c r="W25" s="773">
        <f>J25</f>
        <v>100</v>
      </c>
      <c r="X25" s="1807"/>
      <c r="Y25" s="3343"/>
      <c r="Z25" s="1808">
        <f>Q25</f>
        <v>111</v>
      </c>
      <c r="AA25" s="1805">
        <f t="shared" si="3"/>
        <v>1</v>
      </c>
      <c r="AB25" s="1805">
        <f t="shared" si="4"/>
        <v>1</v>
      </c>
      <c r="AC25" s="1805">
        <f t="shared" si="5"/>
        <v>1</v>
      </c>
    </row>
    <row r="26" spans="1:29" ht="15">
      <c r="A26" s="426"/>
      <c r="B26" s="1382">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6"/>
      <c r="M26" s="1127"/>
      <c r="N26" s="1127"/>
      <c r="O26" s="1135"/>
      <c r="P26" s="3343"/>
      <c r="Q26" s="1804">
        <f t="shared" ref="Q26:Q40" si="11">B26</f>
        <v>111</v>
      </c>
      <c r="R26" s="772" t="s">
        <v>17</v>
      </c>
      <c r="S26" s="773">
        <f>F26</f>
        <v>100</v>
      </c>
      <c r="T26" s="772" t="s">
        <v>17</v>
      </c>
      <c r="U26" s="773">
        <f>H26</f>
        <v>100</v>
      </c>
      <c r="V26" s="772" t="s">
        <v>17</v>
      </c>
      <c r="W26" s="773">
        <f>J26</f>
        <v>100</v>
      </c>
      <c r="X26" s="1807"/>
      <c r="Y26" s="3343"/>
      <c r="Z26" s="1808">
        <f>Q26</f>
        <v>111</v>
      </c>
      <c r="AA26" s="1805">
        <f t="shared" si="3"/>
        <v>1</v>
      </c>
      <c r="AB26" s="1805">
        <f t="shared" si="4"/>
        <v>1</v>
      </c>
      <c r="AC26" s="1805">
        <f t="shared" si="5"/>
        <v>1</v>
      </c>
    </row>
    <row r="27" spans="1:29" s="115" customFormat="1" ht="15">
      <c r="A27" s="429"/>
      <c r="B27" s="1382">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8"/>
      <c r="M27" s="1129"/>
      <c r="N27" s="1129"/>
      <c r="O27" s="1130"/>
      <c r="P27" s="3343"/>
      <c r="Q27" s="1789">
        <f t="shared" si="11"/>
        <v>111</v>
      </c>
      <c r="R27" s="768" t="s">
        <v>17</v>
      </c>
      <c r="S27" s="769">
        <f>F27</f>
        <v>100</v>
      </c>
      <c r="T27" s="768" t="s">
        <v>17</v>
      </c>
      <c r="U27" s="769">
        <f>H27</f>
        <v>100</v>
      </c>
      <c r="V27" s="768" t="s">
        <v>17</v>
      </c>
      <c r="W27" s="769">
        <f>J27</f>
        <v>100</v>
      </c>
      <c r="X27" s="770"/>
      <c r="Y27" s="3343"/>
      <c r="Z27" s="55">
        <f>Q27</f>
        <v>111</v>
      </c>
      <c r="AA27" s="1805">
        <f>D27/F27</f>
        <v>1</v>
      </c>
      <c r="AB27" s="1805">
        <f>D27/H27</f>
        <v>1</v>
      </c>
      <c r="AC27" s="1805">
        <f>D27/J27</f>
        <v>1</v>
      </c>
    </row>
    <row r="28" spans="1:29" ht="15.75" thickBot="1">
      <c r="A28" s="434"/>
      <c r="B28" s="1382">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6"/>
      <c r="M28" s="1127"/>
      <c r="N28" s="1127"/>
      <c r="O28" s="1135"/>
      <c r="P28" s="3343"/>
      <c r="Q28" s="1804">
        <f t="shared" si="11"/>
        <v>111</v>
      </c>
      <c r="R28" s="772" t="s">
        <v>17</v>
      </c>
      <c r="S28" s="773">
        <f t="shared" ref="S28:S40" si="12">F28</f>
        <v>100</v>
      </c>
      <c r="T28" s="772" t="s">
        <v>17</v>
      </c>
      <c r="U28" s="773">
        <f t="shared" ref="U28:U40" si="13">H28</f>
        <v>100</v>
      </c>
      <c r="V28" s="772" t="s">
        <v>17</v>
      </c>
      <c r="W28" s="773">
        <f t="shared" ref="W28:W40" si="14">J28</f>
        <v>100</v>
      </c>
      <c r="X28" s="1807"/>
      <c r="Y28" s="3343"/>
      <c r="Z28" s="1808">
        <f t="shared" ref="Z28:Z40" si="15">Q28</f>
        <v>111</v>
      </c>
      <c r="AA28" s="1805">
        <f t="shared" si="3"/>
        <v>1</v>
      </c>
      <c r="AB28" s="1805">
        <f t="shared" si="4"/>
        <v>1</v>
      </c>
      <c r="AC28" s="1805">
        <f t="shared" si="5"/>
        <v>1</v>
      </c>
    </row>
    <row r="29" spans="1:29" ht="28.5">
      <c r="A29" s="464" t="s">
        <v>2545</v>
      </c>
      <c r="B29" s="70" t="s">
        <v>2675</v>
      </c>
      <c r="C29" s="2663"/>
      <c r="D29" s="465">
        <v>100</v>
      </c>
      <c r="E29" s="2663"/>
      <c r="F29" s="459">
        <f>SUMIF(88:88,E29,89:89)-SUMIF(88:88,C29,89:89)+100</f>
        <v>100</v>
      </c>
      <c r="G29" s="2663"/>
      <c r="H29" s="433">
        <f>SUMIF(88:88,G29,89:89)-SUMIF(88:88,C29,89:89)+100</f>
        <v>100</v>
      </c>
      <c r="I29" s="2663"/>
      <c r="J29" s="465">
        <f>SUMIF(88:88,I29,89:89)-SUMIF(88:88,C29,89:89)+100</f>
        <v>100</v>
      </c>
      <c r="K29" s="610"/>
      <c r="L29" s="1136"/>
      <c r="M29" s="1127"/>
      <c r="N29" s="1127"/>
      <c r="O29" s="1135"/>
      <c r="P29" s="3344" t="s">
        <v>2547</v>
      </c>
      <c r="Q29" s="1804" t="str">
        <f t="shared" si="11"/>
        <v>建筑类型</v>
      </c>
      <c r="R29" s="772" t="s">
        <v>17</v>
      </c>
      <c r="S29" s="773">
        <f t="shared" si="12"/>
        <v>100</v>
      </c>
      <c r="T29" s="772" t="s">
        <v>17</v>
      </c>
      <c r="U29" s="773">
        <f t="shared" si="13"/>
        <v>100</v>
      </c>
      <c r="V29" s="772" t="s">
        <v>17</v>
      </c>
      <c r="W29" s="773">
        <f t="shared" si="14"/>
        <v>100</v>
      </c>
      <c r="X29" s="1807"/>
      <c r="Y29" s="3345" t="s">
        <v>2547</v>
      </c>
      <c r="Z29" s="1808" t="str">
        <f t="shared" si="15"/>
        <v>建筑类型</v>
      </c>
      <c r="AA29" s="1805">
        <f t="shared" si="3"/>
        <v>1</v>
      </c>
      <c r="AB29" s="1805">
        <f t="shared" si="4"/>
        <v>1</v>
      </c>
      <c r="AC29" s="1805">
        <f t="shared" si="5"/>
        <v>1</v>
      </c>
    </row>
    <row r="30" spans="1:29" s="469" customFormat="1" ht="15">
      <c r="A30" s="466"/>
      <c r="B30" s="420" t="s">
        <v>2548</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4"/>
      <c r="M30" s="1137"/>
      <c r="N30" s="1137"/>
      <c r="O30" s="1138"/>
      <c r="P30" s="3345"/>
      <c r="Q30" s="774" t="str">
        <f t="shared" si="11"/>
        <v>项目建筑规模</v>
      </c>
      <c r="R30" s="775" t="s">
        <v>17</v>
      </c>
      <c r="S30" s="776" t="e">
        <f t="shared" si="12"/>
        <v>#N/A</v>
      </c>
      <c r="T30" s="775" t="s">
        <v>17</v>
      </c>
      <c r="U30" s="776" t="e">
        <f t="shared" si="13"/>
        <v>#N/A</v>
      </c>
      <c r="V30" s="775" t="s">
        <v>17</v>
      </c>
      <c r="W30" s="776" t="e">
        <f t="shared" si="14"/>
        <v>#N/A</v>
      </c>
      <c r="X30" s="777"/>
      <c r="Y30" s="3345"/>
      <c r="Z30" s="778" t="str">
        <f t="shared" si="15"/>
        <v>项目建筑规模</v>
      </c>
      <c r="AA30" s="1805" t="e">
        <f t="shared" si="3"/>
        <v>#N/A</v>
      </c>
      <c r="AB30" s="1805" t="e">
        <f t="shared" si="4"/>
        <v>#N/A</v>
      </c>
      <c r="AC30" s="1805" t="e">
        <f t="shared" si="5"/>
        <v>#N/A</v>
      </c>
    </row>
    <row r="31" spans="1:29" ht="15">
      <c r="A31" s="470"/>
      <c r="B31" s="420" t="s">
        <v>2549</v>
      </c>
      <c r="C31" s="458"/>
      <c r="D31" s="433">
        <v>100</v>
      </c>
      <c r="E31" s="458"/>
      <c r="F31" s="459">
        <f>SUMIF(93:93,E31,94:94)-SUMIF(93:93,C31,94:94)+100</f>
        <v>100</v>
      </c>
      <c r="G31" s="458"/>
      <c r="H31" s="433">
        <f>SUMIF(93:93,G31,94:94)-SUMIF(93:93,C31,94:94)+100</f>
        <v>100</v>
      </c>
      <c r="I31" s="458"/>
      <c r="J31" s="433">
        <f>SUMIF(93:93,I31,94:94)-SUMIF(93:93,C31,94:94)+100</f>
        <v>100</v>
      </c>
      <c r="K31" s="610"/>
      <c r="L31" s="1136"/>
      <c r="M31" s="1127"/>
      <c r="N31" s="1127"/>
      <c r="O31" s="1135"/>
      <c r="P31" s="3345"/>
      <c r="Q31" s="1804" t="str">
        <f t="shared" si="11"/>
        <v>建筑结构</v>
      </c>
      <c r="R31" s="772" t="s">
        <v>17</v>
      </c>
      <c r="S31" s="773">
        <f t="shared" si="12"/>
        <v>100</v>
      </c>
      <c r="T31" s="772" t="s">
        <v>17</v>
      </c>
      <c r="U31" s="773">
        <f t="shared" si="13"/>
        <v>100</v>
      </c>
      <c r="V31" s="772" t="s">
        <v>17</v>
      </c>
      <c r="W31" s="773">
        <f t="shared" si="14"/>
        <v>100</v>
      </c>
      <c r="X31" s="1807"/>
      <c r="Y31" s="3345"/>
      <c r="Z31" s="1808" t="str">
        <f t="shared" si="15"/>
        <v>建筑结构</v>
      </c>
      <c r="AA31" s="1805">
        <f t="shared" si="3"/>
        <v>1</v>
      </c>
      <c r="AB31" s="1805">
        <f t="shared" si="4"/>
        <v>1</v>
      </c>
      <c r="AC31" s="1805">
        <f t="shared" si="5"/>
        <v>1</v>
      </c>
    </row>
    <row r="32" spans="1:29" ht="15">
      <c r="A32" s="470"/>
      <c r="B32" s="420" t="s">
        <v>2643</v>
      </c>
      <c r="C32" s="458"/>
      <c r="D32" s="433">
        <v>100</v>
      </c>
      <c r="E32" s="458"/>
      <c r="F32" s="459">
        <f>SUMIF(95:95,E32,96:96)-SUMIF(95:95,C32,96:96)+100</f>
        <v>100</v>
      </c>
      <c r="G32" s="458"/>
      <c r="H32" s="433">
        <f>SUMIF(95:95,G32,96:96)-SUMIF(95:95,C32,96:96)+100</f>
        <v>100</v>
      </c>
      <c r="I32" s="458"/>
      <c r="J32" s="433">
        <f>SUMIF(95:95,I32,96:96)-SUMIF(95:95,C32,96:96)+100</f>
        <v>100</v>
      </c>
      <c r="K32" s="610"/>
      <c r="L32" s="1136"/>
      <c r="M32" s="1127"/>
      <c r="N32" s="1127"/>
      <c r="O32" s="1135"/>
      <c r="P32" s="3345"/>
      <c r="Q32" s="1804" t="str">
        <f t="shared" si="11"/>
        <v>公共部分装修</v>
      </c>
      <c r="R32" s="772" t="s">
        <v>17</v>
      </c>
      <c r="S32" s="773">
        <f t="shared" si="12"/>
        <v>100</v>
      </c>
      <c r="T32" s="772" t="s">
        <v>17</v>
      </c>
      <c r="U32" s="773">
        <f t="shared" si="13"/>
        <v>100</v>
      </c>
      <c r="V32" s="772" t="s">
        <v>17</v>
      </c>
      <c r="W32" s="773">
        <f t="shared" si="14"/>
        <v>100</v>
      </c>
      <c r="X32" s="1807"/>
      <c r="Y32" s="3345"/>
      <c r="Z32" s="1808" t="str">
        <f t="shared" si="15"/>
        <v>公共部分装修</v>
      </c>
      <c r="AA32" s="1805">
        <f t="shared" si="3"/>
        <v>1</v>
      </c>
      <c r="AB32" s="1805">
        <f t="shared" si="4"/>
        <v>1</v>
      </c>
      <c r="AC32" s="1805">
        <f t="shared" si="5"/>
        <v>1</v>
      </c>
    </row>
    <row r="33" spans="1:29" ht="15">
      <c r="A33" s="470"/>
      <c r="B33" s="420" t="s">
        <v>2644</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6"/>
      <c r="M33" s="1127"/>
      <c r="N33" s="1127"/>
      <c r="O33" s="1135"/>
      <c r="P33" s="3345"/>
      <c r="Q33" s="1804" t="str">
        <f t="shared" si="11"/>
        <v>成新度</v>
      </c>
      <c r="R33" s="772" t="s">
        <v>17</v>
      </c>
      <c r="S33" s="773" t="e">
        <f t="shared" si="12"/>
        <v>#N/A</v>
      </c>
      <c r="T33" s="772" t="s">
        <v>17</v>
      </c>
      <c r="U33" s="773" t="e">
        <f t="shared" si="13"/>
        <v>#N/A</v>
      </c>
      <c r="V33" s="772" t="s">
        <v>17</v>
      </c>
      <c r="W33" s="773" t="e">
        <f t="shared" si="14"/>
        <v>#N/A</v>
      </c>
      <c r="X33" s="1807"/>
      <c r="Y33" s="3345"/>
      <c r="Z33" s="1808" t="str">
        <f t="shared" si="15"/>
        <v>成新度</v>
      </c>
      <c r="AA33" s="1805" t="e">
        <f t="shared" si="3"/>
        <v>#N/A</v>
      </c>
      <c r="AB33" s="1805" t="e">
        <f t="shared" si="4"/>
        <v>#N/A</v>
      </c>
      <c r="AC33" s="1805" t="e">
        <f t="shared" si="5"/>
        <v>#N/A</v>
      </c>
    </row>
    <row r="34" spans="1:29" s="115" customFormat="1" ht="15">
      <c r="A34" s="471"/>
      <c r="B34" s="420" t="s">
        <v>2677</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8"/>
      <c r="M34" s="1129"/>
      <c r="N34" s="1129"/>
      <c r="O34" s="1130"/>
      <c r="P34" s="3345"/>
      <c r="Q34" s="1789" t="str">
        <f t="shared" si="11"/>
        <v>物业管理</v>
      </c>
      <c r="R34" s="768" t="s">
        <v>17</v>
      </c>
      <c r="S34" s="769">
        <f t="shared" si="12"/>
        <v>100</v>
      </c>
      <c r="T34" s="768" t="s">
        <v>17</v>
      </c>
      <c r="U34" s="769">
        <f t="shared" si="13"/>
        <v>100</v>
      </c>
      <c r="V34" s="768" t="s">
        <v>17</v>
      </c>
      <c r="W34" s="769">
        <f t="shared" si="14"/>
        <v>100</v>
      </c>
      <c r="X34" s="770"/>
      <c r="Y34" s="3345"/>
      <c r="Z34" s="55" t="str">
        <f t="shared" si="15"/>
        <v>物业管理</v>
      </c>
      <c r="AA34" s="771">
        <f t="shared" si="3"/>
        <v>1</v>
      </c>
      <c r="AB34" s="771">
        <f t="shared" si="4"/>
        <v>1</v>
      </c>
      <c r="AC34" s="771">
        <f t="shared" si="5"/>
        <v>1</v>
      </c>
    </row>
    <row r="35" spans="1:29" ht="15">
      <c r="A35" s="470"/>
      <c r="B35" s="420" t="s">
        <v>2645</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6"/>
      <c r="M35" s="1127"/>
      <c r="N35" s="1127"/>
      <c r="O35" s="1135"/>
      <c r="P35" s="3345" t="s">
        <v>2547</v>
      </c>
      <c r="Q35" s="1804" t="str">
        <f t="shared" si="11"/>
        <v>市政基础设施</v>
      </c>
      <c r="R35" s="772" t="s">
        <v>17</v>
      </c>
      <c r="S35" s="773">
        <f t="shared" si="12"/>
        <v>100</v>
      </c>
      <c r="T35" s="772" t="s">
        <v>17</v>
      </c>
      <c r="U35" s="773">
        <f t="shared" si="13"/>
        <v>100</v>
      </c>
      <c r="V35" s="772" t="s">
        <v>17</v>
      </c>
      <c r="W35" s="773">
        <f t="shared" si="14"/>
        <v>100</v>
      </c>
      <c r="X35" s="1807"/>
      <c r="Y35" s="3345" t="s">
        <v>2547</v>
      </c>
      <c r="Z35" s="1808" t="str">
        <f t="shared" si="15"/>
        <v>市政基础设施</v>
      </c>
      <c r="AA35" s="1805">
        <f t="shared" si="3"/>
        <v>1</v>
      </c>
      <c r="AB35" s="1805">
        <f t="shared" si="4"/>
        <v>1</v>
      </c>
      <c r="AC35" s="1805">
        <f t="shared" si="5"/>
        <v>1</v>
      </c>
    </row>
    <row r="36" spans="1:29" ht="15">
      <c r="A36" s="470"/>
      <c r="B36" s="420" t="s">
        <v>2650</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6"/>
      <c r="M36" s="1127"/>
      <c r="N36" s="1127"/>
      <c r="O36" s="1135"/>
      <c r="P36" s="3345"/>
      <c r="Q36" s="1804" t="str">
        <f t="shared" si="11"/>
        <v>内部装修</v>
      </c>
      <c r="R36" s="772" t="s">
        <v>17</v>
      </c>
      <c r="S36" s="773">
        <f t="shared" si="12"/>
        <v>100</v>
      </c>
      <c r="T36" s="772" t="s">
        <v>17</v>
      </c>
      <c r="U36" s="773">
        <f t="shared" si="13"/>
        <v>100</v>
      </c>
      <c r="V36" s="772" t="s">
        <v>17</v>
      </c>
      <c r="W36" s="773">
        <f t="shared" si="14"/>
        <v>100</v>
      </c>
      <c r="X36" s="1807"/>
      <c r="Y36" s="3345"/>
      <c r="Z36" s="1808" t="str">
        <f t="shared" si="15"/>
        <v>内部装修</v>
      </c>
      <c r="AA36" s="1805">
        <f t="shared" si="3"/>
        <v>1</v>
      </c>
      <c r="AB36" s="1805">
        <f t="shared" si="4"/>
        <v>1</v>
      </c>
      <c r="AC36" s="1805">
        <f t="shared" si="5"/>
        <v>1</v>
      </c>
    </row>
    <row r="37" spans="1:29" ht="15">
      <c r="A37" s="470"/>
      <c r="B37" s="420" t="s">
        <v>2686</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6"/>
      <c r="M37" s="1127"/>
      <c r="N37" s="1127"/>
      <c r="O37" s="1135"/>
      <c r="P37" s="3345"/>
      <c r="Q37" s="1804" t="str">
        <f t="shared" si="11"/>
        <v>内部装修状况</v>
      </c>
      <c r="R37" s="772" t="s">
        <v>17</v>
      </c>
      <c r="S37" s="773">
        <f t="shared" si="12"/>
        <v>100</v>
      </c>
      <c r="T37" s="772" t="s">
        <v>17</v>
      </c>
      <c r="U37" s="773">
        <f t="shared" si="13"/>
        <v>100</v>
      </c>
      <c r="V37" s="772" t="s">
        <v>17</v>
      </c>
      <c r="W37" s="773">
        <f t="shared" si="14"/>
        <v>100</v>
      </c>
      <c r="X37" s="1807"/>
      <c r="Y37" s="3345"/>
      <c r="Z37" s="1808" t="str">
        <f t="shared" si="15"/>
        <v>内部装修状况</v>
      </c>
      <c r="AA37" s="1805">
        <f t="shared" si="3"/>
        <v>1</v>
      </c>
      <c r="AB37" s="1805">
        <f t="shared" si="4"/>
        <v>1</v>
      </c>
      <c r="AC37" s="1805">
        <f t="shared" si="5"/>
        <v>1</v>
      </c>
    </row>
    <row r="38" spans="1:29" s="469" customFormat="1" ht="15">
      <c r="A38" s="466"/>
      <c r="B38" s="1382">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4"/>
      <c r="M38" s="1137"/>
      <c r="N38" s="1137"/>
      <c r="O38" s="1138"/>
      <c r="P38" s="3345"/>
      <c r="Q38" s="774">
        <f t="shared" si="11"/>
        <v>111</v>
      </c>
      <c r="R38" s="775" t="s">
        <v>17</v>
      </c>
      <c r="S38" s="776">
        <f t="shared" si="12"/>
        <v>100</v>
      </c>
      <c r="T38" s="775" t="s">
        <v>17</v>
      </c>
      <c r="U38" s="776">
        <f t="shared" si="13"/>
        <v>100</v>
      </c>
      <c r="V38" s="775" t="s">
        <v>17</v>
      </c>
      <c r="W38" s="776">
        <f t="shared" si="14"/>
        <v>100</v>
      </c>
      <c r="X38" s="777"/>
      <c r="Y38" s="3345"/>
      <c r="Z38" s="778">
        <f t="shared" si="15"/>
        <v>111</v>
      </c>
      <c r="AA38" s="1805">
        <f t="shared" si="3"/>
        <v>1</v>
      </c>
      <c r="AB38" s="1805">
        <f t="shared" si="4"/>
        <v>1</v>
      </c>
      <c r="AC38" s="1805">
        <f t="shared" si="5"/>
        <v>1</v>
      </c>
    </row>
    <row r="39" spans="1:29" ht="15">
      <c r="A39" s="470"/>
      <c r="B39" s="1382">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6"/>
      <c r="M39" s="1127"/>
      <c r="N39" s="1127"/>
      <c r="O39" s="1135"/>
      <c r="P39" s="3345"/>
      <c r="Q39" s="1804">
        <f t="shared" si="11"/>
        <v>111</v>
      </c>
      <c r="R39" s="772" t="s">
        <v>17</v>
      </c>
      <c r="S39" s="773">
        <f t="shared" si="12"/>
        <v>100</v>
      </c>
      <c r="T39" s="772" t="s">
        <v>17</v>
      </c>
      <c r="U39" s="773">
        <f t="shared" si="13"/>
        <v>100</v>
      </c>
      <c r="V39" s="772" t="s">
        <v>17</v>
      </c>
      <c r="W39" s="773">
        <f t="shared" si="14"/>
        <v>100</v>
      </c>
      <c r="X39" s="1807"/>
      <c r="Y39" s="3345"/>
      <c r="Z39" s="1808">
        <f t="shared" si="15"/>
        <v>111</v>
      </c>
      <c r="AA39" s="1805">
        <f t="shared" si="3"/>
        <v>1</v>
      </c>
      <c r="AB39" s="1805">
        <f t="shared" si="4"/>
        <v>1</v>
      </c>
      <c r="AC39" s="1805">
        <f t="shared" si="5"/>
        <v>1</v>
      </c>
    </row>
    <row r="40" spans="1:29" ht="15.75" thickBot="1">
      <c r="A40" s="476"/>
      <c r="B40" s="2586">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6"/>
      <c r="M40" s="1127"/>
      <c r="N40" s="1127"/>
      <c r="O40" s="1135"/>
      <c r="P40" s="3408"/>
      <c r="Q40" s="1804">
        <f t="shared" si="11"/>
        <v>111</v>
      </c>
      <c r="R40" s="772" t="s">
        <v>17</v>
      </c>
      <c r="S40" s="773">
        <f t="shared" si="12"/>
        <v>100</v>
      </c>
      <c r="T40" s="772" t="s">
        <v>17</v>
      </c>
      <c r="U40" s="773">
        <f t="shared" si="13"/>
        <v>100</v>
      </c>
      <c r="V40" s="772" t="s">
        <v>17</v>
      </c>
      <c r="W40" s="773">
        <f t="shared" si="14"/>
        <v>100</v>
      </c>
      <c r="X40" s="1807"/>
      <c r="Y40" s="3408"/>
      <c r="Z40" s="1808">
        <f t="shared" si="15"/>
        <v>111</v>
      </c>
      <c r="AA40" s="1805">
        <f t="shared" si="3"/>
        <v>1</v>
      </c>
      <c r="AB40" s="1805">
        <f t="shared" si="4"/>
        <v>1</v>
      </c>
      <c r="AC40" s="1805">
        <f t="shared" si="5"/>
        <v>1</v>
      </c>
    </row>
    <row r="41" spans="1:29" ht="15">
      <c r="A41" s="477" t="s">
        <v>2559</v>
      </c>
      <c r="B41" s="478"/>
      <c r="C41" s="1403" t="s">
        <v>1</v>
      </c>
      <c r="D41" s="1404"/>
      <c r="E41" s="1405"/>
      <c r="F41" s="1406"/>
      <c r="G41" s="1407"/>
      <c r="H41" s="1408"/>
      <c r="I41" s="1405"/>
      <c r="J41" s="1408"/>
      <c r="K41" s="781"/>
      <c r="L41" s="1139"/>
      <c r="M41" s="1140"/>
      <c r="N41" s="1127"/>
      <c r="O41" s="1140"/>
      <c r="P41" s="3340" t="str">
        <f>A41</f>
        <v>成交单价（元/平方米）</v>
      </c>
      <c r="Q41" s="3340"/>
      <c r="R41" s="3381">
        <f>E41</f>
        <v>0</v>
      </c>
      <c r="S41" s="3381"/>
      <c r="T41" s="3381">
        <f>G41</f>
        <v>0</v>
      </c>
      <c r="U41" s="3381"/>
      <c r="V41" s="3381">
        <f>I41</f>
        <v>0</v>
      </c>
      <c r="W41" s="3381"/>
      <c r="X41" s="757"/>
      <c r="Y41" s="779"/>
      <c r="Z41" s="757"/>
      <c r="AA41" s="757"/>
      <c r="AB41" s="757"/>
      <c r="AC41" s="757"/>
    </row>
    <row r="42" spans="1:29" ht="15.75" thickBot="1">
      <c r="A42" s="484" t="s">
        <v>2651</v>
      </c>
      <c r="B42" s="485"/>
      <c r="C42" s="1409" t="e">
        <f>R43</f>
        <v>#DIV/0!</v>
      </c>
      <c r="D42" s="1410"/>
      <c r="E42" s="1411" t="e">
        <f>R42</f>
        <v>#DIV/0!</v>
      </c>
      <c r="F42" s="1411"/>
      <c r="G42" s="1409" t="e">
        <f>T42</f>
        <v>#DIV/0!</v>
      </c>
      <c r="H42" s="1410"/>
      <c r="I42" s="1411" t="e">
        <f>V42</f>
        <v>#DIV/0!</v>
      </c>
      <c r="J42" s="1410"/>
      <c r="K42" s="782"/>
      <c r="L42" s="1139"/>
      <c r="M42" s="1140"/>
      <c r="N42" s="1127"/>
      <c r="O42" s="1140"/>
      <c r="P42" s="3340" t="str">
        <f>A42</f>
        <v>比较价值（元/平方米）</v>
      </c>
      <c r="Q42" s="3340"/>
      <c r="R42" s="3381" t="e">
        <f>IF(F1="售价",ROUND(PRODUCT(R41,AA7:AA40),0),ROUND(PRODUCT(R41,AA7:AA40),1))</f>
        <v>#DIV/0!</v>
      </c>
      <c r="S42" s="3381"/>
      <c r="T42" s="3381" t="e">
        <f>IF(F1="售价",ROUND(PRODUCT(T41,AB7:AB40),0),ROUND(PRODUCT(T41,AB7:AB40),1))</f>
        <v>#DIV/0!</v>
      </c>
      <c r="U42" s="3381"/>
      <c r="V42" s="3381" t="e">
        <f>IF(F1="售价",ROUND(PRODUCT(V41,AC7:AC40),0),ROUND(PRODUCT(V41,AC7:AC40),1))</f>
        <v>#DIV/0!</v>
      </c>
      <c r="W42" s="3381"/>
      <c r="X42" s="757"/>
      <c r="Y42" s="757"/>
      <c r="Z42" s="757"/>
      <c r="AA42" s="757"/>
      <c r="AB42" s="757"/>
      <c r="AC42" s="757"/>
    </row>
    <row r="43" spans="1:29" ht="15.75" thickBot="1">
      <c r="A43" s="490" t="s">
        <v>2652</v>
      </c>
      <c r="B43" s="491"/>
      <c r="C43" s="1413" t="e">
        <f>R43</f>
        <v>#DIV/0!</v>
      </c>
      <c r="D43" s="1413"/>
      <c r="E43" s="1413"/>
      <c r="F43" s="1413"/>
      <c r="G43" s="1413"/>
      <c r="H43" s="1413"/>
      <c r="I43" s="1413"/>
      <c r="J43" s="1413"/>
      <c r="K43" s="783"/>
      <c r="L43" s="1139"/>
      <c r="M43" s="1140"/>
      <c r="N43" s="1140"/>
      <c r="O43" s="1140"/>
      <c r="P43" s="3334" t="str">
        <f>A43</f>
        <v>估价对象XX用房的比较价值（楼面单价，元/平方米）</v>
      </c>
      <c r="Q43" s="3335"/>
      <c r="R43" s="3382" t="e">
        <f>IF(F1="售价",ROUND(AVERAGE(R42:V42),0),ROUND(AVERAGE(R42:V42),1))</f>
        <v>#DIV/0!</v>
      </c>
      <c r="S43" s="3382"/>
      <c r="T43" s="3382"/>
      <c r="U43" s="3382"/>
      <c r="V43" s="3382"/>
      <c r="W43" s="3382"/>
      <c r="X43" s="757"/>
      <c r="Y43" s="757"/>
      <c r="Z43" s="757"/>
      <c r="AA43" s="757"/>
      <c r="AB43" s="757"/>
      <c r="AC43" s="757"/>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5" t="s">
        <v>2653</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1"/>
      <c r="L46" s="1102"/>
      <c r="M46" s="1140"/>
      <c r="N46" s="1140"/>
      <c r="O46" s="1140"/>
    </row>
    <row r="47" spans="1:29" ht="13.5" customHeight="1">
      <c r="A47" s="1140"/>
      <c r="B47" s="1140"/>
      <c r="C47" s="495" t="s">
        <v>2654</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1"/>
      <c r="L47" s="1102"/>
      <c r="M47" s="1140"/>
      <c r="N47" s="1140"/>
      <c r="O47" s="1140"/>
    </row>
    <row r="48" spans="1:29" s="500" customFormat="1" ht="13.5" customHeight="1">
      <c r="A48" s="1141"/>
      <c r="B48" s="1141"/>
      <c r="C48" s="495" t="s">
        <v>2655</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4"/>
      <c r="L48" s="1145"/>
      <c r="M48" s="1141"/>
      <c r="N48" s="1141"/>
      <c r="O48" s="1141"/>
    </row>
    <row r="49" spans="1:17" s="500"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1" t="s">
        <v>2656</v>
      </c>
      <c r="B51" s="757"/>
      <c r="C51" s="762"/>
      <c r="D51" s="762"/>
      <c r="E51" s="762"/>
      <c r="F51" s="763"/>
      <c r="G51" s="763"/>
      <c r="H51" s="762"/>
      <c r="I51" s="762"/>
      <c r="J51" s="762"/>
      <c r="K51" s="1156"/>
      <c r="L51" s="1157"/>
      <c r="M51" s="1155"/>
      <c r="N51" s="1155"/>
      <c r="O51" s="1155"/>
      <c r="P51" s="501"/>
      <c r="Q51" s="502"/>
    </row>
    <row r="52" spans="1:17" s="506" customFormat="1" ht="15">
      <c r="A52" s="503" t="s">
        <v>2530</v>
      </c>
      <c r="B52" s="504"/>
      <c r="C52" s="1568" t="str">
        <f>YEAR(C7)&amp;"-"&amp;MONTH(C7)</f>
        <v>2020-2</v>
      </c>
      <c r="D52" s="1569">
        <f>EDATE(C52,-1)</f>
        <v>43831</v>
      </c>
      <c r="E52" s="1569">
        <f t="shared" ref="E52:O52" si="16">EDATE(D52,-1)</f>
        <v>43800</v>
      </c>
      <c r="F52" s="1569">
        <f t="shared" si="16"/>
        <v>43770</v>
      </c>
      <c r="G52" s="1569">
        <f t="shared" si="16"/>
        <v>43739</v>
      </c>
      <c r="H52" s="1569">
        <f t="shared" si="16"/>
        <v>43709</v>
      </c>
      <c r="I52" s="1569">
        <f t="shared" si="16"/>
        <v>43678</v>
      </c>
      <c r="J52" s="1569">
        <f t="shared" si="16"/>
        <v>43647</v>
      </c>
      <c r="K52" s="1569">
        <f t="shared" si="16"/>
        <v>43617</v>
      </c>
      <c r="L52" s="1569">
        <f t="shared" si="16"/>
        <v>43586</v>
      </c>
      <c r="M52" s="1569">
        <f t="shared" si="16"/>
        <v>43556</v>
      </c>
      <c r="N52" s="1569">
        <f t="shared" si="16"/>
        <v>43525</v>
      </c>
      <c r="O52" s="1569">
        <f t="shared" si="16"/>
        <v>43497</v>
      </c>
      <c r="P52" s="505"/>
    </row>
    <row r="53" spans="1:17" s="115" customFormat="1" ht="15">
      <c r="A53" s="507"/>
      <c r="B53" s="508"/>
      <c r="C53" s="1567">
        <v>100</v>
      </c>
      <c r="D53" s="510"/>
      <c r="E53" s="510"/>
      <c r="F53" s="510"/>
      <c r="G53" s="510"/>
      <c r="H53" s="510"/>
      <c r="I53" s="510"/>
      <c r="J53" s="510"/>
      <c r="K53" s="510"/>
      <c r="L53" s="510"/>
      <c r="M53" s="511"/>
      <c r="N53" s="510"/>
      <c r="O53" s="512"/>
      <c r="P53" s="502"/>
    </row>
    <row r="54" spans="1:17" s="115" customFormat="1" ht="15.75" thickBot="1">
      <c r="A54" s="513" t="s">
        <v>2567</v>
      </c>
      <c r="B54" s="514"/>
      <c r="C54" s="515"/>
      <c r="D54" s="516"/>
      <c r="E54" s="516"/>
      <c r="F54" s="516"/>
      <c r="G54" s="516"/>
      <c r="H54" s="516"/>
      <c r="I54" s="516"/>
      <c r="J54" s="516"/>
      <c r="K54" s="516"/>
      <c r="L54" s="516"/>
      <c r="M54" s="517"/>
      <c r="N54" s="516"/>
      <c r="O54" s="518"/>
      <c r="P54" s="502"/>
      <c r="Q54" s="502"/>
    </row>
    <row r="55" spans="1:17" s="115" customFormat="1" ht="15">
      <c r="A55" s="519" t="s">
        <v>2532</v>
      </c>
      <c r="B55" s="508"/>
      <c r="C55" s="520" t="s">
        <v>2634</v>
      </c>
      <c r="D55" s="521"/>
      <c r="E55" s="521"/>
      <c r="F55" s="521"/>
      <c r="G55" s="521"/>
      <c r="H55" s="521"/>
      <c r="I55" s="521"/>
      <c r="J55" s="521"/>
      <c r="K55" s="521"/>
      <c r="L55" s="522"/>
      <c r="M55" s="523"/>
      <c r="N55" s="1147"/>
      <c r="O55" s="1147"/>
      <c r="P55" s="524"/>
      <c r="Q55" s="502"/>
    </row>
    <row r="56" spans="1:17" s="115" customFormat="1" ht="15.75" thickBot="1">
      <c r="A56" s="519"/>
      <c r="B56" s="508"/>
      <c r="C56" s="637">
        <v>100</v>
      </c>
      <c r="D56" s="510"/>
      <c r="E56" s="510"/>
      <c r="F56" s="510"/>
      <c r="G56" s="510"/>
      <c r="H56" s="510"/>
      <c r="I56" s="510"/>
      <c r="J56" s="510"/>
      <c r="K56" s="510"/>
      <c r="L56" s="510"/>
      <c r="M56" s="512"/>
      <c r="N56" s="1147"/>
      <c r="O56" s="1147"/>
      <c r="P56" s="502"/>
      <c r="Q56" s="502"/>
    </row>
    <row r="57" spans="1:17">
      <c r="A57" s="525" t="s">
        <v>2570</v>
      </c>
      <c r="B57" s="526" t="s">
        <v>2536</v>
      </c>
      <c r="C57" s="527">
        <f>C9</f>
        <v>0</v>
      </c>
      <c r="D57" s="528"/>
      <c r="E57" s="528"/>
      <c r="F57" s="528"/>
      <c r="G57" s="528"/>
      <c r="H57" s="528"/>
      <c r="I57" s="528"/>
      <c r="J57" s="528"/>
      <c r="K57" s="529"/>
      <c r="L57" s="530"/>
      <c r="M57" s="531"/>
      <c r="N57" s="1148"/>
      <c r="O57" s="1148"/>
      <c r="P57" s="45"/>
      <c r="Q57" s="502"/>
    </row>
    <row r="58" spans="1:17" ht="15.75" thickBot="1">
      <c r="A58" s="532"/>
      <c r="B58" s="533"/>
      <c r="C58" s="534">
        <v>100</v>
      </c>
      <c r="D58" s="534"/>
      <c r="E58" s="534"/>
      <c r="F58" s="534"/>
      <c r="G58" s="534"/>
      <c r="H58" s="534"/>
      <c r="I58" s="534"/>
      <c r="J58" s="534"/>
      <c r="K58" s="534"/>
      <c r="L58" s="534"/>
      <c r="M58" s="535"/>
      <c r="N58" s="1149"/>
      <c r="O58" s="1149"/>
      <c r="P58" s="45"/>
      <c r="Q58" s="502"/>
    </row>
    <row r="59" spans="1:17" ht="27.75" thickTop="1">
      <c r="A59" s="532"/>
      <c r="B59" s="536" t="s">
        <v>2539</v>
      </c>
      <c r="C59" s="537" t="s">
        <v>2571</v>
      </c>
      <c r="D59" s="537" t="s">
        <v>2572</v>
      </c>
      <c r="E59" s="537" t="s">
        <v>2573</v>
      </c>
      <c r="F59" s="537" t="s">
        <v>2574</v>
      </c>
      <c r="G59" s="537" t="s">
        <v>2575</v>
      </c>
      <c r="H59" s="537" t="s">
        <v>2576</v>
      </c>
      <c r="I59" s="537" t="s">
        <v>2577</v>
      </c>
      <c r="J59" s="537"/>
      <c r="K59" s="538"/>
      <c r="L59" s="539"/>
      <c r="M59" s="540"/>
      <c r="N59" s="1148"/>
      <c r="O59" s="1148"/>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49"/>
      <c r="O60" s="1149"/>
      <c r="P60" s="45"/>
      <c r="Q60" s="502"/>
    </row>
    <row r="61" spans="1:17" ht="15.75" thickTop="1">
      <c r="A61" s="532"/>
      <c r="B61" s="544" t="s">
        <v>2540</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9"/>
      <c r="O61" s="1149"/>
      <c r="P61" s="45"/>
      <c r="Q61" s="502"/>
    </row>
    <row r="62" spans="1:17" ht="15">
      <c r="A62" s="532"/>
      <c r="B62" s="546"/>
      <c r="C62" s="547"/>
      <c r="D62" s="547"/>
      <c r="E62" s="547"/>
      <c r="F62" s="547"/>
      <c r="G62" s="547"/>
      <c r="H62" s="547"/>
      <c r="I62" s="547"/>
      <c r="J62" s="547"/>
      <c r="K62" s="548"/>
      <c r="L62" s="549"/>
      <c r="M62" s="550"/>
      <c r="N62" s="1148"/>
      <c r="O62" s="1148"/>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9"/>
      <c r="O63" s="1149"/>
      <c r="P63" s="45"/>
      <c r="Q63" s="502"/>
    </row>
    <row r="64" spans="1:17" s="469" customFormat="1" ht="15.75" thickTop="1">
      <c r="A64" s="551"/>
      <c r="B64" s="536">
        <f>B12</f>
        <v>111</v>
      </c>
      <c r="C64" s="552"/>
      <c r="D64" s="552"/>
      <c r="E64" s="552"/>
      <c r="F64" s="552"/>
      <c r="G64" s="552"/>
      <c r="H64" s="553"/>
      <c r="I64" s="553"/>
      <c r="J64" s="553"/>
      <c r="K64" s="553"/>
      <c r="L64" s="554"/>
      <c r="M64" s="555"/>
      <c r="N64" s="1150"/>
      <c r="O64" s="1150"/>
      <c r="P64" s="556"/>
      <c r="Q64" s="557"/>
    </row>
    <row r="65" spans="1:17" s="469" customFormat="1" ht="15.75" thickBot="1">
      <c r="A65" s="551"/>
      <c r="B65" s="541"/>
      <c r="C65" s="558"/>
      <c r="D65" s="534"/>
      <c r="E65" s="534"/>
      <c r="F65" s="534"/>
      <c r="G65" s="534"/>
      <c r="H65" s="534"/>
      <c r="I65" s="534"/>
      <c r="J65" s="534"/>
      <c r="K65" s="534"/>
      <c r="L65" s="534"/>
      <c r="M65" s="535"/>
      <c r="N65" s="1149"/>
      <c r="O65" s="1149"/>
      <c r="P65" s="556"/>
      <c r="Q65" s="557"/>
    </row>
    <row r="66" spans="1:17" s="469" customFormat="1" ht="15.75" thickTop="1">
      <c r="A66" s="551"/>
      <c r="B66" s="536">
        <f>B13</f>
        <v>111</v>
      </c>
      <c r="C66" s="552"/>
      <c r="D66" s="552"/>
      <c r="E66" s="552"/>
      <c r="F66" s="552"/>
      <c r="G66" s="552"/>
      <c r="H66" s="553"/>
      <c r="I66" s="553"/>
      <c r="J66" s="553"/>
      <c r="K66" s="553"/>
      <c r="L66" s="554"/>
      <c r="M66" s="555"/>
      <c r="N66" s="1150"/>
      <c r="O66" s="1150"/>
      <c r="P66" s="468"/>
      <c r="Q66" s="559"/>
    </row>
    <row r="67" spans="1:17" s="469" customFormat="1" ht="15.75" thickBot="1">
      <c r="A67" s="551"/>
      <c r="B67" s="541"/>
      <c r="C67" s="558"/>
      <c r="D67" s="534"/>
      <c r="E67" s="534"/>
      <c r="F67" s="534"/>
      <c r="G67" s="558"/>
      <c r="H67" s="560"/>
      <c r="I67" s="560"/>
      <c r="J67" s="560"/>
      <c r="K67" s="560"/>
      <c r="L67" s="560"/>
      <c r="M67" s="561"/>
      <c r="N67" s="1150"/>
      <c r="O67" s="1150"/>
      <c r="P67" s="556"/>
      <c r="Q67" s="557"/>
    </row>
    <row r="68" spans="1:17" s="469" customFormat="1" ht="15.75" thickTop="1">
      <c r="A68" s="551"/>
      <c r="B68" s="544">
        <f>B14</f>
        <v>111</v>
      </c>
      <c r="C68" s="521"/>
      <c r="D68" s="521"/>
      <c r="E68" s="521"/>
      <c r="F68" s="521"/>
      <c r="G68" s="521"/>
      <c r="H68" s="562"/>
      <c r="I68" s="562"/>
      <c r="J68" s="562"/>
      <c r="K68" s="562"/>
      <c r="L68" s="563"/>
      <c r="M68" s="564"/>
      <c r="N68" s="1150"/>
      <c r="O68" s="1150"/>
      <c r="P68" s="565"/>
      <c r="Q68" s="557"/>
    </row>
    <row r="69" spans="1:17" s="469" customFormat="1" ht="15.75" thickBot="1">
      <c r="A69" s="566"/>
      <c r="B69" s="567"/>
      <c r="C69" s="568"/>
      <c r="D69" s="568"/>
      <c r="E69" s="568"/>
      <c r="F69" s="568"/>
      <c r="G69" s="568"/>
      <c r="H69" s="569"/>
      <c r="I69" s="569"/>
      <c r="J69" s="569"/>
      <c r="K69" s="569"/>
      <c r="L69" s="569"/>
      <c r="M69" s="570"/>
      <c r="N69" s="1150"/>
      <c r="O69" s="1150"/>
      <c r="P69" s="556"/>
      <c r="Q69" s="557"/>
    </row>
    <row r="70" spans="1:17">
      <c r="A70" s="525" t="s">
        <v>2541</v>
      </c>
      <c r="B70" s="526" t="s">
        <v>2687</v>
      </c>
      <c r="C70" s="571" t="s">
        <v>2579</v>
      </c>
      <c r="D70" s="571" t="s">
        <v>2580</v>
      </c>
      <c r="E70" s="571" t="s">
        <v>2581</v>
      </c>
      <c r="F70" s="571" t="s">
        <v>2582</v>
      </c>
      <c r="G70" s="571" t="s">
        <v>2583</v>
      </c>
      <c r="H70" s="527"/>
      <c r="I70" s="527"/>
      <c r="J70" s="527"/>
      <c r="K70" s="572"/>
      <c r="L70" s="573"/>
      <c r="M70" s="574"/>
      <c r="N70" s="1148"/>
      <c r="O70" s="1148"/>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49"/>
      <c r="O71" s="1149"/>
      <c r="P71" s="45"/>
      <c r="Q71" s="502"/>
    </row>
    <row r="72" spans="1:17" ht="15.75" thickTop="1">
      <c r="A72" s="532"/>
      <c r="B72" s="536" t="s">
        <v>2584</v>
      </c>
      <c r="C72" s="576" t="s">
        <v>2579</v>
      </c>
      <c r="D72" s="576" t="s">
        <v>2580</v>
      </c>
      <c r="E72" s="576" t="s">
        <v>2581</v>
      </c>
      <c r="F72" s="576" t="s">
        <v>2582</v>
      </c>
      <c r="G72" s="576" t="s">
        <v>2583</v>
      </c>
      <c r="H72" s="537"/>
      <c r="I72" s="537"/>
      <c r="J72" s="537"/>
      <c r="K72" s="538"/>
      <c r="L72" s="539"/>
      <c r="M72" s="540"/>
      <c r="N72" s="1148"/>
      <c r="O72" s="1148"/>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49"/>
      <c r="O73" s="1149"/>
      <c r="P73" s="45"/>
      <c r="Q73" s="502"/>
    </row>
    <row r="74" spans="1:17" ht="15.75" thickTop="1">
      <c r="A74" s="532"/>
      <c r="B74" s="536" t="s">
        <v>2585</v>
      </c>
      <c r="C74" s="576" t="s">
        <v>2579</v>
      </c>
      <c r="D74" s="576" t="s">
        <v>2580</v>
      </c>
      <c r="E74" s="576" t="s">
        <v>2581</v>
      </c>
      <c r="F74" s="576" t="s">
        <v>2582</v>
      </c>
      <c r="G74" s="576" t="s">
        <v>2583</v>
      </c>
      <c r="H74" s="537"/>
      <c r="I74" s="537"/>
      <c r="J74" s="537"/>
      <c r="K74" s="538"/>
      <c r="L74" s="539"/>
      <c r="M74" s="540"/>
      <c r="N74" s="1148"/>
      <c r="O74" s="1148"/>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49"/>
      <c r="O75" s="1149"/>
      <c r="P75" s="45"/>
      <c r="Q75" s="502"/>
    </row>
    <row r="76" spans="1:17" ht="15.75" thickTop="1">
      <c r="A76" s="532"/>
      <c r="B76" s="544" t="s">
        <v>2671</v>
      </c>
      <c r="C76" s="658" t="s">
        <v>2657</v>
      </c>
      <c r="D76" s="658" t="s">
        <v>2658</v>
      </c>
      <c r="E76" s="658" t="s">
        <v>2659</v>
      </c>
      <c r="F76" s="658" t="s">
        <v>2660</v>
      </c>
      <c r="G76" s="658" t="s">
        <v>2661</v>
      </c>
      <c r="H76" s="537"/>
      <c r="I76" s="537"/>
      <c r="J76" s="537"/>
      <c r="K76" s="537"/>
      <c r="L76" s="537"/>
      <c r="M76" s="1378"/>
      <c r="N76" s="1149"/>
      <c r="O76" s="1149"/>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49"/>
      <c r="O77" s="1149"/>
      <c r="P77" s="45"/>
      <c r="Q77" s="502"/>
    </row>
    <row r="78" spans="1:17" ht="15.75" thickTop="1">
      <c r="A78" s="532"/>
      <c r="B78" s="536" t="s">
        <v>2680</v>
      </c>
      <c r="C78" s="576" t="s">
        <v>2579</v>
      </c>
      <c r="D78" s="576" t="s">
        <v>2580</v>
      </c>
      <c r="E78" s="576" t="s">
        <v>2581</v>
      </c>
      <c r="F78" s="576" t="s">
        <v>2582</v>
      </c>
      <c r="G78" s="576" t="s">
        <v>2583</v>
      </c>
      <c r="H78" s="537"/>
      <c r="I78" s="537"/>
      <c r="J78" s="537"/>
      <c r="K78" s="538"/>
      <c r="L78" s="539"/>
      <c r="M78" s="540"/>
      <c r="N78" s="1148"/>
      <c r="O78" s="1148"/>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49"/>
      <c r="O79" s="1149"/>
      <c r="P79" s="45"/>
      <c r="Q79" s="502"/>
    </row>
    <row r="80" spans="1:17" s="115" customFormat="1" ht="15.75" thickTop="1">
      <c r="A80" s="577"/>
      <c r="B80" s="536">
        <f>B25</f>
        <v>111</v>
      </c>
      <c r="C80" s="552"/>
      <c r="D80" s="552"/>
      <c r="E80" s="552"/>
      <c r="F80" s="552"/>
      <c r="G80" s="552"/>
      <c r="H80" s="552"/>
      <c r="I80" s="552"/>
      <c r="J80" s="552"/>
      <c r="K80" s="552"/>
      <c r="L80" s="578"/>
      <c r="M80" s="579"/>
      <c r="N80" s="1147"/>
      <c r="O80" s="1147"/>
      <c r="P80" s="45"/>
      <c r="Q80" s="502"/>
    </row>
    <row r="81" spans="1:17" s="115" customFormat="1" ht="15.75" thickBot="1">
      <c r="A81" s="577"/>
      <c r="B81" s="541"/>
      <c r="C81" s="558"/>
      <c r="D81" s="534"/>
      <c r="E81" s="534"/>
      <c r="F81" s="534"/>
      <c r="G81" s="534"/>
      <c r="H81" s="534"/>
      <c r="I81" s="534"/>
      <c r="J81" s="534"/>
      <c r="K81" s="534"/>
      <c r="L81" s="534"/>
      <c r="M81" s="535"/>
      <c r="N81" s="1149"/>
      <c r="O81" s="1149"/>
      <c r="P81" s="45"/>
      <c r="Q81" s="502"/>
    </row>
    <row r="82" spans="1:17" s="115" customFormat="1" ht="15.75" thickTop="1">
      <c r="A82" s="577"/>
      <c r="B82" s="536">
        <f>B26</f>
        <v>111</v>
      </c>
      <c r="C82" s="552"/>
      <c r="D82" s="552"/>
      <c r="E82" s="552"/>
      <c r="F82" s="552"/>
      <c r="G82" s="552"/>
      <c r="H82" s="552"/>
      <c r="I82" s="552"/>
      <c r="J82" s="552"/>
      <c r="K82" s="552"/>
      <c r="L82" s="578"/>
      <c r="M82" s="579"/>
      <c r="N82" s="1147"/>
      <c r="O82" s="1147"/>
      <c r="P82" s="45"/>
      <c r="Q82" s="502"/>
    </row>
    <row r="83" spans="1:17" s="115" customFormat="1" ht="15.75" thickBot="1">
      <c r="A83" s="577"/>
      <c r="B83" s="541"/>
      <c r="C83" s="558"/>
      <c r="D83" s="534"/>
      <c r="E83" s="534"/>
      <c r="F83" s="534"/>
      <c r="G83" s="534"/>
      <c r="H83" s="534"/>
      <c r="I83" s="534"/>
      <c r="J83" s="534"/>
      <c r="K83" s="534"/>
      <c r="L83" s="534"/>
      <c r="M83" s="535"/>
      <c r="N83" s="1149"/>
      <c r="O83" s="1149"/>
      <c r="P83" s="45"/>
      <c r="Q83" s="502"/>
    </row>
    <row r="84" spans="1:17" s="469" customFormat="1" ht="15.75" thickTop="1">
      <c r="A84" s="551"/>
      <c r="B84" s="536">
        <f>B27</f>
        <v>111</v>
      </c>
      <c r="C84" s="552"/>
      <c r="D84" s="552"/>
      <c r="E84" s="552"/>
      <c r="F84" s="552"/>
      <c r="G84" s="552"/>
      <c r="H84" s="552"/>
      <c r="I84" s="552"/>
      <c r="J84" s="552"/>
      <c r="K84" s="552"/>
      <c r="L84" s="578"/>
      <c r="M84" s="579"/>
      <c r="N84" s="1150"/>
      <c r="O84" s="1150"/>
      <c r="P84" s="556"/>
      <c r="Q84" s="557"/>
    </row>
    <row r="85" spans="1:17" s="469" customFormat="1" ht="15.75" thickBot="1">
      <c r="A85" s="551"/>
      <c r="B85" s="541"/>
      <c r="C85" s="558"/>
      <c r="D85" s="534"/>
      <c r="E85" s="534"/>
      <c r="F85" s="534"/>
      <c r="G85" s="534"/>
      <c r="H85" s="534"/>
      <c r="I85" s="534"/>
      <c r="J85" s="534"/>
      <c r="K85" s="534"/>
      <c r="L85" s="534"/>
      <c r="M85" s="535"/>
      <c r="N85" s="1150"/>
      <c r="O85" s="1150"/>
      <c r="P85" s="556"/>
      <c r="Q85" s="557"/>
    </row>
    <row r="86" spans="1:17" ht="15.75" thickTop="1">
      <c r="A86" s="532"/>
      <c r="B86" s="544">
        <f>B28</f>
        <v>111</v>
      </c>
      <c r="C86" s="521"/>
      <c r="D86" s="521"/>
      <c r="E86" s="521"/>
      <c r="F86" s="521"/>
      <c r="G86" s="585"/>
      <c r="H86" s="585"/>
      <c r="I86" s="585"/>
      <c r="J86" s="585"/>
      <c r="K86" s="586"/>
      <c r="L86" s="587"/>
      <c r="M86" s="588"/>
      <c r="N86" s="1148"/>
      <c r="O86" s="1148"/>
      <c r="P86" s="45"/>
      <c r="Q86" s="502"/>
    </row>
    <row r="87" spans="1:17" ht="15.75" thickBot="1">
      <c r="A87" s="2620"/>
      <c r="B87" s="567"/>
      <c r="C87" s="568"/>
      <c r="D87" s="568"/>
      <c r="E87" s="568"/>
      <c r="F87" s="568"/>
      <c r="G87" s="589"/>
      <c r="H87" s="589"/>
      <c r="I87" s="589"/>
      <c r="J87" s="589"/>
      <c r="K87" s="589"/>
      <c r="L87" s="589"/>
      <c r="M87" s="590"/>
      <c r="N87" s="1149"/>
      <c r="O87" s="1149"/>
      <c r="P87" s="45"/>
      <c r="Q87" s="502"/>
    </row>
    <row r="88" spans="1:17">
      <c r="A88" s="525" t="s">
        <v>2545</v>
      </c>
      <c r="B88" s="526" t="s">
        <v>2594</v>
      </c>
      <c r="C88" s="528"/>
      <c r="D88" s="528"/>
      <c r="E88" s="528"/>
      <c r="F88" s="528"/>
      <c r="G88" s="528"/>
      <c r="H88" s="528"/>
      <c r="I88" s="528"/>
      <c r="J88" s="528"/>
      <c r="K88" s="529"/>
      <c r="L88" s="530"/>
      <c r="M88" s="531"/>
      <c r="N88" s="1148"/>
      <c r="O88" s="1148"/>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9"/>
      <c r="O89" s="1149"/>
      <c r="P89" s="45"/>
      <c r="Q89" s="502"/>
    </row>
    <row r="90" spans="1:17" ht="15.75" thickTop="1">
      <c r="A90" s="532"/>
      <c r="B90" s="536" t="s">
        <v>2595</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7"/>
      <c r="O90" s="1147"/>
      <c r="P90" s="45"/>
      <c r="Q90" s="502"/>
    </row>
    <row r="91" spans="1:17" s="469" customFormat="1">
      <c r="A91" s="591"/>
      <c r="B91" s="592"/>
      <c r="C91" s="593"/>
      <c r="D91" s="593"/>
      <c r="E91" s="593"/>
      <c r="F91" s="593"/>
      <c r="G91" s="593"/>
      <c r="H91" s="593"/>
      <c r="I91" s="593"/>
      <c r="J91" s="594"/>
      <c r="K91" s="594"/>
      <c r="L91" s="595"/>
      <c r="M91" s="596"/>
      <c r="N91" s="1150"/>
      <c r="O91" s="1150"/>
      <c r="P91" s="556"/>
      <c r="Q91" s="557"/>
    </row>
    <row r="92" spans="1:17" s="469" customFormat="1" ht="15.75" thickBot="1">
      <c r="A92" s="551"/>
      <c r="B92" s="541"/>
      <c r="C92" s="558"/>
      <c r="D92" s="534"/>
      <c r="E92" s="534"/>
      <c r="F92" s="534"/>
      <c r="G92" s="534"/>
      <c r="H92" s="534"/>
      <c r="I92" s="534"/>
      <c r="J92" s="534"/>
      <c r="K92" s="534"/>
      <c r="L92" s="534"/>
      <c r="M92" s="535"/>
      <c r="N92" s="1149"/>
      <c r="O92" s="1149"/>
      <c r="P92" s="556"/>
      <c r="Q92" s="557"/>
    </row>
    <row r="93" spans="1:17" ht="15" thickTop="1">
      <c r="A93" s="597"/>
      <c r="B93" s="536" t="s">
        <v>2596</v>
      </c>
      <c r="C93" s="552"/>
      <c r="D93" s="552"/>
      <c r="E93" s="581"/>
      <c r="F93" s="581"/>
      <c r="G93" s="581"/>
      <c r="H93" s="581"/>
      <c r="I93" s="581"/>
      <c r="J93" s="581"/>
      <c r="K93" s="582"/>
      <c r="L93" s="583"/>
      <c r="M93" s="584"/>
      <c r="N93" s="1148"/>
      <c r="O93" s="1148"/>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9"/>
      <c r="O94" s="1149"/>
      <c r="P94" s="45"/>
      <c r="Q94" s="502"/>
    </row>
    <row r="95" spans="1:17" ht="15" thickTop="1">
      <c r="A95" s="597"/>
      <c r="B95" s="536" t="s">
        <v>2598</v>
      </c>
      <c r="C95" s="552"/>
      <c r="D95" s="552"/>
      <c r="E95" s="552"/>
      <c r="F95" s="581"/>
      <c r="G95" s="581"/>
      <c r="H95" s="581"/>
      <c r="I95" s="581"/>
      <c r="J95" s="581"/>
      <c r="K95" s="582"/>
      <c r="L95" s="583"/>
      <c r="M95" s="584"/>
      <c r="N95" s="1148"/>
      <c r="O95" s="1148"/>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9"/>
      <c r="O96" s="1149"/>
      <c r="P96" s="45"/>
      <c r="Q96" s="502"/>
    </row>
    <row r="97" spans="1:17" ht="15" thickTop="1">
      <c r="A97" s="597"/>
      <c r="B97" s="536" t="s">
        <v>1987</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8"/>
      <c r="O97" s="1148"/>
      <c r="P97" s="45"/>
      <c r="Q97" s="502"/>
    </row>
    <row r="98" spans="1:17">
      <c r="A98" s="597"/>
      <c r="B98" s="544"/>
      <c r="C98" s="601">
        <v>0.5</v>
      </c>
      <c r="D98" s="601">
        <v>0.6</v>
      </c>
      <c r="E98" s="601">
        <v>0.7</v>
      </c>
      <c r="F98" s="601">
        <v>0.8</v>
      </c>
      <c r="G98" s="601">
        <v>0.9</v>
      </c>
      <c r="H98" s="601">
        <v>1.0001</v>
      </c>
      <c r="I98" s="621"/>
      <c r="J98" s="621"/>
      <c r="K98" s="622"/>
      <c r="L98" s="623"/>
      <c r="M98" s="624"/>
      <c r="N98" s="1148"/>
      <c r="O98" s="1148"/>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9"/>
      <c r="O99" s="1149"/>
      <c r="P99" s="45"/>
      <c r="Q99" s="502"/>
    </row>
    <row r="100" spans="1:17" s="469" customFormat="1" ht="15" thickTop="1">
      <c r="A100" s="591"/>
      <c r="B100" s="536" t="s">
        <v>2599</v>
      </c>
      <c r="C100" s="552"/>
      <c r="D100" s="552"/>
      <c r="E100" s="552"/>
      <c r="F100" s="552"/>
      <c r="G100" s="552"/>
      <c r="H100" s="581"/>
      <c r="I100" s="581"/>
      <c r="J100" s="581"/>
      <c r="K100" s="582"/>
      <c r="L100" s="583"/>
      <c r="M100" s="584"/>
      <c r="N100" s="1150"/>
      <c r="O100" s="1150"/>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0"/>
      <c r="O101" s="1150"/>
      <c r="P101" s="556"/>
      <c r="Q101" s="557"/>
    </row>
    <row r="102" spans="1:17" ht="15" thickTop="1">
      <c r="A102" s="597"/>
      <c r="B102" s="536" t="s">
        <v>2600</v>
      </c>
      <c r="C102" s="552"/>
      <c r="D102" s="552"/>
      <c r="E102" s="552"/>
      <c r="F102" s="552"/>
      <c r="G102" s="552"/>
      <c r="H102" s="581"/>
      <c r="I102" s="581"/>
      <c r="J102" s="581"/>
      <c r="K102" s="582"/>
      <c r="L102" s="583"/>
      <c r="M102" s="584"/>
      <c r="N102" s="1148"/>
      <c r="O102" s="1148"/>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9"/>
      <c r="O103" s="1149"/>
      <c r="P103" s="45"/>
      <c r="Q103" s="502"/>
    </row>
    <row r="104" spans="1:17" ht="15" thickTop="1">
      <c r="A104" s="597"/>
      <c r="B104" s="536" t="s">
        <v>2602</v>
      </c>
      <c r="C104" s="552"/>
      <c r="D104" s="552"/>
      <c r="E104" s="552"/>
      <c r="F104" s="552"/>
      <c r="G104" s="552"/>
      <c r="H104" s="581"/>
      <c r="I104" s="581"/>
      <c r="J104" s="581"/>
      <c r="K104" s="582"/>
      <c r="L104" s="583"/>
      <c r="M104" s="584"/>
      <c r="N104" s="1148"/>
      <c r="O104" s="1148"/>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49"/>
      <c r="O105" s="1149"/>
      <c r="P105" s="45"/>
      <c r="Q105" s="502"/>
    </row>
    <row r="106" spans="1:17" ht="15" thickTop="1">
      <c r="A106" s="597"/>
      <c r="B106" s="634" t="s">
        <v>2688</v>
      </c>
      <c r="C106" s="576" t="s">
        <v>2579</v>
      </c>
      <c r="D106" s="576" t="s">
        <v>2580</v>
      </c>
      <c r="E106" s="576" t="s">
        <v>2581</v>
      </c>
      <c r="F106" s="576" t="s">
        <v>2582</v>
      </c>
      <c r="G106" s="576" t="s">
        <v>2583</v>
      </c>
      <c r="H106" s="537"/>
      <c r="I106" s="537"/>
      <c r="J106" s="537"/>
      <c r="K106" s="538"/>
      <c r="L106" s="539"/>
      <c r="M106" s="540"/>
      <c r="N106" s="1149"/>
      <c r="O106" s="1149"/>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9"/>
      <c r="O107" s="1149"/>
      <c r="P107" s="45"/>
      <c r="Q107" s="502"/>
    </row>
    <row r="108" spans="1:17" s="469" customFormat="1" ht="15" thickTop="1">
      <c r="A108" s="591"/>
      <c r="B108" s="536">
        <f>B38</f>
        <v>111</v>
      </c>
      <c r="C108" s="552"/>
      <c r="D108" s="552"/>
      <c r="E108" s="552"/>
      <c r="F108" s="552"/>
      <c r="G108" s="552"/>
      <c r="H108" s="553"/>
      <c r="I108" s="553"/>
      <c r="J108" s="553"/>
      <c r="K108" s="553"/>
      <c r="L108" s="554"/>
      <c r="M108" s="555"/>
      <c r="N108" s="1150"/>
      <c r="O108" s="1150"/>
      <c r="P108" s="556"/>
      <c r="Q108" s="557"/>
    </row>
    <row r="109" spans="1:17" s="469" customFormat="1" ht="15.75" thickBot="1">
      <c r="A109" s="551"/>
      <c r="B109" s="533"/>
      <c r="C109" s="558"/>
      <c r="D109" s="534"/>
      <c r="E109" s="534"/>
      <c r="F109" s="534"/>
      <c r="G109" s="558"/>
      <c r="H109" s="560"/>
      <c r="I109" s="560"/>
      <c r="J109" s="560"/>
      <c r="K109" s="560"/>
      <c r="L109" s="560"/>
      <c r="M109" s="561"/>
      <c r="N109" s="1150"/>
      <c r="O109" s="1150"/>
      <c r="P109" s="556"/>
      <c r="Q109" s="557"/>
    </row>
    <row r="110" spans="1:17" ht="15" thickTop="1">
      <c r="A110" s="597"/>
      <c r="B110" s="536">
        <f>B39</f>
        <v>111</v>
      </c>
      <c r="C110" s="552"/>
      <c r="D110" s="552"/>
      <c r="E110" s="552"/>
      <c r="F110" s="552"/>
      <c r="G110" s="552"/>
      <c r="H110" s="553"/>
      <c r="I110" s="553"/>
      <c r="J110" s="553"/>
      <c r="K110" s="553"/>
      <c r="L110" s="554"/>
      <c r="M110" s="555"/>
      <c r="N110" s="1148"/>
      <c r="O110" s="1148"/>
      <c r="P110" s="45"/>
      <c r="Q110" s="502"/>
    </row>
    <row r="111" spans="1:17" ht="15.75" thickBot="1">
      <c r="A111" s="532"/>
      <c r="B111" s="541"/>
      <c r="C111" s="558"/>
      <c r="D111" s="534"/>
      <c r="E111" s="534"/>
      <c r="F111" s="534"/>
      <c r="G111" s="558"/>
      <c r="H111" s="560"/>
      <c r="I111" s="560"/>
      <c r="J111" s="560"/>
      <c r="K111" s="560"/>
      <c r="L111" s="560"/>
      <c r="M111" s="561"/>
      <c r="N111" s="1149"/>
      <c r="O111" s="1149"/>
      <c r="P111" s="45"/>
      <c r="Q111" s="502"/>
    </row>
    <row r="112" spans="1:17" ht="15" thickTop="1">
      <c r="A112" s="597"/>
      <c r="B112" s="544">
        <f>B40</f>
        <v>111</v>
      </c>
      <c r="C112" s="521"/>
      <c r="D112" s="521"/>
      <c r="E112" s="521"/>
      <c r="F112" s="521"/>
      <c r="G112" s="585"/>
      <c r="H112" s="585"/>
      <c r="I112" s="585"/>
      <c r="J112" s="585"/>
      <c r="K112" s="521"/>
      <c r="L112" s="522"/>
      <c r="M112" s="588"/>
      <c r="N112" s="1148"/>
      <c r="O112" s="1148"/>
      <c r="P112" s="45"/>
      <c r="Q112" s="502"/>
    </row>
    <row r="113" spans="1:17" ht="15.75" thickBot="1">
      <c r="A113" s="2620"/>
      <c r="B113" s="567"/>
      <c r="C113" s="568"/>
      <c r="D113" s="568"/>
      <c r="E113" s="568"/>
      <c r="F113" s="568"/>
      <c r="G113" s="589"/>
      <c r="H113" s="589"/>
      <c r="I113" s="589"/>
      <c r="J113" s="589"/>
      <c r="K113" s="589"/>
      <c r="L113" s="589"/>
      <c r="M113" s="590"/>
      <c r="N113" s="1149"/>
      <c r="O113" s="1149"/>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48" priority="16" stopIfTrue="1" operator="containsText" text="超过">
      <formula>NOT(ISERROR(SEARCH("超过",F46)))</formula>
    </cfRule>
  </conditionalFormatting>
  <conditionalFormatting sqref="H48">
    <cfRule type="containsText" dxfId="47" priority="15" stopIfTrue="1" operator="containsText" text="超过">
      <formula>NOT(ISERROR(SEARCH("超过",H48)))</formula>
    </cfRule>
  </conditionalFormatting>
  <conditionalFormatting sqref="F48">
    <cfRule type="containsText" dxfId="46" priority="14" stopIfTrue="1" operator="containsText" text="超过">
      <formula>NOT(ISERROR(SEARCH("超过",F48)))</formula>
    </cfRule>
  </conditionalFormatting>
  <conditionalFormatting sqref="F47 H47">
    <cfRule type="containsText" dxfId="45" priority="13" stopIfTrue="1" operator="containsText" text="超过">
      <formula>NOT(ISERROR(SEARCH("超过",F47)))</formula>
    </cfRule>
  </conditionalFormatting>
  <conditionalFormatting sqref="E46">
    <cfRule type="expression" dxfId="44" priority="12" stopIfTrue="1">
      <formula>$F$46="超过30%"</formula>
    </cfRule>
  </conditionalFormatting>
  <conditionalFormatting sqref="E47">
    <cfRule type="expression" dxfId="43" priority="11" stopIfTrue="1">
      <formula>$F$47="超过20%"</formula>
    </cfRule>
  </conditionalFormatting>
  <conditionalFormatting sqref="E48">
    <cfRule type="expression" dxfId="42" priority="10" stopIfTrue="1">
      <formula>$F$48="超过30%"</formula>
    </cfRule>
  </conditionalFormatting>
  <conditionalFormatting sqref="G48">
    <cfRule type="expression" dxfId="41" priority="9" stopIfTrue="1">
      <formula>$H$48="超过30%"</formula>
    </cfRule>
  </conditionalFormatting>
  <conditionalFormatting sqref="G46">
    <cfRule type="expression" dxfId="40" priority="8" stopIfTrue="1">
      <formula>$H$46="超过30%"</formula>
    </cfRule>
  </conditionalFormatting>
  <conditionalFormatting sqref="G47">
    <cfRule type="expression" dxfId="39" priority="7" stopIfTrue="1">
      <formula>$H$47="超过20%"</formula>
    </cfRule>
  </conditionalFormatting>
  <conditionalFormatting sqref="J46">
    <cfRule type="containsText" dxfId="38" priority="6" stopIfTrue="1" operator="containsText" text="超过">
      <formula>NOT(ISERROR(SEARCH("超过",J46)))</formula>
    </cfRule>
  </conditionalFormatting>
  <conditionalFormatting sqref="J48">
    <cfRule type="containsText" dxfId="37" priority="5" stopIfTrue="1" operator="containsText" text="超过">
      <formula>NOT(ISERROR(SEARCH("超过",J48)))</formula>
    </cfRule>
  </conditionalFormatting>
  <conditionalFormatting sqref="J47">
    <cfRule type="containsText" dxfId="36" priority="4" stopIfTrue="1" operator="containsText" text="超过">
      <formula>NOT(ISERROR(SEARCH("超过",J47)))</formula>
    </cfRule>
  </conditionalFormatting>
  <conditionalFormatting sqref="I46">
    <cfRule type="expression" dxfId="35" priority="3" stopIfTrue="1">
      <formula>$J$46="超过30%"</formula>
    </cfRule>
  </conditionalFormatting>
  <conditionalFormatting sqref="I47">
    <cfRule type="expression" dxfId="34" priority="2" stopIfTrue="1">
      <formula>$J$47="超过20%"</formula>
    </cfRule>
  </conditionalFormatting>
  <conditionalFormatting sqref="I48">
    <cfRule type="expression" dxfId="3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2689</v>
      </c>
      <c r="B1" s="1613"/>
      <c r="C1" s="1614" t="s">
        <v>2512</v>
      </c>
      <c r="D1" s="1615"/>
      <c r="E1" s="1624"/>
      <c r="F1" s="2568"/>
      <c r="G1" s="1625" t="s">
        <v>2625</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6" customFormat="1" ht="28.5" customHeight="1" thickTop="1">
      <c r="A2" s="1611" t="s">
        <v>2312</v>
      </c>
      <c r="B2" s="1414" t="e">
        <f ca="1">IF(C2="——",ROUND(C37*D3/10000,0),ROUND(C37*D3/10000,0)-D2)</f>
        <v>#DIV/0!</v>
      </c>
      <c r="C2" s="2570"/>
      <c r="D2" s="1120" t="e">
        <f ca="1">SUMIF(INDIRECT("'"&amp;F2&amp;"'"&amp;"!A:A"),"承租人权益价值",INDIRECT("'"&amp;F2&amp;"'"&amp;"!c:c"))</f>
        <v>#REF!</v>
      </c>
      <c r="E2" s="2571" t="s">
        <v>2313</v>
      </c>
      <c r="F2" s="2572"/>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6" customFormat="1" ht="28.5" customHeight="1" thickBot="1">
      <c r="A3" s="245" t="s">
        <v>2314</v>
      </c>
      <c r="B3" s="607" t="e">
        <f ca="1">IF(C2="——",C37,ROUND(B2*10000/D3,0))</f>
        <v>#DIV/0!</v>
      </c>
      <c r="C3" s="398" t="s">
        <v>2626</v>
      </c>
      <c r="D3" s="397">
        <f>SUMIF('数据-汇总表'!$C19:$C33,D1,'数据-汇总表'!$E19:$E33)</f>
        <v>0</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399" t="s">
        <v>2627</v>
      </c>
      <c r="B4" s="400"/>
      <c r="C4" s="3337" t="s">
        <v>2628</v>
      </c>
      <c r="D4" s="3350"/>
      <c r="E4" s="3351" t="s">
        <v>2629</v>
      </c>
      <c r="F4" s="3352"/>
      <c r="G4" s="3337" t="s">
        <v>2630</v>
      </c>
      <c r="H4" s="3350"/>
      <c r="I4" s="3337" t="s">
        <v>2631</v>
      </c>
      <c r="J4" s="3350"/>
      <c r="K4" s="608" t="s">
        <v>2632</v>
      </c>
      <c r="L4" s="1126"/>
      <c r="M4" s="1127"/>
      <c r="N4" s="1127"/>
      <c r="O4" s="1127"/>
      <c r="P4" s="3353" t="s">
        <v>2633</v>
      </c>
      <c r="Q4" s="3354"/>
      <c r="R4" s="3359" t="s">
        <v>2629</v>
      </c>
      <c r="S4" s="3360"/>
      <c r="T4" s="3359" t="s">
        <v>2630</v>
      </c>
      <c r="U4" s="3360"/>
      <c r="V4" s="3346" t="s">
        <v>2631</v>
      </c>
      <c r="W4" s="3346"/>
      <c r="X4" s="1807"/>
      <c r="Y4" s="3359" t="s">
        <v>2633</v>
      </c>
      <c r="Z4" s="3360"/>
      <c r="AA4" s="3347" t="s">
        <v>2629</v>
      </c>
      <c r="AB4" s="3348" t="s">
        <v>2630</v>
      </c>
      <c r="AC4" s="3347" t="s">
        <v>2631</v>
      </c>
    </row>
    <row r="5" spans="1:29" ht="15">
      <c r="A5" s="402"/>
      <c r="B5" s="403"/>
      <c r="C5" s="3367" t="s">
        <v>2524</v>
      </c>
      <c r="D5" s="3368"/>
      <c r="E5" s="3374" t="s">
        <v>2525</v>
      </c>
      <c r="F5" s="3375"/>
      <c r="G5" s="3367" t="s">
        <v>2526</v>
      </c>
      <c r="H5" s="3368"/>
      <c r="I5" s="3367" t="s">
        <v>2527</v>
      </c>
      <c r="J5" s="3368"/>
      <c r="K5" s="608"/>
      <c r="L5" s="1126"/>
      <c r="M5" s="1127"/>
      <c r="N5" s="1127"/>
      <c r="O5" s="1127"/>
      <c r="P5" s="3355"/>
      <c r="Q5" s="3356"/>
      <c r="R5" s="3361"/>
      <c r="S5" s="3362"/>
      <c r="T5" s="3361"/>
      <c r="U5" s="3362"/>
      <c r="V5" s="3346"/>
      <c r="W5" s="3346"/>
      <c r="X5" s="1807"/>
      <c r="Y5" s="3361"/>
      <c r="Z5" s="3362"/>
      <c r="AA5" s="3348"/>
      <c r="AB5" s="3348"/>
      <c r="AC5" s="3348"/>
    </row>
    <row r="6" spans="1:29" ht="15.75" thickBot="1">
      <c r="A6" s="404"/>
      <c r="B6" s="405"/>
      <c r="C6" s="3365" t="s">
        <v>2528</v>
      </c>
      <c r="D6" s="3366"/>
      <c r="E6" s="3372" t="s">
        <v>2528</v>
      </c>
      <c r="F6" s="3373"/>
      <c r="G6" s="3365" t="s">
        <v>2528</v>
      </c>
      <c r="H6" s="3366"/>
      <c r="I6" s="3365" t="s">
        <v>2528</v>
      </c>
      <c r="J6" s="3366"/>
      <c r="K6" s="608" t="s">
        <v>2529</v>
      </c>
      <c r="L6" s="1126"/>
      <c r="M6" s="1127"/>
      <c r="N6" s="1127"/>
      <c r="O6" s="1127"/>
      <c r="P6" s="3357"/>
      <c r="Q6" s="3358"/>
      <c r="R6" s="3361"/>
      <c r="S6" s="3362"/>
      <c r="T6" s="3363"/>
      <c r="U6" s="3364"/>
      <c r="V6" s="3346"/>
      <c r="W6" s="3346"/>
      <c r="X6" s="1807"/>
      <c r="Y6" s="3363"/>
      <c r="Z6" s="3364"/>
      <c r="AA6" s="3349"/>
      <c r="AB6" s="3349"/>
      <c r="AC6" s="3349"/>
    </row>
    <row r="7" spans="1:29" s="115" customFormat="1" ht="15.75" thickBot="1">
      <c r="A7" s="406" t="s">
        <v>2530</v>
      </c>
      <c r="B7" s="407"/>
      <c r="C7" s="408">
        <f>'数据-取费表'!B2</f>
        <v>43878</v>
      </c>
      <c r="D7" s="409">
        <v>100</v>
      </c>
      <c r="E7" s="410"/>
      <c r="F7" s="411">
        <f>SUMIF(46:46,YEAR(E7)&amp;"-"&amp;MONTH(E7),47:47)</f>
        <v>0</v>
      </c>
      <c r="G7" s="2680"/>
      <c r="H7" s="409">
        <f>SUMIF(46:46,YEAR(G7)&amp;"-"&amp;MONTH(G7),47:47)</f>
        <v>0</v>
      </c>
      <c r="I7" s="410"/>
      <c r="J7" s="409">
        <f>SUMIF(46:46,YEAR(I7)&amp;"-"&amp;MONTH(I7),47:47)</f>
        <v>0</v>
      </c>
      <c r="K7" s="609"/>
      <c r="L7" s="1128"/>
      <c r="M7" s="1129"/>
      <c r="N7" s="1129"/>
      <c r="O7" s="1129"/>
      <c r="P7" s="3369" t="s">
        <v>2531</v>
      </c>
      <c r="Q7" s="3371"/>
      <c r="R7" s="768" t="s">
        <v>17</v>
      </c>
      <c r="S7" s="769">
        <f t="shared" ref="S7:S14" si="0">F7</f>
        <v>0</v>
      </c>
      <c r="T7" s="768" t="s">
        <v>17</v>
      </c>
      <c r="U7" s="769">
        <f t="shared" ref="U7:U14" si="1">H7</f>
        <v>0</v>
      </c>
      <c r="V7" s="768" t="s">
        <v>17</v>
      </c>
      <c r="W7" s="769">
        <f t="shared" ref="W7:W14" si="2">J7</f>
        <v>0</v>
      </c>
      <c r="X7" s="770"/>
      <c r="Y7" s="3369" t="s">
        <v>2531</v>
      </c>
      <c r="Z7" s="3370"/>
      <c r="AA7" s="771" t="e">
        <f>D7/F7</f>
        <v>#DIV/0!</v>
      </c>
      <c r="AB7" s="771" t="e">
        <f>D7/H7</f>
        <v>#DIV/0!</v>
      </c>
      <c r="AC7" s="771" t="e">
        <f>D7/J7</f>
        <v>#DIV/0!</v>
      </c>
    </row>
    <row r="8" spans="1:29" s="115" customFormat="1" ht="15.75" thickBot="1">
      <c r="A8" s="406" t="s">
        <v>2532</v>
      </c>
      <c r="B8" s="407"/>
      <c r="C8" s="412" t="s">
        <v>2634</v>
      </c>
      <c r="D8" s="409">
        <v>100</v>
      </c>
      <c r="E8" s="412"/>
      <c r="F8" s="411">
        <f>SUMIF(49:49,E8,50:50)-SUMIF(49:49,C8,50:50)+100</f>
        <v>0</v>
      </c>
      <c r="G8" s="412"/>
      <c r="H8" s="409">
        <f>SUMIF(49:49,G8,50:50)-SUMIF(49:49,C8,50:50)+100</f>
        <v>0</v>
      </c>
      <c r="I8" s="412"/>
      <c r="J8" s="409">
        <f>SUMIF(49:49,I8,50:50)-SUMIF(49:49,C8,50:50)+100</f>
        <v>0</v>
      </c>
      <c r="K8" s="609"/>
      <c r="L8" s="1128"/>
      <c r="M8" s="1129"/>
      <c r="N8" s="1129"/>
      <c r="O8" s="1129"/>
      <c r="P8" s="3369" t="s">
        <v>2534</v>
      </c>
      <c r="Q8" s="3370"/>
      <c r="R8" s="768" t="s">
        <v>17</v>
      </c>
      <c r="S8" s="769">
        <f t="shared" si="0"/>
        <v>0</v>
      </c>
      <c r="T8" s="768" t="s">
        <v>17</v>
      </c>
      <c r="U8" s="769">
        <f t="shared" si="1"/>
        <v>0</v>
      </c>
      <c r="V8" s="768" t="s">
        <v>17</v>
      </c>
      <c r="W8" s="769">
        <f t="shared" si="2"/>
        <v>0</v>
      </c>
      <c r="X8" s="770"/>
      <c r="Y8" s="3369" t="s">
        <v>2534</v>
      </c>
      <c r="Z8" s="3370"/>
      <c r="AA8" s="771" t="e">
        <f t="shared" ref="AA8:AA34" si="3">D8/F8</f>
        <v>#DIV/0!</v>
      </c>
      <c r="AB8" s="771" t="e">
        <f t="shared" ref="AB8:AB34" si="4">D8/H8</f>
        <v>#DIV/0!</v>
      </c>
      <c r="AC8" s="771" t="e">
        <f t="shared" ref="AC8:AC34" si="5">D8/J8</f>
        <v>#DIV/0!</v>
      </c>
    </row>
    <row r="9" spans="1:29" s="115" customFormat="1">
      <c r="A9" s="413" t="s">
        <v>2535</v>
      </c>
      <c r="B9" s="70" t="s">
        <v>2536</v>
      </c>
      <c r="C9" s="414"/>
      <c r="D9" s="133">
        <v>100</v>
      </c>
      <c r="E9" s="417"/>
      <c r="F9" s="416">
        <f>SUMIF(51:51,E9,52:52)-SUMIF(51:51,C9,52:52)+100</f>
        <v>100</v>
      </c>
      <c r="G9" s="417"/>
      <c r="H9" s="133">
        <f>SUMIF(51:51,G9,52:52)-SUMIF(51:51,C9,52:52)+100</f>
        <v>100</v>
      </c>
      <c r="I9" s="417"/>
      <c r="J9" s="133">
        <f>SUMIF(51:51,I9,52:52)-SUMIF(51:51,C9,52:52)+100</f>
        <v>100</v>
      </c>
      <c r="K9" s="609"/>
      <c r="L9" s="1128"/>
      <c r="M9" s="1129"/>
      <c r="N9" s="1129"/>
      <c r="O9" s="1130"/>
      <c r="P9" s="3340" t="s">
        <v>2537</v>
      </c>
      <c r="Q9" s="1789" t="str">
        <f t="shared" ref="Q9:Q14" si="6">B9</f>
        <v>用途</v>
      </c>
      <c r="R9" s="768" t="s">
        <v>17</v>
      </c>
      <c r="S9" s="769">
        <f t="shared" si="0"/>
        <v>100</v>
      </c>
      <c r="T9" s="768" t="s">
        <v>17</v>
      </c>
      <c r="U9" s="769">
        <f t="shared" si="1"/>
        <v>100</v>
      </c>
      <c r="V9" s="768" t="s">
        <v>17</v>
      </c>
      <c r="W9" s="769">
        <f t="shared" si="2"/>
        <v>100</v>
      </c>
      <c r="X9" s="770"/>
      <c r="Y9" s="3168" t="s">
        <v>2538</v>
      </c>
      <c r="Z9" s="55" t="str">
        <f t="shared" ref="Z9:Z14" si="7">Q9</f>
        <v>用途</v>
      </c>
      <c r="AA9" s="771">
        <f t="shared" si="3"/>
        <v>1</v>
      </c>
      <c r="AB9" s="771">
        <f t="shared" si="4"/>
        <v>1</v>
      </c>
      <c r="AC9" s="771">
        <f t="shared" si="5"/>
        <v>1</v>
      </c>
    </row>
    <row r="10" spans="1:29" s="425" customFormat="1" ht="27">
      <c r="A10" s="419"/>
      <c r="B10" s="420" t="s">
        <v>2539</v>
      </c>
      <c r="C10" s="421"/>
      <c r="D10" s="134">
        <v>100</v>
      </c>
      <c r="E10" s="421"/>
      <c r="F10" s="423">
        <f>SUMIF(53:53,E10,54:54)-SUMIF(53:53,C10,54:54)+100</f>
        <v>100</v>
      </c>
      <c r="G10" s="421"/>
      <c r="H10" s="134">
        <f>SUMIF(53:53,G10,54:54)-SUMIF(53:53,C10,54:54)+100</f>
        <v>100</v>
      </c>
      <c r="I10" s="421"/>
      <c r="J10" s="134">
        <f>SUMIF(53:53,I10,54:54)-SUMIF(53:53,C10,54:54)+100</f>
        <v>100</v>
      </c>
      <c r="K10" s="610"/>
      <c r="L10" s="1131"/>
      <c r="M10" s="1132"/>
      <c r="N10" s="1132"/>
      <c r="O10" s="1133"/>
      <c r="P10" s="3340"/>
      <c r="Q10" s="1789" t="str">
        <f t="shared" si="6"/>
        <v>土地使用年限（年）</v>
      </c>
      <c r="R10" s="768" t="s">
        <v>17</v>
      </c>
      <c r="S10" s="769">
        <f t="shared" si="0"/>
        <v>100</v>
      </c>
      <c r="T10" s="768" t="s">
        <v>17</v>
      </c>
      <c r="U10" s="769">
        <f t="shared" si="1"/>
        <v>100</v>
      </c>
      <c r="V10" s="768" t="s">
        <v>17</v>
      </c>
      <c r="W10" s="769">
        <f t="shared" si="2"/>
        <v>100</v>
      </c>
      <c r="X10" s="770"/>
      <c r="Y10" s="3168"/>
      <c r="Z10" s="55" t="str">
        <f t="shared" si="7"/>
        <v>土地使用年限（年）</v>
      </c>
      <c r="AA10" s="771">
        <f t="shared" si="3"/>
        <v>1</v>
      </c>
      <c r="AB10" s="771">
        <f t="shared" si="4"/>
        <v>1</v>
      </c>
      <c r="AC10" s="771">
        <f t="shared" si="5"/>
        <v>1</v>
      </c>
    </row>
    <row r="11" spans="1:29" ht="15">
      <c r="A11" s="426"/>
      <c r="B11" s="2584">
        <v>111</v>
      </c>
      <c r="C11" s="430"/>
      <c r="D11" s="134">
        <v>100</v>
      </c>
      <c r="E11" s="467"/>
      <c r="F11" s="423">
        <f>SUMIF(55:55,E11,56:56)-SUMIF(55:55,C11,56:56)+100</f>
        <v>100</v>
      </c>
      <c r="G11" s="467"/>
      <c r="H11" s="134">
        <f>SUMIF(55:55,G11,56:56)-SUMIF(55:55,C11,56:56)+100</f>
        <v>100</v>
      </c>
      <c r="I11" s="467"/>
      <c r="J11" s="134">
        <f>SUMIF(55:55,I11,56:56)-SUMIF(55:55,C11,56:56)+100</f>
        <v>100</v>
      </c>
      <c r="K11" s="611"/>
      <c r="L11" s="1134"/>
      <c r="M11" s="1127"/>
      <c r="N11" s="1127"/>
      <c r="O11" s="1135"/>
      <c r="P11" s="3340"/>
      <c r="Q11" s="1789">
        <f t="shared" si="6"/>
        <v>111</v>
      </c>
      <c r="R11" s="768" t="s">
        <v>17</v>
      </c>
      <c r="S11" s="769">
        <f t="shared" si="0"/>
        <v>100</v>
      </c>
      <c r="T11" s="768" t="s">
        <v>17</v>
      </c>
      <c r="U11" s="769">
        <f t="shared" si="1"/>
        <v>100</v>
      </c>
      <c r="V11" s="768" t="s">
        <v>17</v>
      </c>
      <c r="W11" s="769">
        <f t="shared" si="2"/>
        <v>100</v>
      </c>
      <c r="X11" s="770"/>
      <c r="Y11" s="3168"/>
      <c r="Z11" s="55">
        <f t="shared" si="7"/>
        <v>111</v>
      </c>
      <c r="AA11" s="771">
        <f t="shared" si="3"/>
        <v>1</v>
      </c>
      <c r="AB11" s="771">
        <f t="shared" si="4"/>
        <v>1</v>
      </c>
      <c r="AC11" s="771">
        <f t="shared" si="5"/>
        <v>1</v>
      </c>
    </row>
    <row r="12" spans="1:29" s="115" customFormat="1" ht="15">
      <c r="A12" s="429"/>
      <c r="B12" s="2584">
        <v>111</v>
      </c>
      <c r="C12" s="430"/>
      <c r="D12" s="431">
        <v>100</v>
      </c>
      <c r="E12" s="467"/>
      <c r="F12" s="423">
        <f>SUMIF(57:57,E12,58:58)-SUMIF(57:57,C12,58:58)+100</f>
        <v>100</v>
      </c>
      <c r="G12" s="467"/>
      <c r="H12" s="134">
        <f>SUMIF(57:57,G12,58:58)-SUMIF(57:57,C12,58:58)+100</f>
        <v>100</v>
      </c>
      <c r="I12" s="467"/>
      <c r="J12" s="134">
        <f>SUMIF(57:57,I12,58:58)-SUMIF(57:57,C12,58:58)+100</f>
        <v>100</v>
      </c>
      <c r="K12" s="611"/>
      <c r="L12" s="1128"/>
      <c r="M12" s="1129"/>
      <c r="N12" s="1129"/>
      <c r="O12" s="1130"/>
      <c r="P12" s="3340"/>
      <c r="Q12" s="1789">
        <f t="shared" si="6"/>
        <v>111</v>
      </c>
      <c r="R12" s="768" t="s">
        <v>17</v>
      </c>
      <c r="S12" s="769">
        <f t="shared" si="0"/>
        <v>100</v>
      </c>
      <c r="T12" s="768" t="s">
        <v>17</v>
      </c>
      <c r="U12" s="769">
        <f t="shared" si="1"/>
        <v>100</v>
      </c>
      <c r="V12" s="768" t="s">
        <v>17</v>
      </c>
      <c r="W12" s="769">
        <f t="shared" si="2"/>
        <v>100</v>
      </c>
      <c r="X12" s="770"/>
      <c r="Y12" s="3168"/>
      <c r="Z12" s="55">
        <f t="shared" si="7"/>
        <v>111</v>
      </c>
      <c r="AA12" s="771">
        <f>D12/F12</f>
        <v>1</v>
      </c>
      <c r="AB12" s="771">
        <f>D12/H12</f>
        <v>1</v>
      </c>
      <c r="AC12" s="771">
        <f>D12/J12</f>
        <v>1</v>
      </c>
    </row>
    <row r="13" spans="1:29" ht="15.75" thickBot="1">
      <c r="A13" s="426"/>
      <c r="B13" s="2584">
        <v>111</v>
      </c>
      <c r="C13" s="432"/>
      <c r="D13" s="433">
        <v>100</v>
      </c>
      <c r="E13" s="467"/>
      <c r="F13" s="423">
        <f>SUMIF(59:59,E13,60:60)-SUMIF(59:59,C13,60:60)+100</f>
        <v>100</v>
      </c>
      <c r="G13" s="2681"/>
      <c r="H13" s="436">
        <f>SUMIF(59:59,G13,60:60)-SUMIF(59:59,C13,60:60)+100</f>
        <v>100</v>
      </c>
      <c r="I13" s="467"/>
      <c r="J13" s="433">
        <f>SUMIF(59:59,I13,60:60)-SUMIF(59:59,C13,60:60)+100</f>
        <v>100</v>
      </c>
      <c r="K13" s="611"/>
      <c r="L13" s="1136"/>
      <c r="M13" s="1127"/>
      <c r="N13" s="1127"/>
      <c r="O13" s="1135"/>
      <c r="P13" s="3340"/>
      <c r="Q13" s="1789">
        <f t="shared" si="6"/>
        <v>111</v>
      </c>
      <c r="R13" s="768" t="s">
        <v>17</v>
      </c>
      <c r="S13" s="769">
        <f t="shared" si="0"/>
        <v>100</v>
      </c>
      <c r="T13" s="768" t="s">
        <v>17</v>
      </c>
      <c r="U13" s="769">
        <f t="shared" si="1"/>
        <v>100</v>
      </c>
      <c r="V13" s="768" t="s">
        <v>17</v>
      </c>
      <c r="W13" s="769">
        <f t="shared" si="2"/>
        <v>100</v>
      </c>
      <c r="X13" s="770"/>
      <c r="Y13" s="3168"/>
      <c r="Z13" s="55">
        <f t="shared" si="7"/>
        <v>111</v>
      </c>
      <c r="AA13" s="771">
        <f t="shared" si="3"/>
        <v>1</v>
      </c>
      <c r="AB13" s="771">
        <f t="shared" si="4"/>
        <v>1</v>
      </c>
      <c r="AC13" s="771">
        <f t="shared" si="5"/>
        <v>1</v>
      </c>
    </row>
    <row r="14" spans="1:29" ht="15">
      <c r="A14" s="438" t="s">
        <v>2541</v>
      </c>
      <c r="B14" s="68" t="s">
        <v>2691</v>
      </c>
      <c r="C14" s="2677" t="str">
        <f>IF(B1="工业",估价对象房地状况!G4,估价对象房地状况!C6)</f>
        <v>一般</v>
      </c>
      <c r="D14" s="439">
        <v>100</v>
      </c>
      <c r="E14" s="440"/>
      <c r="F14" s="441">
        <f>SUMIF(61:61,E15,62:62)-SUMIF(61:61,C15,62:62)+100</f>
        <v>100</v>
      </c>
      <c r="G14" s="442"/>
      <c r="H14" s="439">
        <f>SUMIF(61:61,G15,62:62)-SUMIF(61:61,C15,62:62)+100</f>
        <v>100</v>
      </c>
      <c r="I14" s="440"/>
      <c r="J14" s="439">
        <f>SUMIF(61:61,I15,62:62)-SUMIF(61:61,C15,62:62)+100</f>
        <v>100</v>
      </c>
      <c r="K14" s="612"/>
      <c r="L14" s="1136"/>
      <c r="M14" s="1127"/>
      <c r="N14" s="1127"/>
      <c r="O14" s="1135"/>
      <c r="P14" s="3342" t="s">
        <v>2542</v>
      </c>
      <c r="Q14" s="1804" t="str">
        <f t="shared" si="6"/>
        <v>交通便捷度</v>
      </c>
      <c r="R14" s="772" t="s">
        <v>17</v>
      </c>
      <c r="S14" s="773">
        <f t="shared" si="0"/>
        <v>100</v>
      </c>
      <c r="T14" s="772" t="s">
        <v>17</v>
      </c>
      <c r="U14" s="773">
        <f t="shared" si="1"/>
        <v>100</v>
      </c>
      <c r="V14" s="772" t="s">
        <v>17</v>
      </c>
      <c r="W14" s="773">
        <f t="shared" si="2"/>
        <v>100</v>
      </c>
      <c r="X14" s="1807"/>
      <c r="Y14" s="3342" t="s">
        <v>2542</v>
      </c>
      <c r="Z14" s="1808" t="str">
        <f t="shared" si="7"/>
        <v>交通便捷度</v>
      </c>
      <c r="AA14" s="1805">
        <f t="shared" si="3"/>
        <v>1</v>
      </c>
      <c r="AB14" s="1805">
        <f t="shared" si="4"/>
        <v>1</v>
      </c>
      <c r="AC14" s="1805">
        <f t="shared" si="5"/>
        <v>1</v>
      </c>
    </row>
    <row r="15" spans="1:29" ht="15">
      <c r="A15" s="426"/>
      <c r="B15" s="444"/>
      <c r="C15" s="445"/>
      <c r="D15" s="446"/>
      <c r="E15" s="445"/>
      <c r="F15" s="447"/>
      <c r="G15" s="445"/>
      <c r="H15" s="448"/>
      <c r="I15" s="445"/>
      <c r="J15" s="446"/>
      <c r="K15" s="613"/>
      <c r="L15" s="1136"/>
      <c r="M15" s="1127"/>
      <c r="N15" s="1127"/>
      <c r="O15" s="1135"/>
      <c r="P15" s="3343"/>
      <c r="Q15" s="1804"/>
      <c r="R15" s="772"/>
      <c r="S15" s="773"/>
      <c r="T15" s="772"/>
      <c r="U15" s="773"/>
      <c r="V15" s="772"/>
      <c r="W15" s="773"/>
      <c r="X15" s="1807"/>
      <c r="Y15" s="3343"/>
      <c r="Z15" s="1808"/>
      <c r="AA15" s="1805">
        <v>1</v>
      </c>
      <c r="AB15" s="1805">
        <v>1</v>
      </c>
      <c r="AC15" s="1805">
        <v>1</v>
      </c>
    </row>
    <row r="16" spans="1:29" ht="15">
      <c r="A16" s="426"/>
      <c r="B16" s="449" t="s">
        <v>2670</v>
      </c>
      <c r="C16" s="2591" t="str">
        <f>IF(B1="工业",估价对象房地状况!G5,估价对象房地状况!C7)</f>
        <v>一般</v>
      </c>
      <c r="D16" s="453">
        <v>100</v>
      </c>
      <c r="E16" s="455"/>
      <c r="F16" s="456">
        <f>SUMIF(63:63,E17,64:64)-SUMIF(63:63,C17,64:64)+100</f>
        <v>100</v>
      </c>
      <c r="G16" s="457"/>
      <c r="H16" s="453">
        <f>SUMIF(63:63,G17,64:64)-SUMIF(63:63,C17,64:64)+100</f>
        <v>100</v>
      </c>
      <c r="I16" s="455"/>
      <c r="J16" s="453">
        <f>SUMIF(63:63,I17,64:64)-SUMIF(63:63,C17,64:64)+100</f>
        <v>100</v>
      </c>
      <c r="K16" s="612"/>
      <c r="L16" s="1136"/>
      <c r="M16" s="1127"/>
      <c r="N16" s="1127"/>
      <c r="O16" s="1135"/>
      <c r="P16" s="3343"/>
      <c r="Q16" s="1804" t="str">
        <f>B16</f>
        <v>公共配套设施</v>
      </c>
      <c r="R16" s="772" t="s">
        <v>17</v>
      </c>
      <c r="S16" s="773">
        <f>F16</f>
        <v>100</v>
      </c>
      <c r="T16" s="772" t="s">
        <v>17</v>
      </c>
      <c r="U16" s="773">
        <f>H16</f>
        <v>100</v>
      </c>
      <c r="V16" s="772" t="s">
        <v>17</v>
      </c>
      <c r="W16" s="773">
        <f>J16</f>
        <v>100</v>
      </c>
      <c r="X16" s="1807"/>
      <c r="Y16" s="3343"/>
      <c r="Z16" s="1808" t="str">
        <f>Q16</f>
        <v>公共配套设施</v>
      </c>
      <c r="AA16" s="1805">
        <f t="shared" si="3"/>
        <v>1</v>
      </c>
      <c r="AB16" s="1805">
        <f t="shared" si="4"/>
        <v>1</v>
      </c>
      <c r="AC16" s="1805">
        <f t="shared" si="5"/>
        <v>1</v>
      </c>
    </row>
    <row r="17" spans="1:29" ht="15">
      <c r="A17" s="426"/>
      <c r="B17" s="454"/>
      <c r="C17" s="2592"/>
      <c r="D17" s="446"/>
      <c r="E17" s="445"/>
      <c r="F17" s="447"/>
      <c r="G17" s="445"/>
      <c r="H17" s="446"/>
      <c r="I17" s="445"/>
      <c r="J17" s="446"/>
      <c r="K17" s="613"/>
      <c r="L17" s="1136"/>
      <c r="M17" s="1127"/>
      <c r="N17" s="1127"/>
      <c r="O17" s="1135"/>
      <c r="P17" s="3343"/>
      <c r="Q17" s="1804"/>
      <c r="R17" s="772"/>
      <c r="S17" s="773"/>
      <c r="T17" s="772"/>
      <c r="U17" s="773"/>
      <c r="V17" s="772"/>
      <c r="W17" s="773"/>
      <c r="X17" s="1807"/>
      <c r="Y17" s="3343"/>
      <c r="Z17" s="1808"/>
      <c r="AA17" s="1805">
        <v>1</v>
      </c>
      <c r="AB17" s="1805">
        <v>1</v>
      </c>
      <c r="AC17" s="1805">
        <v>1</v>
      </c>
    </row>
    <row r="18" spans="1:29" ht="15">
      <c r="A18" s="426"/>
      <c r="B18" s="1380" t="s">
        <v>2671</v>
      </c>
      <c r="C18" s="2591" t="str">
        <f>IF(B1="工业",估价对象房地状况!G6,估价对象房地状况!C8)</f>
        <v>七通</v>
      </c>
      <c r="D18" s="453">
        <v>100</v>
      </c>
      <c r="E18" s="450"/>
      <c r="F18" s="456">
        <f>SUMIF(65:65,E19,66:66)-SUMIF(65:65,C19,66:66)+100</f>
        <v>100</v>
      </c>
      <c r="G18" s="452"/>
      <c r="H18" s="453">
        <f>SUMIF(65:65,G19,66:66)-SUMIF(65:65,C19,66:66)+100</f>
        <v>100</v>
      </c>
      <c r="I18" s="455"/>
      <c r="J18" s="453">
        <f>SUMIF(65:65,I19,66:66)-SUMIF(65:65,C19,66:66)+100</f>
        <v>100</v>
      </c>
      <c r="K18" s="612"/>
      <c r="L18" s="1136"/>
      <c r="M18" s="1127"/>
      <c r="N18" s="1127"/>
      <c r="O18" s="1135"/>
      <c r="P18" s="3343"/>
      <c r="Q18" s="1804" t="str">
        <f>B18</f>
        <v>基础设施水平</v>
      </c>
      <c r="R18" s="772" t="s">
        <v>17</v>
      </c>
      <c r="S18" s="773">
        <f>F18</f>
        <v>100</v>
      </c>
      <c r="T18" s="772" t="s">
        <v>17</v>
      </c>
      <c r="U18" s="773">
        <f>H18</f>
        <v>100</v>
      </c>
      <c r="V18" s="772" t="s">
        <v>17</v>
      </c>
      <c r="W18" s="773">
        <f>J18</f>
        <v>100</v>
      </c>
      <c r="X18" s="1807"/>
      <c r="Y18" s="3343"/>
      <c r="Z18" s="1808" t="str">
        <f>Q18</f>
        <v>基础设施水平</v>
      </c>
      <c r="AA18" s="1805">
        <f t="shared" ref="AA18" si="8">D18/F18</f>
        <v>1</v>
      </c>
      <c r="AB18" s="1805">
        <f t="shared" ref="AB18" si="9">D18/H18</f>
        <v>1</v>
      </c>
      <c r="AC18" s="1805">
        <f t="shared" ref="AC18" si="10">D18/J18</f>
        <v>1</v>
      </c>
    </row>
    <row r="19" spans="1:29" ht="15">
      <c r="A19" s="426"/>
      <c r="B19" s="1380"/>
      <c r="C19" s="2592"/>
      <c r="D19" s="448"/>
      <c r="E19" s="2592"/>
      <c r="F19" s="451"/>
      <c r="G19" s="2592"/>
      <c r="H19" s="446"/>
      <c r="I19" s="445"/>
      <c r="J19" s="446"/>
      <c r="K19" s="1379"/>
      <c r="L19" s="1136"/>
      <c r="M19" s="1127"/>
      <c r="N19" s="1127"/>
      <c r="O19" s="1135"/>
      <c r="P19" s="3343"/>
      <c r="Q19" s="1804"/>
      <c r="R19" s="772"/>
      <c r="S19" s="773"/>
      <c r="T19" s="772"/>
      <c r="U19" s="773"/>
      <c r="V19" s="772"/>
      <c r="W19" s="773"/>
      <c r="X19" s="1807"/>
      <c r="Y19" s="3343"/>
      <c r="Z19" s="1808"/>
      <c r="AA19" s="1805">
        <v>1</v>
      </c>
      <c r="AB19" s="1805">
        <v>1</v>
      </c>
      <c r="AC19" s="1805">
        <v>1</v>
      </c>
    </row>
    <row r="20" spans="1:29" ht="15">
      <c r="A20" s="426"/>
      <c r="B20" s="449" t="s">
        <v>2692</v>
      </c>
      <c r="C20" s="2591" t="str">
        <f>IF(B1="工业",估价对象房地状况!G7,估价对象房地状况!C9)</f>
        <v>一般</v>
      </c>
      <c r="D20" s="453">
        <v>100</v>
      </c>
      <c r="E20" s="455"/>
      <c r="F20" s="456">
        <f>SUMIF(67:67,E21,68:68)-SUMIF(67:67,C21,68:68)+100</f>
        <v>100</v>
      </c>
      <c r="G20" s="457"/>
      <c r="H20" s="448">
        <f>SUMIF(67:67,G21,68:68)-SUMIF(67:67,C21,68:68)+100</f>
        <v>100</v>
      </c>
      <c r="I20" s="450"/>
      <c r="J20" s="448">
        <f>SUMIF(67:67,I21,68:68)-SUMIF(67:67,C21,68:68)+100</f>
        <v>100</v>
      </c>
      <c r="K20" s="612"/>
      <c r="L20" s="1136"/>
      <c r="M20" s="1127"/>
      <c r="N20" s="1127"/>
      <c r="O20" s="1135"/>
      <c r="P20" s="3343"/>
      <c r="Q20" s="1804" t="str">
        <f>B20</f>
        <v>自然及人文环境</v>
      </c>
      <c r="R20" s="772" t="s">
        <v>17</v>
      </c>
      <c r="S20" s="773">
        <f>F20</f>
        <v>100</v>
      </c>
      <c r="T20" s="772" t="s">
        <v>17</v>
      </c>
      <c r="U20" s="773">
        <f>H20</f>
        <v>100</v>
      </c>
      <c r="V20" s="772" t="s">
        <v>17</v>
      </c>
      <c r="W20" s="773">
        <f>J20</f>
        <v>100</v>
      </c>
      <c r="X20" s="1807"/>
      <c r="Y20" s="3343"/>
      <c r="Z20" s="1808" t="str">
        <f>Q20</f>
        <v>自然及人文环境</v>
      </c>
      <c r="AA20" s="1805">
        <f t="shared" si="3"/>
        <v>1</v>
      </c>
      <c r="AB20" s="1805">
        <f t="shared" si="4"/>
        <v>1</v>
      </c>
      <c r="AC20" s="1805">
        <f t="shared" si="5"/>
        <v>1</v>
      </c>
    </row>
    <row r="21" spans="1:29" ht="15">
      <c r="A21" s="426"/>
      <c r="B21" s="454"/>
      <c r="C21" s="445"/>
      <c r="D21" s="446"/>
      <c r="E21" s="445"/>
      <c r="F21" s="447"/>
      <c r="G21" s="445"/>
      <c r="H21" s="446"/>
      <c r="I21" s="445"/>
      <c r="J21" s="446"/>
      <c r="K21" s="613"/>
      <c r="L21" s="1136"/>
      <c r="M21" s="1127"/>
      <c r="N21" s="1127"/>
      <c r="O21" s="1135"/>
      <c r="P21" s="3343"/>
      <c r="Q21" s="1804"/>
      <c r="R21" s="772"/>
      <c r="S21" s="773"/>
      <c r="T21" s="772"/>
      <c r="U21" s="773"/>
      <c r="V21" s="772"/>
      <c r="W21" s="773"/>
      <c r="X21" s="1807"/>
      <c r="Y21" s="3343"/>
      <c r="Z21" s="1808"/>
      <c r="AA21" s="1805">
        <v>1</v>
      </c>
      <c r="AB21" s="1805">
        <v>1</v>
      </c>
      <c r="AC21" s="1805">
        <v>1</v>
      </c>
    </row>
    <row r="22" spans="1:29" ht="15">
      <c r="A22" s="426"/>
      <c r="B22" s="449" t="s">
        <v>2693</v>
      </c>
      <c r="C22" s="614"/>
      <c r="D22" s="448">
        <v>100</v>
      </c>
      <c r="E22" s="614"/>
      <c r="F22" s="459">
        <f>SUMIF(69:69,E22,70:70)-SUMIF(69:69,C22,70:70)+100</f>
        <v>100</v>
      </c>
      <c r="G22" s="614"/>
      <c r="H22" s="433">
        <f>SUMIF(69:69,G22,70:70)-SUMIF(69:69,C22,70:70)+100</f>
        <v>100</v>
      </c>
      <c r="I22" s="614"/>
      <c r="J22" s="433">
        <f>SUMIF(69:69,I22,70:70)-SUMIF(69:69,C22,70:70)+100</f>
        <v>100</v>
      </c>
      <c r="K22" s="610"/>
      <c r="L22" s="1136"/>
      <c r="M22" s="1127"/>
      <c r="N22" s="1127"/>
      <c r="O22" s="1135"/>
      <c r="P22" s="3343"/>
      <c r="Q22" s="1804" t="str">
        <f>B22</f>
        <v>楼层</v>
      </c>
      <c r="R22" s="772" t="s">
        <v>17</v>
      </c>
      <c r="S22" s="773">
        <f>F22</f>
        <v>100</v>
      </c>
      <c r="T22" s="772" t="s">
        <v>17</v>
      </c>
      <c r="U22" s="773">
        <f>H22</f>
        <v>100</v>
      </c>
      <c r="V22" s="772" t="s">
        <v>17</v>
      </c>
      <c r="W22" s="773">
        <f>J22</f>
        <v>100</v>
      </c>
      <c r="X22" s="1807"/>
      <c r="Y22" s="3343"/>
      <c r="Z22" s="1808" t="str">
        <f>Q22</f>
        <v>楼层</v>
      </c>
      <c r="AA22" s="1805">
        <f t="shared" si="3"/>
        <v>1</v>
      </c>
      <c r="AB22" s="1805">
        <f t="shared" si="4"/>
        <v>1</v>
      </c>
      <c r="AC22" s="1805">
        <f t="shared" si="5"/>
        <v>1</v>
      </c>
    </row>
    <row r="23" spans="1:29" ht="15">
      <c r="A23" s="402"/>
      <c r="B23" s="2584">
        <v>111</v>
      </c>
      <c r="C23" s="430"/>
      <c r="D23" s="433">
        <v>100</v>
      </c>
      <c r="E23" s="432"/>
      <c r="F23" s="459">
        <f>SUMIF(71:71,E23,72:72)-SUMIF(71:71,C23,72:72)+100</f>
        <v>100</v>
      </c>
      <c r="G23" s="432"/>
      <c r="H23" s="433">
        <f>SUMIF(71:71,G23,72:72)-SUMIF(71:71,C23,72:72)+100</f>
        <v>100</v>
      </c>
      <c r="I23" s="432"/>
      <c r="J23" s="433">
        <f>SUMIF(71:71,I23,72:72)-SUMIF(71:71,C23,72:72)+100</f>
        <v>100</v>
      </c>
      <c r="K23" s="611"/>
      <c r="L23" s="1136"/>
      <c r="M23" s="1127"/>
      <c r="N23" s="1127"/>
      <c r="O23" s="1135"/>
      <c r="P23" s="3343"/>
      <c r="Q23" s="1804">
        <f>B23</f>
        <v>111</v>
      </c>
      <c r="R23" s="772" t="s">
        <v>17</v>
      </c>
      <c r="S23" s="773">
        <f>F23</f>
        <v>100</v>
      </c>
      <c r="T23" s="772" t="s">
        <v>17</v>
      </c>
      <c r="U23" s="773">
        <f>H23</f>
        <v>100</v>
      </c>
      <c r="V23" s="772" t="s">
        <v>17</v>
      </c>
      <c r="W23" s="773">
        <f>J23</f>
        <v>100</v>
      </c>
      <c r="X23" s="1807"/>
      <c r="Y23" s="3343"/>
      <c r="Z23" s="1808">
        <f>Q23</f>
        <v>111</v>
      </c>
      <c r="AA23" s="1805">
        <f t="shared" si="3"/>
        <v>1</v>
      </c>
      <c r="AB23" s="1805">
        <f t="shared" si="4"/>
        <v>1</v>
      </c>
      <c r="AC23" s="1805">
        <f t="shared" si="5"/>
        <v>1</v>
      </c>
    </row>
    <row r="24" spans="1:29" ht="15">
      <c r="A24" s="426"/>
      <c r="B24" s="2584">
        <v>111</v>
      </c>
      <c r="C24" s="430"/>
      <c r="D24" s="433">
        <v>100</v>
      </c>
      <c r="E24" s="432"/>
      <c r="F24" s="459">
        <f>SUMIF(73:73,E24,74:74)-SUMIF(73:73,C24,74:74)+100</f>
        <v>100</v>
      </c>
      <c r="G24" s="432"/>
      <c r="H24" s="433">
        <f>SUMIF(73:73,G24,74:74)-SUMIF(73:73,C24,74:74)+100</f>
        <v>100</v>
      </c>
      <c r="I24" s="432"/>
      <c r="J24" s="433">
        <f>SUMIF(73:73,I24,74:74)-SUMIF(73:73,C24,74:74)+100</f>
        <v>100</v>
      </c>
      <c r="K24" s="611"/>
      <c r="L24" s="1136"/>
      <c r="M24" s="1127"/>
      <c r="N24" s="1127"/>
      <c r="O24" s="1135"/>
      <c r="P24" s="3343"/>
      <c r="Q24" s="1804">
        <f t="shared" ref="Q24:Q34" si="11">B24</f>
        <v>111</v>
      </c>
      <c r="R24" s="772" t="s">
        <v>17</v>
      </c>
      <c r="S24" s="773">
        <f>F24</f>
        <v>100</v>
      </c>
      <c r="T24" s="772" t="s">
        <v>17</v>
      </c>
      <c r="U24" s="773">
        <f>H24</f>
        <v>100</v>
      </c>
      <c r="V24" s="772" t="s">
        <v>17</v>
      </c>
      <c r="W24" s="773">
        <f>J24</f>
        <v>100</v>
      </c>
      <c r="X24" s="1807"/>
      <c r="Y24" s="3343"/>
      <c r="Z24" s="1808">
        <f>Q24</f>
        <v>111</v>
      </c>
      <c r="AA24" s="1805">
        <f t="shared" si="3"/>
        <v>1</v>
      </c>
      <c r="AB24" s="1805">
        <f t="shared" si="4"/>
        <v>1</v>
      </c>
      <c r="AC24" s="1805">
        <f t="shared" si="5"/>
        <v>1</v>
      </c>
    </row>
    <row r="25" spans="1:29" s="115" customFormat="1" ht="15.75" thickBot="1">
      <c r="A25" s="429"/>
      <c r="B25" s="2584">
        <v>111</v>
      </c>
      <c r="C25" s="2682"/>
      <c r="D25" s="663">
        <v>100</v>
      </c>
      <c r="E25" s="2682"/>
      <c r="F25" s="664">
        <f>SUMIF(75:75,E25,76:76)-SUMIF(75:75,C25,76:76)+100</f>
        <v>100</v>
      </c>
      <c r="G25" s="2682"/>
      <c r="H25" s="663">
        <f>SUMIF(75:75,G25,76:76)-SUMIF(75:75,C25,76:76)+100</f>
        <v>100</v>
      </c>
      <c r="I25" s="2682"/>
      <c r="J25" s="663">
        <f>SUMIF(75:75,I25,76:76)-SUMIF(75:75,C25,76:76)+100</f>
        <v>100</v>
      </c>
      <c r="K25" s="611"/>
      <c r="L25" s="1128"/>
      <c r="M25" s="1129"/>
      <c r="N25" s="1129"/>
      <c r="O25" s="1130"/>
      <c r="P25" s="3343"/>
      <c r="Q25" s="1789">
        <f t="shared" si="11"/>
        <v>111</v>
      </c>
      <c r="R25" s="768" t="s">
        <v>17</v>
      </c>
      <c r="S25" s="769">
        <f>F25</f>
        <v>100</v>
      </c>
      <c r="T25" s="768" t="s">
        <v>17</v>
      </c>
      <c r="U25" s="769">
        <f>H25</f>
        <v>100</v>
      </c>
      <c r="V25" s="768" t="s">
        <v>17</v>
      </c>
      <c r="W25" s="769">
        <f>J25</f>
        <v>100</v>
      </c>
      <c r="X25" s="770"/>
      <c r="Y25" s="3343"/>
      <c r="Z25" s="55">
        <f>Q25</f>
        <v>111</v>
      </c>
      <c r="AA25" s="1805">
        <f>D25/F25</f>
        <v>1</v>
      </c>
      <c r="AB25" s="1805">
        <f>D25/H25</f>
        <v>1</v>
      </c>
      <c r="AC25" s="1805">
        <f>D25/J25</f>
        <v>1</v>
      </c>
    </row>
    <row r="26" spans="1:29" ht="28.5">
      <c r="A26" s="464" t="s">
        <v>2545</v>
      </c>
      <c r="B26" s="70" t="s">
        <v>2696</v>
      </c>
      <c r="C26" s="2663"/>
      <c r="D26" s="465">
        <v>100</v>
      </c>
      <c r="E26" s="2663"/>
      <c r="F26" s="665">
        <f>SUMIF(77:77,E26,78:78)-SUMIF(77:77,C26,78:78)+100</f>
        <v>100</v>
      </c>
      <c r="G26" s="2663"/>
      <c r="H26" s="465">
        <f>SUMIF(77:77,G26,78:78)-SUMIF(77:77,C26,78:78)+100</f>
        <v>100</v>
      </c>
      <c r="I26" s="2663"/>
      <c r="J26" s="465">
        <f>SUMIF(77:77,I26,78:78)-SUMIF(77:77,C26,78:78)+100</f>
        <v>100</v>
      </c>
      <c r="K26" s="610"/>
      <c r="L26" s="1136"/>
      <c r="M26" s="1127"/>
      <c r="N26" s="1127"/>
      <c r="O26" s="1135"/>
      <c r="P26" s="3344" t="s">
        <v>2547</v>
      </c>
      <c r="Q26" s="1804" t="str">
        <f t="shared" si="11"/>
        <v>公共部分装修</v>
      </c>
      <c r="R26" s="772" t="s">
        <v>17</v>
      </c>
      <c r="S26" s="773">
        <f t="shared" ref="S26:S34" si="12">F26</f>
        <v>100</v>
      </c>
      <c r="T26" s="772" t="s">
        <v>17</v>
      </c>
      <c r="U26" s="773">
        <f t="shared" ref="U26:U34" si="13">H26</f>
        <v>100</v>
      </c>
      <c r="V26" s="772" t="s">
        <v>17</v>
      </c>
      <c r="W26" s="773">
        <f t="shared" ref="W26:W34" si="14">J26</f>
        <v>100</v>
      </c>
      <c r="X26" s="1807"/>
      <c r="Y26" s="3345" t="s">
        <v>2547</v>
      </c>
      <c r="Z26" s="1808" t="str">
        <f t="shared" ref="Z26:Z34" si="15">Q26</f>
        <v>公共部分装修</v>
      </c>
      <c r="AA26" s="1805">
        <f t="shared" si="3"/>
        <v>1</v>
      </c>
      <c r="AB26" s="1805">
        <f t="shared" si="4"/>
        <v>1</v>
      </c>
      <c r="AC26" s="1805">
        <f t="shared" si="5"/>
        <v>1</v>
      </c>
    </row>
    <row r="27" spans="1:29" s="469" customFormat="1" ht="15">
      <c r="A27" s="466"/>
      <c r="B27" s="420" t="s">
        <v>2697</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4"/>
      <c r="M27" s="1137"/>
      <c r="N27" s="1137"/>
      <c r="O27" s="1138"/>
      <c r="P27" s="3345"/>
      <c r="Q27" s="774" t="str">
        <f t="shared" si="11"/>
        <v>成新率</v>
      </c>
      <c r="R27" s="775" t="s">
        <v>17</v>
      </c>
      <c r="S27" s="776" t="e">
        <f t="shared" si="12"/>
        <v>#N/A</v>
      </c>
      <c r="T27" s="775" t="s">
        <v>17</v>
      </c>
      <c r="U27" s="776" t="e">
        <f t="shared" si="13"/>
        <v>#N/A</v>
      </c>
      <c r="V27" s="775" t="s">
        <v>17</v>
      </c>
      <c r="W27" s="776" t="e">
        <f t="shared" si="14"/>
        <v>#N/A</v>
      </c>
      <c r="X27" s="777"/>
      <c r="Y27" s="3345"/>
      <c r="Z27" s="778" t="str">
        <f t="shared" si="15"/>
        <v>成新率</v>
      </c>
      <c r="AA27" s="1805" t="e">
        <f t="shared" si="3"/>
        <v>#N/A</v>
      </c>
      <c r="AB27" s="1805" t="e">
        <f t="shared" si="4"/>
        <v>#N/A</v>
      </c>
      <c r="AC27" s="1805" t="e">
        <f t="shared" si="5"/>
        <v>#N/A</v>
      </c>
    </row>
    <row r="28" spans="1:29" ht="15">
      <c r="A28" s="470"/>
      <c r="B28" s="420" t="s">
        <v>2698</v>
      </c>
      <c r="C28" s="458"/>
      <c r="D28" s="433">
        <v>100</v>
      </c>
      <c r="E28" s="458"/>
      <c r="F28" s="459">
        <f>SUMIF(82:82,E28,83:83)-SUMIF(82:82,C28,83:83)+100</f>
        <v>100</v>
      </c>
      <c r="G28" s="458"/>
      <c r="H28" s="433">
        <f>SUMIF(82:82,G28,83:83)-SUMIF(82:82,C28,83:83)+100</f>
        <v>100</v>
      </c>
      <c r="I28" s="458"/>
      <c r="J28" s="433">
        <f>SUMIF(82:82,I28,83:83)-SUMIF(82:82,C28,83:83)+100</f>
        <v>100</v>
      </c>
      <c r="K28" s="610"/>
      <c r="L28" s="1136"/>
      <c r="M28" s="1127"/>
      <c r="N28" s="1127"/>
      <c r="O28" s="1135"/>
      <c r="P28" s="3345"/>
      <c r="Q28" s="1804" t="str">
        <f t="shared" si="11"/>
        <v>物业等级</v>
      </c>
      <c r="R28" s="772" t="s">
        <v>17</v>
      </c>
      <c r="S28" s="773">
        <f t="shared" si="12"/>
        <v>100</v>
      </c>
      <c r="T28" s="772" t="s">
        <v>17</v>
      </c>
      <c r="U28" s="773">
        <f t="shared" si="13"/>
        <v>100</v>
      </c>
      <c r="V28" s="772" t="s">
        <v>17</v>
      </c>
      <c r="W28" s="773">
        <f t="shared" si="14"/>
        <v>100</v>
      </c>
      <c r="X28" s="1807"/>
      <c r="Y28" s="3345"/>
      <c r="Z28" s="1808" t="str">
        <f t="shared" si="15"/>
        <v>物业等级</v>
      </c>
      <c r="AA28" s="1805">
        <f t="shared" si="3"/>
        <v>1</v>
      </c>
      <c r="AB28" s="1805">
        <f t="shared" si="4"/>
        <v>1</v>
      </c>
      <c r="AC28" s="1805">
        <f t="shared" si="5"/>
        <v>1</v>
      </c>
    </row>
    <row r="29" spans="1:29" ht="15">
      <c r="A29" s="470"/>
      <c r="B29" s="420" t="s">
        <v>2718</v>
      </c>
      <c r="C29" s="655"/>
      <c r="D29" s="433">
        <v>100</v>
      </c>
      <c r="E29" s="655"/>
      <c r="F29" s="459">
        <f>SUMIF(84:84,E29,85:85)-SUMIF(84:84,C29,85:85)+100</f>
        <v>100</v>
      </c>
      <c r="G29" s="655"/>
      <c r="H29" s="433">
        <f>SUMIF(84:84,G29,85:85)-SUMIF(84:84,C29,85:85)+100</f>
        <v>100</v>
      </c>
      <c r="I29" s="655"/>
      <c r="J29" s="433">
        <f>SUMIF(84:84,I29,85:85)-SUMIF(84:84,C29,85:85)+100</f>
        <v>100</v>
      </c>
      <c r="K29" s="610"/>
      <c r="L29" s="1136"/>
      <c r="M29" s="1127"/>
      <c r="N29" s="1127"/>
      <c r="O29" s="1135"/>
      <c r="P29" s="3345"/>
      <c r="Q29" s="1804" t="str">
        <f t="shared" si="11"/>
        <v>有无电梯</v>
      </c>
      <c r="R29" s="772" t="s">
        <v>17</v>
      </c>
      <c r="S29" s="773">
        <f t="shared" si="12"/>
        <v>100</v>
      </c>
      <c r="T29" s="772" t="s">
        <v>17</v>
      </c>
      <c r="U29" s="773">
        <f t="shared" si="13"/>
        <v>100</v>
      </c>
      <c r="V29" s="772" t="s">
        <v>17</v>
      </c>
      <c r="W29" s="773">
        <f t="shared" si="14"/>
        <v>100</v>
      </c>
      <c r="X29" s="1807"/>
      <c r="Y29" s="3345"/>
      <c r="Z29" s="1808" t="str">
        <f t="shared" si="15"/>
        <v>有无电梯</v>
      </c>
      <c r="AA29" s="1805">
        <f t="shared" si="3"/>
        <v>1</v>
      </c>
      <c r="AB29" s="1805">
        <f t="shared" si="4"/>
        <v>1</v>
      </c>
      <c r="AC29" s="1805">
        <f t="shared" si="5"/>
        <v>1</v>
      </c>
    </row>
    <row r="30" spans="1:29" ht="15">
      <c r="A30" s="470"/>
      <c r="B30" s="420" t="s">
        <v>2719</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6"/>
      <c r="M30" s="1127"/>
      <c r="N30" s="1127"/>
      <c r="O30" s="1135"/>
      <c r="P30" s="3345"/>
      <c r="Q30" s="1804" t="str">
        <f t="shared" si="11"/>
        <v>建筑面积</v>
      </c>
      <c r="R30" s="772" t="s">
        <v>17</v>
      </c>
      <c r="S30" s="773" t="e">
        <f t="shared" si="12"/>
        <v>#N/A</v>
      </c>
      <c r="T30" s="772" t="s">
        <v>17</v>
      </c>
      <c r="U30" s="773" t="e">
        <f t="shared" si="13"/>
        <v>#N/A</v>
      </c>
      <c r="V30" s="772" t="s">
        <v>17</v>
      </c>
      <c r="W30" s="773" t="e">
        <f t="shared" si="14"/>
        <v>#N/A</v>
      </c>
      <c r="X30" s="1807"/>
      <c r="Y30" s="3345"/>
      <c r="Z30" s="1808" t="str">
        <f t="shared" si="15"/>
        <v>建筑面积</v>
      </c>
      <c r="AA30" s="1805" t="e">
        <f t="shared" si="3"/>
        <v>#N/A</v>
      </c>
      <c r="AB30" s="1805" t="e">
        <f t="shared" si="4"/>
        <v>#N/A</v>
      </c>
      <c r="AC30" s="1805" t="e">
        <f t="shared" si="5"/>
        <v>#N/A</v>
      </c>
    </row>
    <row r="31" spans="1:29" s="115" customFormat="1" ht="15">
      <c r="A31" s="471"/>
      <c r="B31" s="420" t="s">
        <v>2720</v>
      </c>
      <c r="C31" s="655"/>
      <c r="D31" s="134">
        <v>100</v>
      </c>
      <c r="E31" s="655"/>
      <c r="F31" s="459">
        <f>SUMIF(89:89,E31,90:90)-SUMIF(89:89,C31,90:90)+100</f>
        <v>100</v>
      </c>
      <c r="G31" s="655"/>
      <c r="H31" s="433">
        <f>SUMIF(89:89,G31,90:90)-SUMIF(89:89,C31,90:90)+100</f>
        <v>100</v>
      </c>
      <c r="I31" s="655"/>
      <c r="J31" s="433">
        <f>SUMIF(89:89,I31,90:90)-SUMIF(89:89,C31,90:90)+100</f>
        <v>100</v>
      </c>
      <c r="K31" s="610"/>
      <c r="L31" s="1128"/>
      <c r="M31" s="1129"/>
      <c r="N31" s="1129"/>
      <c r="O31" s="1130"/>
      <c r="P31" s="3345"/>
      <c r="Q31" s="1789" t="str">
        <f t="shared" si="11"/>
        <v>是否封闭</v>
      </c>
      <c r="R31" s="768" t="s">
        <v>17</v>
      </c>
      <c r="S31" s="769">
        <f t="shared" si="12"/>
        <v>100</v>
      </c>
      <c r="T31" s="768" t="s">
        <v>17</v>
      </c>
      <c r="U31" s="769">
        <f t="shared" si="13"/>
        <v>100</v>
      </c>
      <c r="V31" s="768" t="s">
        <v>17</v>
      </c>
      <c r="W31" s="769">
        <f t="shared" si="14"/>
        <v>100</v>
      </c>
      <c r="X31" s="770"/>
      <c r="Y31" s="3345"/>
      <c r="Z31" s="55" t="str">
        <f t="shared" si="15"/>
        <v>是否封闭</v>
      </c>
      <c r="AA31" s="771">
        <f t="shared" si="3"/>
        <v>1</v>
      </c>
      <c r="AB31" s="771">
        <f t="shared" si="4"/>
        <v>1</v>
      </c>
      <c r="AC31" s="771">
        <f t="shared" si="5"/>
        <v>1</v>
      </c>
    </row>
    <row r="32" spans="1:29" ht="15">
      <c r="A32" s="470"/>
      <c r="B32" s="2584">
        <v>111</v>
      </c>
      <c r="C32" s="430"/>
      <c r="D32" s="433">
        <v>100</v>
      </c>
      <c r="E32" s="467"/>
      <c r="F32" s="459">
        <f>SUMIF(91:91,E32,92:92)-SUMIF(91:91,C32,92:92)+100</f>
        <v>100</v>
      </c>
      <c r="G32" s="467"/>
      <c r="H32" s="433">
        <f>SUMIF(91:91,G32,92:92)-SUMIF(91:91,C32,92:92)+100</f>
        <v>100</v>
      </c>
      <c r="I32" s="467"/>
      <c r="J32" s="433">
        <f>SUMIF(91:91,I32,92:92)-SUMIF(91:91,C32,92:92)+100</f>
        <v>100</v>
      </c>
      <c r="K32" s="611"/>
      <c r="L32" s="1136"/>
      <c r="M32" s="1127"/>
      <c r="N32" s="1127"/>
      <c r="O32" s="1135"/>
      <c r="P32" s="3345" t="s">
        <v>2547</v>
      </c>
      <c r="Q32" s="1804">
        <f t="shared" si="11"/>
        <v>111</v>
      </c>
      <c r="R32" s="772" t="s">
        <v>17</v>
      </c>
      <c r="S32" s="773">
        <f t="shared" si="12"/>
        <v>100</v>
      </c>
      <c r="T32" s="772" t="s">
        <v>17</v>
      </c>
      <c r="U32" s="773">
        <f t="shared" si="13"/>
        <v>100</v>
      </c>
      <c r="V32" s="772" t="s">
        <v>17</v>
      </c>
      <c r="W32" s="773">
        <f t="shared" si="14"/>
        <v>100</v>
      </c>
      <c r="X32" s="1807"/>
      <c r="Y32" s="3345" t="s">
        <v>2547</v>
      </c>
      <c r="Z32" s="1808">
        <f t="shared" si="15"/>
        <v>111</v>
      </c>
      <c r="AA32" s="1805">
        <f t="shared" si="3"/>
        <v>1</v>
      </c>
      <c r="AB32" s="1805">
        <f t="shared" si="4"/>
        <v>1</v>
      </c>
      <c r="AC32" s="1805">
        <f t="shared" si="5"/>
        <v>1</v>
      </c>
    </row>
    <row r="33" spans="1:29" ht="15">
      <c r="A33" s="470"/>
      <c r="B33" s="2584">
        <v>111</v>
      </c>
      <c r="C33" s="430"/>
      <c r="D33" s="433">
        <v>100</v>
      </c>
      <c r="E33" s="467"/>
      <c r="F33" s="459">
        <f>SUMIF(93:93,E33,94:94)-SUMIF(93:93,C33,94:94)+100</f>
        <v>100</v>
      </c>
      <c r="G33" s="467"/>
      <c r="H33" s="433">
        <f>SUMIF(93:93,G33,94:94)-SUMIF(93:93,C33,94:94)+100</f>
        <v>100</v>
      </c>
      <c r="I33" s="467"/>
      <c r="J33" s="433">
        <f>SUMIF(93:93,I33,94:94)-SUMIF(93:93,C33,94:94)+100</f>
        <v>100</v>
      </c>
      <c r="K33" s="611"/>
      <c r="L33" s="1136"/>
      <c r="M33" s="1127"/>
      <c r="N33" s="1127"/>
      <c r="O33" s="1135"/>
      <c r="P33" s="3345"/>
      <c r="Q33" s="1804">
        <f t="shared" si="11"/>
        <v>111</v>
      </c>
      <c r="R33" s="772" t="s">
        <v>17</v>
      </c>
      <c r="S33" s="773">
        <f t="shared" si="12"/>
        <v>100</v>
      </c>
      <c r="T33" s="772" t="s">
        <v>17</v>
      </c>
      <c r="U33" s="773">
        <f t="shared" si="13"/>
        <v>100</v>
      </c>
      <c r="V33" s="772" t="s">
        <v>17</v>
      </c>
      <c r="W33" s="773">
        <f t="shared" si="14"/>
        <v>100</v>
      </c>
      <c r="X33" s="1807"/>
      <c r="Y33" s="3345"/>
      <c r="Z33" s="1808">
        <f t="shared" si="15"/>
        <v>111</v>
      </c>
      <c r="AA33" s="1805">
        <f t="shared" si="3"/>
        <v>1</v>
      </c>
      <c r="AB33" s="1805">
        <f t="shared" si="4"/>
        <v>1</v>
      </c>
      <c r="AC33" s="1805">
        <f t="shared" si="5"/>
        <v>1</v>
      </c>
    </row>
    <row r="34" spans="1:29" ht="15.75" thickBot="1">
      <c r="A34" s="476"/>
      <c r="B34" s="2586">
        <v>111</v>
      </c>
      <c r="C34" s="435"/>
      <c r="D34" s="436">
        <v>100</v>
      </c>
      <c r="E34" s="2681"/>
      <c r="F34" s="437">
        <f>SUMIF(95:95,E34,96:96)-SUMIF(95:95,C34,96:96)+100</f>
        <v>100</v>
      </c>
      <c r="G34" s="2681"/>
      <c r="H34" s="436">
        <f>SUMIF(95:95,G34,96:96)-SUMIF(95:95,C34,96:96)+100</f>
        <v>100</v>
      </c>
      <c r="I34" s="2681"/>
      <c r="J34" s="436">
        <f>SUMIF(95:95,I34,96:96)-SUMIF(95:95,C34,96:96)+100</f>
        <v>100</v>
      </c>
      <c r="K34" s="611"/>
      <c r="L34" s="1136"/>
      <c r="M34" s="1127"/>
      <c r="N34" s="1127"/>
      <c r="O34" s="1135"/>
      <c r="P34" s="3345"/>
      <c r="Q34" s="1804">
        <f t="shared" si="11"/>
        <v>111</v>
      </c>
      <c r="R34" s="772" t="s">
        <v>17</v>
      </c>
      <c r="S34" s="773">
        <f t="shared" si="12"/>
        <v>100</v>
      </c>
      <c r="T34" s="772" t="s">
        <v>17</v>
      </c>
      <c r="U34" s="773">
        <f t="shared" si="13"/>
        <v>100</v>
      </c>
      <c r="V34" s="772" t="s">
        <v>17</v>
      </c>
      <c r="W34" s="773">
        <f t="shared" si="14"/>
        <v>100</v>
      </c>
      <c r="X34" s="1807"/>
      <c r="Y34" s="3345"/>
      <c r="Z34" s="1808">
        <f t="shared" si="15"/>
        <v>111</v>
      </c>
      <c r="AA34" s="1805">
        <f t="shared" si="3"/>
        <v>1</v>
      </c>
      <c r="AB34" s="1805">
        <f t="shared" si="4"/>
        <v>1</v>
      </c>
      <c r="AC34" s="1805">
        <f t="shared" si="5"/>
        <v>1</v>
      </c>
    </row>
    <row r="35" spans="1:29" ht="15">
      <c r="A35" s="477" t="s">
        <v>2559</v>
      </c>
      <c r="B35" s="478"/>
      <c r="C35" s="1403" t="s">
        <v>1</v>
      </c>
      <c r="D35" s="1404"/>
      <c r="E35" s="1405"/>
      <c r="F35" s="1406"/>
      <c r="G35" s="1407"/>
      <c r="H35" s="1408"/>
      <c r="I35" s="1405"/>
      <c r="J35" s="1408"/>
      <c r="K35" s="781"/>
      <c r="L35" s="1139"/>
      <c r="M35" s="1140"/>
      <c r="N35" s="1127"/>
      <c r="O35" s="1140"/>
      <c r="P35" s="3340" t="str">
        <f>A35</f>
        <v>成交单价（元/平方米）</v>
      </c>
      <c r="Q35" s="3340"/>
      <c r="R35" s="3381">
        <f>E35</f>
        <v>0</v>
      </c>
      <c r="S35" s="3381"/>
      <c r="T35" s="3381">
        <f>G35</f>
        <v>0</v>
      </c>
      <c r="U35" s="3381"/>
      <c r="V35" s="3381">
        <f>I35</f>
        <v>0</v>
      </c>
      <c r="W35" s="3381"/>
      <c r="X35" s="757"/>
      <c r="Y35" s="779"/>
      <c r="Z35" s="757"/>
      <c r="AA35" s="757"/>
      <c r="AB35" s="757"/>
      <c r="AC35" s="757"/>
    </row>
    <row r="36" spans="1:29" ht="15.75" thickBot="1">
      <c r="A36" s="484" t="s">
        <v>2651</v>
      </c>
      <c r="B36" s="485"/>
      <c r="C36" s="1409" t="e">
        <f>R37</f>
        <v>#DIV/0!</v>
      </c>
      <c r="D36" s="1410"/>
      <c r="E36" s="1411" t="e">
        <f>R36</f>
        <v>#DIV/0!</v>
      </c>
      <c r="F36" s="1411"/>
      <c r="G36" s="1409" t="e">
        <f>T36</f>
        <v>#DIV/0!</v>
      </c>
      <c r="H36" s="1410"/>
      <c r="I36" s="1411" t="e">
        <f>V36</f>
        <v>#DIV/0!</v>
      </c>
      <c r="J36" s="1410"/>
      <c r="K36" s="782"/>
      <c r="L36" s="1139"/>
      <c r="M36" s="1140"/>
      <c r="N36" s="1127"/>
      <c r="O36" s="1140"/>
      <c r="P36" s="3340" t="str">
        <f>A36</f>
        <v>比较价值（元/平方米）</v>
      </c>
      <c r="Q36" s="3340"/>
      <c r="R36" s="3381" t="e">
        <f>IF(F1="售价",ROUND(PRODUCT(R35,AA7:AA34),0),ROUND(PRODUCT(R35,AA7:AA34),1))</f>
        <v>#DIV/0!</v>
      </c>
      <c r="S36" s="3381"/>
      <c r="T36" s="3381" t="e">
        <f>IF(F1="售价",ROUND(PRODUCT(T35,AB7:AB34),0),ROUND(PRODUCT(T35,AB7:AB34),1))</f>
        <v>#DIV/0!</v>
      </c>
      <c r="U36" s="3381"/>
      <c r="V36" s="3381" t="e">
        <f>IF(F1="售价",ROUND(PRODUCT(V35,AC7:AC34),0),ROUND(PRODUCT(V35,AC7:AC34),1))</f>
        <v>#DIV/0!</v>
      </c>
      <c r="W36" s="3381"/>
      <c r="X36" s="757"/>
      <c r="Y36" s="757"/>
      <c r="Z36" s="757"/>
      <c r="AA36" s="757"/>
      <c r="AB36" s="757"/>
      <c r="AC36" s="757"/>
    </row>
    <row r="37" spans="1:29" ht="15.75" thickBot="1">
      <c r="A37" s="490" t="s">
        <v>2652</v>
      </c>
      <c r="B37" s="491"/>
      <c r="C37" s="1413" t="e">
        <f>R37</f>
        <v>#DIV/0!</v>
      </c>
      <c r="D37" s="1413"/>
      <c r="E37" s="1413"/>
      <c r="F37" s="1413"/>
      <c r="G37" s="1413"/>
      <c r="H37" s="1413"/>
      <c r="I37" s="1413"/>
      <c r="J37" s="1413"/>
      <c r="K37" s="783"/>
      <c r="L37" s="1139"/>
      <c r="M37" s="1140"/>
      <c r="N37" s="1140"/>
      <c r="O37" s="1140"/>
      <c r="P37" s="3334" t="str">
        <f>A37</f>
        <v>估价对象XX用房的比较价值（楼面单价，元/平方米）</v>
      </c>
      <c r="Q37" s="3335"/>
      <c r="R37" s="3382" t="e">
        <f>IF(F1="售价",ROUND(AVERAGE(R36:V36),0),ROUND(AVERAGE(R36:V36),1))</f>
        <v>#DIV/0!</v>
      </c>
      <c r="S37" s="3382"/>
      <c r="T37" s="3382"/>
      <c r="U37" s="3382"/>
      <c r="V37" s="3382"/>
      <c r="W37" s="3382"/>
      <c r="X37" s="757"/>
      <c r="Y37" s="757"/>
      <c r="Z37" s="757"/>
      <c r="AA37" s="757"/>
      <c r="AB37" s="757"/>
      <c r="AC37" s="757"/>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5" t="s">
        <v>2653</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1"/>
      <c r="L40" s="1102"/>
      <c r="M40" s="1140"/>
      <c r="N40" s="1140"/>
      <c r="O40" s="1140"/>
    </row>
    <row r="41" spans="1:29" ht="13.5" customHeight="1">
      <c r="A41" s="1140"/>
      <c r="B41" s="1140"/>
      <c r="C41" s="495" t="s">
        <v>2654</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1"/>
      <c r="L41" s="1102"/>
      <c r="M41" s="1140"/>
      <c r="N41" s="1140"/>
      <c r="O41" s="1140"/>
    </row>
    <row r="42" spans="1:29" s="500" customFormat="1" ht="13.5" customHeight="1">
      <c r="A42" s="1141"/>
      <c r="B42" s="1141"/>
      <c r="C42" s="495" t="s">
        <v>2655</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4"/>
      <c r="L42" s="1145"/>
      <c r="M42" s="1141"/>
      <c r="N42" s="1141"/>
      <c r="O42" s="1141"/>
    </row>
    <row r="43" spans="1:29" s="500"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1" t="s">
        <v>2656</v>
      </c>
      <c r="B45" s="757"/>
      <c r="C45" s="762"/>
      <c r="D45" s="762"/>
      <c r="E45" s="762"/>
      <c r="F45" s="763"/>
      <c r="G45" s="763"/>
      <c r="H45" s="762"/>
      <c r="I45" s="762"/>
      <c r="J45" s="762"/>
      <c r="K45" s="764"/>
      <c r="L45" s="765"/>
      <c r="M45" s="762"/>
      <c r="N45" s="762"/>
      <c r="O45" s="762"/>
      <c r="P45" s="501"/>
      <c r="Q45" s="502"/>
    </row>
    <row r="46" spans="1:29" s="506" customFormat="1" ht="15">
      <c r="A46" s="503" t="s">
        <v>2530</v>
      </c>
      <c r="B46" s="504"/>
      <c r="C46" s="1568" t="str">
        <f>YEAR(C7)&amp;"-"&amp;MONTH(C7)</f>
        <v>2020-2</v>
      </c>
      <c r="D46" s="1569">
        <f>EDATE(C46,-1)</f>
        <v>43831</v>
      </c>
      <c r="E46" s="1569">
        <f t="shared" ref="E46:O46" si="16">EDATE(D46,-1)</f>
        <v>43800</v>
      </c>
      <c r="F46" s="1569">
        <f t="shared" si="16"/>
        <v>43770</v>
      </c>
      <c r="G46" s="1569">
        <f t="shared" si="16"/>
        <v>43739</v>
      </c>
      <c r="H46" s="1569">
        <f t="shared" si="16"/>
        <v>43709</v>
      </c>
      <c r="I46" s="1569">
        <f t="shared" si="16"/>
        <v>43678</v>
      </c>
      <c r="J46" s="1569">
        <f t="shared" si="16"/>
        <v>43647</v>
      </c>
      <c r="K46" s="1569">
        <f t="shared" si="16"/>
        <v>43617</v>
      </c>
      <c r="L46" s="1569">
        <f t="shared" si="16"/>
        <v>43586</v>
      </c>
      <c r="M46" s="1569">
        <f t="shared" si="16"/>
        <v>43556</v>
      </c>
      <c r="N46" s="1569">
        <f t="shared" si="16"/>
        <v>43525</v>
      </c>
      <c r="O46" s="1569">
        <f t="shared" si="16"/>
        <v>43497</v>
      </c>
      <c r="P46" s="505"/>
    </row>
    <row r="47" spans="1:29" s="115" customFormat="1" ht="15">
      <c r="A47" s="507"/>
      <c r="B47" s="508"/>
      <c r="C47" s="1567">
        <v>100</v>
      </c>
      <c r="D47" s="510"/>
      <c r="E47" s="510"/>
      <c r="F47" s="510"/>
      <c r="G47" s="510"/>
      <c r="H47" s="510"/>
      <c r="I47" s="510"/>
      <c r="J47" s="510"/>
      <c r="K47" s="510"/>
      <c r="L47" s="510"/>
      <c r="M47" s="511"/>
      <c r="N47" s="510"/>
      <c r="O47" s="512"/>
      <c r="P47" s="502"/>
    </row>
    <row r="48" spans="1:29" s="115" customFormat="1" ht="15.75" thickBot="1">
      <c r="A48" s="513" t="s">
        <v>2567</v>
      </c>
      <c r="B48" s="514"/>
      <c r="C48" s="515"/>
      <c r="D48" s="516"/>
      <c r="E48" s="516"/>
      <c r="F48" s="516"/>
      <c r="G48" s="516"/>
      <c r="H48" s="516"/>
      <c r="I48" s="516"/>
      <c r="J48" s="516"/>
      <c r="K48" s="516"/>
      <c r="L48" s="516"/>
      <c r="M48" s="517"/>
      <c r="N48" s="516"/>
      <c r="O48" s="518"/>
      <c r="P48" s="502"/>
      <c r="Q48" s="502"/>
    </row>
    <row r="49" spans="1:17" s="115" customFormat="1" ht="15">
      <c r="A49" s="519" t="s">
        <v>2532</v>
      </c>
      <c r="B49" s="508"/>
      <c r="C49" s="520" t="s">
        <v>2634</v>
      </c>
      <c r="D49" s="521"/>
      <c r="E49" s="521"/>
      <c r="F49" s="521"/>
      <c r="G49" s="521"/>
      <c r="H49" s="521"/>
      <c r="I49" s="521"/>
      <c r="J49" s="521"/>
      <c r="K49" s="521"/>
      <c r="L49" s="522"/>
      <c r="M49" s="523"/>
      <c r="N49" s="1147"/>
      <c r="O49" s="1147"/>
      <c r="P49" s="524"/>
      <c r="Q49" s="502"/>
    </row>
    <row r="50" spans="1:17" s="115" customFormat="1" ht="15.75" thickBot="1">
      <c r="A50" s="519"/>
      <c r="B50" s="508"/>
      <c r="C50" s="637">
        <v>100</v>
      </c>
      <c r="D50" s="510"/>
      <c r="E50" s="510"/>
      <c r="F50" s="510"/>
      <c r="G50" s="510"/>
      <c r="H50" s="510"/>
      <c r="I50" s="510"/>
      <c r="J50" s="510"/>
      <c r="K50" s="510"/>
      <c r="L50" s="510"/>
      <c r="M50" s="512"/>
      <c r="N50" s="1147"/>
      <c r="O50" s="1147"/>
      <c r="P50" s="502"/>
      <c r="Q50" s="502"/>
    </row>
    <row r="51" spans="1:17">
      <c r="A51" s="525" t="s">
        <v>2570</v>
      </c>
      <c r="B51" s="526" t="s">
        <v>2536</v>
      </c>
      <c r="C51" s="527">
        <f>C9</f>
        <v>0</v>
      </c>
      <c r="D51" s="528"/>
      <c r="E51" s="528"/>
      <c r="F51" s="528"/>
      <c r="G51" s="528"/>
      <c r="H51" s="528"/>
      <c r="I51" s="528"/>
      <c r="J51" s="528"/>
      <c r="K51" s="529"/>
      <c r="L51" s="530"/>
      <c r="M51" s="531"/>
      <c r="N51" s="1148"/>
      <c r="O51" s="1148"/>
      <c r="P51" s="45"/>
      <c r="Q51" s="502"/>
    </row>
    <row r="52" spans="1:17" ht="15.75" thickBot="1">
      <c r="A52" s="532"/>
      <c r="B52" s="533"/>
      <c r="C52" s="534">
        <v>100</v>
      </c>
      <c r="D52" s="534"/>
      <c r="E52" s="534"/>
      <c r="F52" s="534"/>
      <c r="G52" s="534"/>
      <c r="H52" s="534"/>
      <c r="I52" s="534"/>
      <c r="J52" s="534"/>
      <c r="K52" s="534"/>
      <c r="L52" s="534"/>
      <c r="M52" s="535"/>
      <c r="N52" s="1149"/>
      <c r="O52" s="1149"/>
      <c r="P52" s="45"/>
      <c r="Q52" s="502"/>
    </row>
    <row r="53" spans="1:17" ht="27.75" thickTop="1">
      <c r="A53" s="532"/>
      <c r="B53" s="536" t="s">
        <v>2539</v>
      </c>
      <c r="C53" s="537" t="s">
        <v>2571</v>
      </c>
      <c r="D53" s="537" t="s">
        <v>2572</v>
      </c>
      <c r="E53" s="537" t="s">
        <v>2573</v>
      </c>
      <c r="F53" s="537" t="s">
        <v>2574</v>
      </c>
      <c r="G53" s="537" t="s">
        <v>2575</v>
      </c>
      <c r="H53" s="537" t="s">
        <v>2576</v>
      </c>
      <c r="I53" s="537" t="s">
        <v>2577</v>
      </c>
      <c r="J53" s="537"/>
      <c r="K53" s="538"/>
      <c r="L53" s="539"/>
      <c r="M53" s="540"/>
      <c r="N53" s="1148"/>
      <c r="O53" s="1148"/>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49"/>
      <c r="O54" s="1149"/>
      <c r="P54" s="45"/>
      <c r="Q54" s="502"/>
    </row>
    <row r="55" spans="1:17" ht="15.75" thickTop="1">
      <c r="A55" s="532"/>
      <c r="B55" s="658">
        <f>B11</f>
        <v>111</v>
      </c>
      <c r="C55" s="547"/>
      <c r="D55" s="547"/>
      <c r="E55" s="547"/>
      <c r="F55" s="547"/>
      <c r="G55" s="547"/>
      <c r="H55" s="547"/>
      <c r="I55" s="547"/>
      <c r="J55" s="547"/>
      <c r="K55" s="548"/>
      <c r="L55" s="549"/>
      <c r="M55" s="550"/>
      <c r="N55" s="1148"/>
      <c r="O55" s="1148"/>
      <c r="P55" s="45"/>
      <c r="Q55" s="502"/>
    </row>
    <row r="56" spans="1:17" ht="15.75" thickBot="1">
      <c r="A56" s="532"/>
      <c r="B56" s="533"/>
      <c r="C56" s="558"/>
      <c r="D56" s="534"/>
      <c r="E56" s="534"/>
      <c r="F56" s="534"/>
      <c r="G56" s="534"/>
      <c r="H56" s="534"/>
      <c r="I56" s="534"/>
      <c r="J56" s="534"/>
      <c r="K56" s="534"/>
      <c r="L56" s="534"/>
      <c r="M56" s="535"/>
      <c r="N56" s="1149"/>
      <c r="O56" s="1149"/>
      <c r="P56" s="45"/>
      <c r="Q56" s="502"/>
    </row>
    <row r="57" spans="1:17" s="469" customFormat="1" ht="15.75" thickTop="1">
      <c r="A57" s="551"/>
      <c r="B57" s="536">
        <f>B12</f>
        <v>111</v>
      </c>
      <c r="C57" s="547"/>
      <c r="D57" s="547"/>
      <c r="E57" s="547"/>
      <c r="F57" s="547"/>
      <c r="G57" s="552"/>
      <c r="H57" s="553"/>
      <c r="I57" s="553"/>
      <c r="J57" s="553"/>
      <c r="K57" s="553"/>
      <c r="L57" s="554"/>
      <c r="M57" s="555"/>
      <c r="N57" s="1150"/>
      <c r="O57" s="1150"/>
      <c r="P57" s="556"/>
      <c r="Q57" s="557"/>
    </row>
    <row r="58" spans="1:17" s="469" customFormat="1" ht="15.75" thickBot="1">
      <c r="A58" s="551"/>
      <c r="B58" s="541"/>
      <c r="C58" s="558"/>
      <c r="D58" s="534"/>
      <c r="E58" s="534"/>
      <c r="F58" s="534"/>
      <c r="G58" s="534"/>
      <c r="H58" s="534"/>
      <c r="I58" s="534"/>
      <c r="J58" s="534"/>
      <c r="K58" s="534"/>
      <c r="L58" s="534"/>
      <c r="M58" s="535"/>
      <c r="N58" s="1149"/>
      <c r="O58" s="1149"/>
      <c r="P58" s="556"/>
      <c r="Q58" s="557"/>
    </row>
    <row r="59" spans="1:17" s="469" customFormat="1" ht="15.75" thickTop="1">
      <c r="A59" s="551"/>
      <c r="B59" s="536">
        <f>B13</f>
        <v>111</v>
      </c>
      <c r="C59" s="547"/>
      <c r="D59" s="547"/>
      <c r="E59" s="547"/>
      <c r="F59" s="547"/>
      <c r="G59" s="552"/>
      <c r="H59" s="553"/>
      <c r="I59" s="553"/>
      <c r="J59" s="553"/>
      <c r="K59" s="553"/>
      <c r="L59" s="554"/>
      <c r="M59" s="555"/>
      <c r="N59" s="1150"/>
      <c r="O59" s="1150"/>
      <c r="P59" s="468"/>
      <c r="Q59" s="559"/>
    </row>
    <row r="60" spans="1:17" s="469" customFormat="1" ht="15.75" thickBot="1">
      <c r="A60" s="551"/>
      <c r="B60" s="541"/>
      <c r="C60" s="558"/>
      <c r="D60" s="558"/>
      <c r="E60" s="558"/>
      <c r="F60" s="558"/>
      <c r="G60" s="558"/>
      <c r="H60" s="560"/>
      <c r="I60" s="560"/>
      <c r="J60" s="560"/>
      <c r="K60" s="560"/>
      <c r="L60" s="560"/>
      <c r="M60" s="561"/>
      <c r="N60" s="1150"/>
      <c r="O60" s="1150"/>
      <c r="P60" s="556"/>
      <c r="Q60" s="557"/>
    </row>
    <row r="61" spans="1:17" ht="15" thickTop="1">
      <c r="A61" s="525" t="s">
        <v>2541</v>
      </c>
      <c r="B61" s="526" t="s">
        <v>2584</v>
      </c>
      <c r="C61" s="571" t="s">
        <v>2579</v>
      </c>
      <c r="D61" s="571" t="s">
        <v>2580</v>
      </c>
      <c r="E61" s="571" t="s">
        <v>2581</v>
      </c>
      <c r="F61" s="571" t="s">
        <v>2582</v>
      </c>
      <c r="G61" s="571" t="s">
        <v>2583</v>
      </c>
      <c r="H61" s="527"/>
      <c r="I61" s="527"/>
      <c r="J61" s="527"/>
      <c r="K61" s="572"/>
      <c r="L61" s="573"/>
      <c r="M61" s="574"/>
      <c r="N61" s="1148"/>
      <c r="O61" s="1148"/>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49"/>
      <c r="O62" s="1149"/>
      <c r="P62" s="45"/>
      <c r="Q62" s="502"/>
    </row>
    <row r="63" spans="1:17" ht="27.75" thickTop="1">
      <c r="A63" s="532"/>
      <c r="B63" s="536" t="s">
        <v>2721</v>
      </c>
      <c r="C63" s="576" t="s">
        <v>2579</v>
      </c>
      <c r="D63" s="576" t="s">
        <v>2580</v>
      </c>
      <c r="E63" s="576" t="s">
        <v>2581</v>
      </c>
      <c r="F63" s="576" t="s">
        <v>2582</v>
      </c>
      <c r="G63" s="576" t="s">
        <v>2583</v>
      </c>
      <c r="H63" s="537"/>
      <c r="I63" s="537"/>
      <c r="J63" s="537"/>
      <c r="K63" s="538"/>
      <c r="L63" s="539"/>
      <c r="M63" s="540"/>
      <c r="N63" s="1148"/>
      <c r="O63" s="1148"/>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49"/>
      <c r="O64" s="1149"/>
      <c r="P64" s="45"/>
      <c r="Q64" s="502"/>
    </row>
    <row r="65" spans="1:17" ht="15.75" thickTop="1">
      <c r="A65" s="532"/>
      <c r="B65" s="544" t="s">
        <v>2671</v>
      </c>
      <c r="C65" s="658" t="s">
        <v>2657</v>
      </c>
      <c r="D65" s="658" t="s">
        <v>2658</v>
      </c>
      <c r="E65" s="658" t="s">
        <v>2659</v>
      </c>
      <c r="F65" s="658" t="s">
        <v>2660</v>
      </c>
      <c r="G65" s="658" t="s">
        <v>2661</v>
      </c>
      <c r="H65" s="537"/>
      <c r="I65" s="537"/>
      <c r="J65" s="537"/>
      <c r="K65" s="537"/>
      <c r="L65" s="537"/>
      <c r="M65" s="1378"/>
      <c r="N65" s="1149"/>
      <c r="O65" s="1149"/>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49"/>
      <c r="O66" s="1149"/>
      <c r="P66" s="45"/>
      <c r="Q66" s="502"/>
    </row>
    <row r="67" spans="1:17" ht="15.75" thickTop="1">
      <c r="A67" s="532"/>
      <c r="B67" s="536" t="s">
        <v>2591</v>
      </c>
      <c r="C67" s="576" t="s">
        <v>2579</v>
      </c>
      <c r="D67" s="576" t="s">
        <v>2580</v>
      </c>
      <c r="E67" s="576" t="s">
        <v>2581</v>
      </c>
      <c r="F67" s="576" t="s">
        <v>2582</v>
      </c>
      <c r="G67" s="576" t="s">
        <v>2583</v>
      </c>
      <c r="H67" s="537"/>
      <c r="I67" s="537"/>
      <c r="J67" s="537"/>
      <c r="K67" s="538"/>
      <c r="L67" s="539"/>
      <c r="M67" s="540"/>
      <c r="N67" s="1148"/>
      <c r="O67" s="1148"/>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49"/>
      <c r="O68" s="1149"/>
      <c r="P68" s="45"/>
      <c r="Q68" s="502"/>
    </row>
    <row r="69" spans="1:17" ht="15.75" thickTop="1">
      <c r="A69" s="532"/>
      <c r="B69" s="536" t="s">
        <v>2710</v>
      </c>
      <c r="C69" s="552"/>
      <c r="D69" s="552"/>
      <c r="E69" s="552"/>
      <c r="F69" s="552"/>
      <c r="G69" s="552"/>
      <c r="H69" s="581"/>
      <c r="I69" s="581"/>
      <c r="J69" s="581"/>
      <c r="K69" s="582"/>
      <c r="L69" s="583"/>
      <c r="M69" s="584"/>
      <c r="N69" s="1148"/>
      <c r="O69" s="1148"/>
      <c r="P69" s="45"/>
      <c r="Q69" s="502"/>
    </row>
    <row r="70" spans="1:17" ht="15.75" thickBot="1">
      <c r="A70" s="532"/>
      <c r="B70" s="541"/>
      <c r="C70" s="542">
        <v>100</v>
      </c>
      <c r="D70" s="542">
        <f>C70-$K22</f>
        <v>100</v>
      </c>
      <c r="E70" s="542"/>
      <c r="F70" s="542"/>
      <c r="G70" s="542"/>
      <c r="H70" s="542"/>
      <c r="I70" s="542"/>
      <c r="J70" s="542"/>
      <c r="K70" s="542"/>
      <c r="L70" s="542"/>
      <c r="M70" s="543"/>
      <c r="N70" s="1149"/>
      <c r="O70" s="1149"/>
      <c r="P70" s="45"/>
      <c r="Q70" s="502"/>
    </row>
    <row r="71" spans="1:17" s="115" customFormat="1" ht="15.75" thickTop="1">
      <c r="A71" s="577"/>
      <c r="B71" s="536">
        <f>B23</f>
        <v>111</v>
      </c>
      <c r="C71" s="547"/>
      <c r="D71" s="547"/>
      <c r="E71" s="547"/>
      <c r="F71" s="547"/>
      <c r="G71" s="552"/>
      <c r="H71" s="552"/>
      <c r="I71" s="552"/>
      <c r="J71" s="552"/>
      <c r="K71" s="552"/>
      <c r="L71" s="578"/>
      <c r="M71" s="579"/>
      <c r="N71" s="1147"/>
      <c r="O71" s="1147"/>
      <c r="P71" s="45"/>
      <c r="Q71" s="502"/>
    </row>
    <row r="72" spans="1:17" s="115" customFormat="1" ht="15.75" thickBot="1">
      <c r="A72" s="577"/>
      <c r="B72" s="541"/>
      <c r="C72" s="558"/>
      <c r="D72" s="534"/>
      <c r="E72" s="534"/>
      <c r="F72" s="534"/>
      <c r="G72" s="534"/>
      <c r="H72" s="534"/>
      <c r="I72" s="534"/>
      <c r="J72" s="534"/>
      <c r="K72" s="534"/>
      <c r="L72" s="534"/>
      <c r="M72" s="535"/>
      <c r="N72" s="1149"/>
      <c r="O72" s="1149"/>
      <c r="P72" s="45"/>
      <c r="Q72" s="502"/>
    </row>
    <row r="73" spans="1:17" s="115" customFormat="1" ht="15.75" thickTop="1">
      <c r="A73" s="577"/>
      <c r="B73" s="536">
        <f>B24</f>
        <v>111</v>
      </c>
      <c r="C73" s="547"/>
      <c r="D73" s="547"/>
      <c r="E73" s="547"/>
      <c r="F73" s="547"/>
      <c r="G73" s="552"/>
      <c r="H73" s="552"/>
      <c r="I73" s="552"/>
      <c r="J73" s="552"/>
      <c r="K73" s="552"/>
      <c r="L73" s="552"/>
      <c r="M73" s="579"/>
      <c r="N73" s="1147"/>
      <c r="O73" s="1147"/>
      <c r="P73" s="45"/>
      <c r="Q73" s="502"/>
    </row>
    <row r="74" spans="1:17" s="115" customFormat="1" ht="15.75" thickBot="1">
      <c r="A74" s="577"/>
      <c r="B74" s="541"/>
      <c r="C74" s="558"/>
      <c r="D74" s="534"/>
      <c r="E74" s="534"/>
      <c r="F74" s="534"/>
      <c r="G74" s="534"/>
      <c r="H74" s="534"/>
      <c r="I74" s="534"/>
      <c r="J74" s="534"/>
      <c r="K74" s="534"/>
      <c r="L74" s="534"/>
      <c r="M74" s="535"/>
      <c r="N74" s="1149"/>
      <c r="O74" s="1149"/>
      <c r="P74" s="45"/>
      <c r="Q74" s="502"/>
    </row>
    <row r="75" spans="1:17" s="469" customFormat="1" ht="15.75" thickTop="1">
      <c r="A75" s="551"/>
      <c r="B75" s="536">
        <f>B25</f>
        <v>111</v>
      </c>
      <c r="C75" s="547"/>
      <c r="D75" s="547"/>
      <c r="E75" s="547"/>
      <c r="F75" s="547"/>
      <c r="G75" s="552"/>
      <c r="H75" s="553"/>
      <c r="I75" s="553"/>
      <c r="J75" s="553"/>
      <c r="K75" s="553"/>
      <c r="L75" s="554"/>
      <c r="M75" s="555"/>
      <c r="N75" s="1150"/>
      <c r="O75" s="1150"/>
      <c r="P75" s="556"/>
      <c r="Q75" s="557"/>
    </row>
    <row r="76" spans="1:17" s="469" customFormat="1" ht="15.75" thickBot="1">
      <c r="A76" s="551"/>
      <c r="B76" s="541"/>
      <c r="C76" s="558"/>
      <c r="D76" s="558"/>
      <c r="E76" s="558"/>
      <c r="F76" s="558"/>
      <c r="G76" s="534"/>
      <c r="H76" s="534"/>
      <c r="I76" s="534"/>
      <c r="J76" s="534"/>
      <c r="K76" s="534"/>
      <c r="L76" s="534"/>
      <c r="M76" s="535"/>
      <c r="N76" s="1150"/>
      <c r="O76" s="1150"/>
      <c r="P76" s="556"/>
      <c r="Q76" s="557"/>
    </row>
    <row r="77" spans="1:17" ht="15" thickTop="1">
      <c r="A77" s="525" t="s">
        <v>2545</v>
      </c>
      <c r="B77" s="526" t="s">
        <v>2598</v>
      </c>
      <c r="C77" s="552"/>
      <c r="D77" s="552"/>
      <c r="E77" s="528"/>
      <c r="F77" s="528"/>
      <c r="G77" s="528"/>
      <c r="H77" s="528"/>
      <c r="I77" s="528"/>
      <c r="J77" s="528"/>
      <c r="K77" s="529"/>
      <c r="L77" s="530"/>
      <c r="M77" s="531"/>
      <c r="N77" s="1148"/>
      <c r="O77" s="1148"/>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9"/>
      <c r="O78" s="1149"/>
      <c r="P78" s="45"/>
      <c r="Q78" s="502"/>
    </row>
    <row r="79" spans="1:17" ht="15.75" thickTop="1">
      <c r="A79" s="532"/>
      <c r="B79" s="536" t="s">
        <v>2713</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7"/>
      <c r="O79" s="1147"/>
      <c r="P79" s="45"/>
      <c r="Q79" s="502"/>
    </row>
    <row r="80" spans="1:17" ht="15">
      <c r="A80" s="532"/>
      <c r="B80" s="544"/>
      <c r="C80" s="601">
        <v>0.5</v>
      </c>
      <c r="D80" s="601">
        <v>0.6</v>
      </c>
      <c r="E80" s="601">
        <v>0.7</v>
      </c>
      <c r="F80" s="601">
        <v>0.8</v>
      </c>
      <c r="G80" s="601">
        <v>0.9</v>
      </c>
      <c r="H80" s="601">
        <v>1.0001</v>
      </c>
      <c r="I80" s="658"/>
      <c r="J80" s="658"/>
      <c r="K80" s="666"/>
      <c r="L80" s="667"/>
      <c r="M80" s="668"/>
      <c r="N80" s="1147"/>
      <c r="O80" s="1147"/>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9"/>
      <c r="O81" s="1149"/>
      <c r="P81" s="556"/>
      <c r="Q81" s="557"/>
    </row>
    <row r="82" spans="1:17" ht="15" thickTop="1">
      <c r="A82" s="597"/>
      <c r="B82" s="544" t="s">
        <v>2714</v>
      </c>
      <c r="C82" s="552"/>
      <c r="D82" s="552"/>
      <c r="E82" s="581"/>
      <c r="F82" s="581"/>
      <c r="G82" s="581"/>
      <c r="H82" s="581"/>
      <c r="I82" s="581"/>
      <c r="J82" s="581"/>
      <c r="K82" s="582"/>
      <c r="L82" s="583"/>
      <c r="M82" s="584"/>
      <c r="N82" s="1148"/>
      <c r="O82" s="1148"/>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9"/>
      <c r="O83" s="1149"/>
      <c r="P83" s="45"/>
      <c r="Q83" s="502"/>
    </row>
    <row r="84" spans="1:17" ht="15" thickTop="1">
      <c r="A84" s="597"/>
      <c r="B84" s="536" t="s">
        <v>2722</v>
      </c>
      <c r="C84" s="552"/>
      <c r="D84" s="552"/>
      <c r="E84" s="552"/>
      <c r="F84" s="552"/>
      <c r="G84" s="552"/>
      <c r="H84" s="552"/>
      <c r="I84" s="581"/>
      <c r="J84" s="581"/>
      <c r="K84" s="582"/>
      <c r="L84" s="583"/>
      <c r="M84" s="584"/>
      <c r="N84" s="1148"/>
      <c r="O84" s="1148"/>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9"/>
      <c r="O85" s="1149"/>
      <c r="P85" s="45"/>
      <c r="Q85" s="502"/>
    </row>
    <row r="86" spans="1:17" ht="15" thickTop="1">
      <c r="A86" s="597"/>
      <c r="B86" s="544" t="s">
        <v>2723</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8"/>
      <c r="O86" s="1148"/>
      <c r="P86" s="45"/>
      <c r="Q86" s="502"/>
    </row>
    <row r="87" spans="1:17">
      <c r="A87" s="597"/>
      <c r="B87" s="544"/>
      <c r="C87" s="593"/>
      <c r="D87" s="593"/>
      <c r="E87" s="593"/>
      <c r="F87" s="593"/>
      <c r="G87" s="593"/>
      <c r="H87" s="593"/>
      <c r="I87" s="593"/>
      <c r="J87" s="594"/>
      <c r="K87" s="594"/>
      <c r="L87" s="595"/>
      <c r="M87" s="596"/>
      <c r="N87" s="1148"/>
      <c r="O87" s="1148"/>
      <c r="P87" s="45"/>
      <c r="Q87" s="502"/>
    </row>
    <row r="88" spans="1:17" ht="15.75" thickBot="1">
      <c r="A88" s="532"/>
      <c r="B88" s="541"/>
      <c r="C88" s="558"/>
      <c r="D88" s="534"/>
      <c r="E88" s="534"/>
      <c r="F88" s="534"/>
      <c r="G88" s="534"/>
      <c r="H88" s="534"/>
      <c r="I88" s="534"/>
      <c r="J88" s="534"/>
      <c r="K88" s="534"/>
      <c r="L88" s="534"/>
      <c r="M88" s="534"/>
      <c r="N88" s="1149"/>
      <c r="O88" s="1149"/>
      <c r="P88" s="45"/>
      <c r="Q88" s="502"/>
    </row>
    <row r="89" spans="1:17" s="469" customFormat="1" ht="15" thickTop="1">
      <c r="A89" s="591"/>
      <c r="B89" s="536" t="s">
        <v>2724</v>
      </c>
      <c r="C89" s="552"/>
      <c r="D89" s="552"/>
      <c r="E89" s="552"/>
      <c r="F89" s="552"/>
      <c r="G89" s="552"/>
      <c r="H89" s="552"/>
      <c r="I89" s="552"/>
      <c r="J89" s="552"/>
      <c r="K89" s="552"/>
      <c r="L89" s="552"/>
      <c r="M89" s="579"/>
      <c r="N89" s="1150"/>
      <c r="O89" s="1150"/>
      <c r="P89" s="556"/>
      <c r="Q89" s="557"/>
    </row>
    <row r="90" spans="1:17" s="469" customFormat="1" ht="15.75" thickBot="1">
      <c r="A90" s="551"/>
      <c r="B90" s="541"/>
      <c r="C90" s="558"/>
      <c r="D90" s="534"/>
      <c r="E90" s="534"/>
      <c r="F90" s="534"/>
      <c r="G90" s="534"/>
      <c r="H90" s="534"/>
      <c r="I90" s="534"/>
      <c r="J90" s="534"/>
      <c r="K90" s="534"/>
      <c r="L90" s="534"/>
      <c r="M90" s="535"/>
      <c r="N90" s="1150"/>
      <c r="O90" s="1150"/>
      <c r="P90" s="556"/>
      <c r="Q90" s="557"/>
    </row>
    <row r="91" spans="1:17" ht="15" thickTop="1">
      <c r="A91" s="597"/>
      <c r="B91" s="536">
        <f>B32</f>
        <v>111</v>
      </c>
      <c r="C91" s="547"/>
      <c r="D91" s="547"/>
      <c r="E91" s="547"/>
      <c r="F91" s="547"/>
      <c r="G91" s="552"/>
      <c r="H91" s="553"/>
      <c r="I91" s="553"/>
      <c r="J91" s="553"/>
      <c r="K91" s="553"/>
      <c r="L91" s="554"/>
      <c r="M91" s="555"/>
      <c r="N91" s="1148"/>
      <c r="O91" s="1148"/>
      <c r="P91" s="45"/>
      <c r="Q91" s="502"/>
    </row>
    <row r="92" spans="1:17" ht="15.75" thickBot="1">
      <c r="A92" s="532"/>
      <c r="B92" s="541"/>
      <c r="C92" s="558"/>
      <c r="D92" s="534"/>
      <c r="E92" s="534"/>
      <c r="F92" s="534"/>
      <c r="G92" s="558"/>
      <c r="H92" s="560"/>
      <c r="I92" s="560"/>
      <c r="J92" s="560"/>
      <c r="K92" s="560"/>
      <c r="L92" s="560"/>
      <c r="M92" s="561"/>
      <c r="N92" s="1149"/>
      <c r="O92" s="1149"/>
      <c r="P92" s="45"/>
      <c r="Q92" s="502"/>
    </row>
    <row r="93" spans="1:17" ht="15" thickTop="1">
      <c r="A93" s="597"/>
      <c r="B93" s="536">
        <f>B33</f>
        <v>111</v>
      </c>
      <c r="C93" s="547"/>
      <c r="D93" s="547"/>
      <c r="E93" s="547"/>
      <c r="F93" s="547"/>
      <c r="G93" s="552"/>
      <c r="H93" s="553"/>
      <c r="I93" s="553"/>
      <c r="J93" s="553"/>
      <c r="K93" s="553"/>
      <c r="L93" s="554"/>
      <c r="M93" s="555"/>
      <c r="N93" s="1148"/>
      <c r="O93" s="1148"/>
      <c r="P93" s="45"/>
      <c r="Q93" s="502"/>
    </row>
    <row r="94" spans="1:17" ht="15.75" thickBot="1">
      <c r="A94" s="532"/>
      <c r="B94" s="541"/>
      <c r="C94" s="558"/>
      <c r="D94" s="534"/>
      <c r="E94" s="534"/>
      <c r="F94" s="534"/>
      <c r="G94" s="558"/>
      <c r="H94" s="560"/>
      <c r="I94" s="560"/>
      <c r="J94" s="560"/>
      <c r="K94" s="560"/>
      <c r="L94" s="560"/>
      <c r="M94" s="561"/>
      <c r="N94" s="1149"/>
      <c r="O94" s="1149"/>
      <c r="P94" s="45"/>
      <c r="Q94" s="502"/>
    </row>
    <row r="95" spans="1:17" ht="15" thickTop="1">
      <c r="A95" s="597"/>
      <c r="B95" s="634">
        <f>B34</f>
        <v>111</v>
      </c>
      <c r="C95" s="547"/>
      <c r="D95" s="547"/>
      <c r="E95" s="547"/>
      <c r="F95" s="547"/>
      <c r="G95" s="552"/>
      <c r="H95" s="553"/>
      <c r="I95" s="553"/>
      <c r="J95" s="553"/>
      <c r="K95" s="553"/>
      <c r="L95" s="554"/>
      <c r="M95" s="555"/>
      <c r="N95" s="1149"/>
      <c r="O95" s="1149"/>
      <c r="P95" s="635"/>
      <c r="Q95" s="636"/>
    </row>
    <row r="96" spans="1:17" ht="15.75" thickBot="1">
      <c r="A96" s="532"/>
      <c r="B96" s="541"/>
      <c r="C96" s="558"/>
      <c r="D96" s="558"/>
      <c r="E96" s="558"/>
      <c r="F96" s="558"/>
      <c r="G96" s="558"/>
      <c r="H96" s="560"/>
      <c r="I96" s="560"/>
      <c r="J96" s="560"/>
      <c r="K96" s="560"/>
      <c r="L96" s="560"/>
      <c r="M96" s="561"/>
      <c r="N96" s="1149"/>
      <c r="O96" s="1149"/>
      <c r="P96" s="45"/>
      <c r="Q96" s="502"/>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2725</v>
      </c>
      <c r="B1" s="393"/>
      <c r="C1" s="394" t="s">
        <v>2776</v>
      </c>
      <c r="D1" s="753"/>
      <c r="E1" s="753"/>
      <c r="F1" s="752" t="s">
        <v>2625</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2312</v>
      </c>
      <c r="B2" s="669" t="e">
        <f>F61</f>
        <v>#DIV/0!</v>
      </c>
      <c r="C2" s="1121"/>
      <c r="D2" s="1121"/>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6" customFormat="1" ht="28.5" customHeight="1" thickBot="1">
      <c r="A3" s="245" t="s">
        <v>2314</v>
      </c>
      <c r="B3" s="607" t="e">
        <f>ROUND(IF(D3="",B2*10000/'数据-汇总表'!E3,B2*10000/D3),0)</f>
        <v>#DIV/0!</v>
      </c>
      <c r="C3" s="245" t="s">
        <v>2727</v>
      </c>
      <c r="D3" s="1577"/>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399" t="s">
        <v>2627</v>
      </c>
      <c r="B4" s="400"/>
      <c r="C4" s="3337" t="s">
        <v>2628</v>
      </c>
      <c r="D4" s="3350"/>
      <c r="E4" s="3351" t="s">
        <v>2629</v>
      </c>
      <c r="F4" s="3352"/>
      <c r="G4" s="3337" t="s">
        <v>2630</v>
      </c>
      <c r="H4" s="3350"/>
      <c r="I4" s="3337" t="s">
        <v>2631</v>
      </c>
      <c r="J4" s="3350"/>
      <c r="K4" s="608" t="s">
        <v>2632</v>
      </c>
      <c r="L4" s="1126"/>
      <c r="M4" s="1127"/>
      <c r="N4" s="1127"/>
      <c r="O4" s="1127"/>
      <c r="P4" s="3353" t="s">
        <v>2633</v>
      </c>
      <c r="Q4" s="3354"/>
      <c r="R4" s="3359" t="s">
        <v>2629</v>
      </c>
      <c r="S4" s="3360"/>
      <c r="T4" s="3359" t="s">
        <v>2630</v>
      </c>
      <c r="U4" s="3360"/>
      <c r="V4" s="3346" t="s">
        <v>2631</v>
      </c>
      <c r="W4" s="3346"/>
      <c r="X4" s="1807"/>
      <c r="Y4" s="3359" t="s">
        <v>2633</v>
      </c>
      <c r="Z4" s="3360"/>
      <c r="AA4" s="3347" t="s">
        <v>2629</v>
      </c>
      <c r="AB4" s="3348" t="s">
        <v>2630</v>
      </c>
      <c r="AC4" s="3347" t="s">
        <v>2631</v>
      </c>
    </row>
    <row r="5" spans="1:29" ht="15">
      <c r="A5" s="402"/>
      <c r="B5" s="403"/>
      <c r="C5" s="3367" t="s">
        <v>2524</v>
      </c>
      <c r="D5" s="3368"/>
      <c r="E5" s="3374" t="s">
        <v>2525</v>
      </c>
      <c r="F5" s="3375"/>
      <c r="G5" s="3367" t="s">
        <v>2526</v>
      </c>
      <c r="H5" s="3368"/>
      <c r="I5" s="3367" t="s">
        <v>2527</v>
      </c>
      <c r="J5" s="3368"/>
      <c r="K5" s="608"/>
      <c r="L5" s="1126"/>
      <c r="M5" s="1127"/>
      <c r="N5" s="1127"/>
      <c r="O5" s="1127"/>
      <c r="P5" s="3355"/>
      <c r="Q5" s="3356"/>
      <c r="R5" s="3361"/>
      <c r="S5" s="3362"/>
      <c r="T5" s="3361"/>
      <c r="U5" s="3362"/>
      <c r="V5" s="3346"/>
      <c r="W5" s="3346"/>
      <c r="X5" s="1807"/>
      <c r="Y5" s="3361"/>
      <c r="Z5" s="3362"/>
      <c r="AA5" s="3348"/>
      <c r="AB5" s="3348"/>
      <c r="AC5" s="3348"/>
    </row>
    <row r="6" spans="1:29" ht="15.75" thickBot="1">
      <c r="A6" s="404"/>
      <c r="B6" s="405"/>
      <c r="C6" s="3426" t="s">
        <v>2777</v>
      </c>
      <c r="D6" s="3427"/>
      <c r="E6" s="3428" t="s">
        <v>2777</v>
      </c>
      <c r="F6" s="3429"/>
      <c r="G6" s="3426" t="s">
        <v>2777</v>
      </c>
      <c r="H6" s="3427"/>
      <c r="I6" s="3426" t="s">
        <v>2777</v>
      </c>
      <c r="J6" s="3427"/>
      <c r="K6" s="608" t="s">
        <v>2529</v>
      </c>
      <c r="L6" s="1126"/>
      <c r="M6" s="1127"/>
      <c r="N6" s="1127"/>
      <c r="O6" s="1127"/>
      <c r="P6" s="3357"/>
      <c r="Q6" s="3358"/>
      <c r="R6" s="3361"/>
      <c r="S6" s="3362"/>
      <c r="T6" s="3363"/>
      <c r="U6" s="3364"/>
      <c r="V6" s="3346"/>
      <c r="W6" s="3346"/>
      <c r="X6" s="1807"/>
      <c r="Y6" s="3363"/>
      <c r="Z6" s="3364"/>
      <c r="AA6" s="3349"/>
      <c r="AB6" s="3349"/>
      <c r="AC6" s="3349"/>
    </row>
    <row r="7" spans="1:29" s="115" customFormat="1" ht="15.75" thickBot="1">
      <c r="A7" s="406" t="s">
        <v>2530</v>
      </c>
      <c r="B7" s="407"/>
      <c r="C7" s="408">
        <f>'数据-取费表'!B2</f>
        <v>43878</v>
      </c>
      <c r="D7" s="409">
        <v>100</v>
      </c>
      <c r="E7" s="410"/>
      <c r="F7" s="411">
        <f>SUMIF(65:65,YEAR(E7)&amp;"-"&amp;INT((MONTH(E7)+2)/3),66:66)</f>
        <v>0</v>
      </c>
      <c r="G7" s="2680"/>
      <c r="H7" s="409">
        <f>SUMIF(65:65,YEAR(G7)&amp;"-"&amp;INT((MONTH(G7)+2)/3),66:66)</f>
        <v>0</v>
      </c>
      <c r="I7" s="2680"/>
      <c r="J7" s="409">
        <f>SUMIF(65:65,YEAR(I7)&amp;"-"&amp;INT((MONTH(I7)+2)/3),66:66)</f>
        <v>0</v>
      </c>
      <c r="K7" s="609"/>
      <c r="L7" s="1128"/>
      <c r="M7" s="1129"/>
      <c r="N7" s="1129"/>
      <c r="O7" s="1129"/>
      <c r="P7" s="3369" t="s">
        <v>2531</v>
      </c>
      <c r="Q7" s="3371"/>
      <c r="R7" s="768" t="s">
        <v>17</v>
      </c>
      <c r="S7" s="769">
        <f t="shared" ref="S7:S15" si="0">F7</f>
        <v>0</v>
      </c>
      <c r="T7" s="768" t="s">
        <v>17</v>
      </c>
      <c r="U7" s="769">
        <f t="shared" ref="U7:U15" si="1">H7</f>
        <v>0</v>
      </c>
      <c r="V7" s="768" t="s">
        <v>17</v>
      </c>
      <c r="W7" s="769">
        <f t="shared" ref="W7:W15" si="2">J7</f>
        <v>0</v>
      </c>
      <c r="X7" s="770"/>
      <c r="Y7" s="3369" t="s">
        <v>2531</v>
      </c>
      <c r="Z7" s="3370"/>
      <c r="AA7" s="771" t="e">
        <f>D7/F7</f>
        <v>#DIV/0!</v>
      </c>
      <c r="AB7" s="771" t="e">
        <f>D7/H7</f>
        <v>#DIV/0!</v>
      </c>
      <c r="AC7" s="771" t="e">
        <f>D7/J7</f>
        <v>#DIV/0!</v>
      </c>
    </row>
    <row r="8" spans="1:29" s="115" customFormat="1" ht="15.75" thickBot="1">
      <c r="A8" s="406" t="s">
        <v>2532</v>
      </c>
      <c r="B8" s="407"/>
      <c r="C8" s="412" t="s">
        <v>2533</v>
      </c>
      <c r="D8" s="409">
        <v>100</v>
      </c>
      <c r="E8" s="412"/>
      <c r="F8" s="411">
        <f>SUMIF(68:68,E8,69:69)-SUMIF(68:68,C8,69:69)+100</f>
        <v>0</v>
      </c>
      <c r="G8" s="412"/>
      <c r="H8" s="409">
        <f>SUMIF(68:68,G8,69:69)-SUMIF(68:68,C8,69:69)+100</f>
        <v>0</v>
      </c>
      <c r="I8" s="412"/>
      <c r="J8" s="409">
        <f>SUMIF(68:68,I8,69:69)-SUMIF(68:68,C8,69:69)+100</f>
        <v>0</v>
      </c>
      <c r="K8" s="609"/>
      <c r="L8" s="1128"/>
      <c r="M8" s="1129"/>
      <c r="N8" s="1129"/>
      <c r="O8" s="1129"/>
      <c r="P8" s="3369" t="s">
        <v>2534</v>
      </c>
      <c r="Q8" s="3370"/>
      <c r="R8" s="768" t="s">
        <v>17</v>
      </c>
      <c r="S8" s="769">
        <f t="shared" si="0"/>
        <v>0</v>
      </c>
      <c r="T8" s="768" t="s">
        <v>17</v>
      </c>
      <c r="U8" s="769">
        <f t="shared" si="1"/>
        <v>0</v>
      </c>
      <c r="V8" s="768" t="s">
        <v>17</v>
      </c>
      <c r="W8" s="769">
        <f t="shared" si="2"/>
        <v>0</v>
      </c>
      <c r="X8" s="770"/>
      <c r="Y8" s="3369" t="s">
        <v>2534</v>
      </c>
      <c r="Z8" s="3370"/>
      <c r="AA8" s="771" t="e">
        <f t="shared" ref="AA8:AA40" si="3">D8/F8</f>
        <v>#DIV/0!</v>
      </c>
      <c r="AB8" s="771" t="e">
        <f t="shared" ref="AB8:AB40" si="4">D8/H8</f>
        <v>#DIV/0!</v>
      </c>
      <c r="AC8" s="771" t="e">
        <f t="shared" ref="AC8:AC40" si="5">D8/J8</f>
        <v>#DIV/0!</v>
      </c>
    </row>
    <row r="9" spans="1:29" s="115" customFormat="1">
      <c r="A9" s="413" t="s">
        <v>2535</v>
      </c>
      <c r="B9" s="70" t="s">
        <v>2536</v>
      </c>
      <c r="C9" s="2683"/>
      <c r="D9" s="133">
        <v>100</v>
      </c>
      <c r="E9" s="2683"/>
      <c r="F9" s="133">
        <f>SUMIF(70:70,E9,71:71)-SUMIF(70:70,C9,71:71)+100</f>
        <v>100</v>
      </c>
      <c r="G9" s="2683"/>
      <c r="H9" s="133">
        <f>SUMIF(70:70,G9,71:71)-SUMIF(70:70,C9,71:71)+100</f>
        <v>100</v>
      </c>
      <c r="I9" s="2683"/>
      <c r="J9" s="133">
        <f>SUMIF(70:70,I9,71:71)-SUMIF(70:70,C9,71:71)+100</f>
        <v>100</v>
      </c>
      <c r="K9" s="609"/>
      <c r="L9" s="1128"/>
      <c r="M9" s="1129"/>
      <c r="N9" s="1129"/>
      <c r="O9" s="1130"/>
      <c r="P9" s="3340" t="s">
        <v>2537</v>
      </c>
      <c r="Q9" s="1789" t="str">
        <f t="shared" ref="Q9:Q15" si="6">B9</f>
        <v>用途</v>
      </c>
      <c r="R9" s="768" t="s">
        <v>17</v>
      </c>
      <c r="S9" s="769">
        <f t="shared" si="0"/>
        <v>100</v>
      </c>
      <c r="T9" s="768" t="s">
        <v>17</v>
      </c>
      <c r="U9" s="769">
        <f t="shared" si="1"/>
        <v>100</v>
      </c>
      <c r="V9" s="768" t="s">
        <v>17</v>
      </c>
      <c r="W9" s="769">
        <f t="shared" si="2"/>
        <v>100</v>
      </c>
      <c r="X9" s="770"/>
      <c r="Y9" s="3168" t="s">
        <v>2538</v>
      </c>
      <c r="Z9" s="55" t="str">
        <f t="shared" ref="Z9:Z15" si="7">Q9</f>
        <v>用途</v>
      </c>
      <c r="AA9" s="771">
        <f t="shared" si="3"/>
        <v>1</v>
      </c>
      <c r="AB9" s="771">
        <f t="shared" si="4"/>
        <v>1</v>
      </c>
      <c r="AC9" s="771">
        <f t="shared" si="5"/>
        <v>1</v>
      </c>
    </row>
    <row r="10" spans="1:29" s="425" customFormat="1" ht="27">
      <c r="A10" s="419"/>
      <c r="B10" s="420" t="s">
        <v>2539</v>
      </c>
      <c r="C10" s="430"/>
      <c r="D10" s="134">
        <v>100</v>
      </c>
      <c r="E10" s="430"/>
      <c r="F10" s="134">
        <f>ROUND(100/'数据-取费表'!G16,0)</f>
        <v>101</v>
      </c>
      <c r="G10" s="430"/>
      <c r="H10" s="134">
        <f>ROUND(100/'数据-取费表'!G16,0)</f>
        <v>101</v>
      </c>
      <c r="I10" s="430"/>
      <c r="J10" s="134">
        <f>ROUND(100/'数据-取费表'!G16,0)</f>
        <v>101</v>
      </c>
      <c r="K10" s="670"/>
      <c r="L10" s="1131"/>
      <c r="M10" s="1132"/>
      <c r="N10" s="1132"/>
      <c r="O10" s="1133"/>
      <c r="P10" s="3340"/>
      <c r="Q10" s="1789" t="str">
        <f t="shared" si="6"/>
        <v>土地使用年限（年）</v>
      </c>
      <c r="R10" s="768" t="s">
        <v>17</v>
      </c>
      <c r="S10" s="769">
        <f t="shared" si="0"/>
        <v>101</v>
      </c>
      <c r="T10" s="768" t="s">
        <v>17</v>
      </c>
      <c r="U10" s="769">
        <f t="shared" si="1"/>
        <v>101</v>
      </c>
      <c r="V10" s="768" t="s">
        <v>17</v>
      </c>
      <c r="W10" s="769">
        <f t="shared" si="2"/>
        <v>101</v>
      </c>
      <c r="X10" s="770"/>
      <c r="Y10" s="3168"/>
      <c r="Z10" s="55" t="str">
        <f t="shared" si="7"/>
        <v>土地使用年限（年）</v>
      </c>
      <c r="AA10" s="771">
        <f t="shared" si="3"/>
        <v>0.99009900990099009</v>
      </c>
      <c r="AB10" s="771">
        <f t="shared" si="4"/>
        <v>0.99009900990099009</v>
      </c>
      <c r="AC10" s="771">
        <f t="shared" si="5"/>
        <v>0.99009900990099009</v>
      </c>
    </row>
    <row r="11" spans="1:29" ht="15">
      <c r="A11" s="426"/>
      <c r="B11" s="420" t="s">
        <v>2540</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4"/>
      <c r="M11" s="1127"/>
      <c r="N11" s="1127"/>
      <c r="O11" s="1135"/>
      <c r="P11" s="3340"/>
      <c r="Q11" s="1789" t="str">
        <f t="shared" si="6"/>
        <v>容积率</v>
      </c>
      <c r="R11" s="768" t="s">
        <v>17</v>
      </c>
      <c r="S11" s="769" t="e">
        <f t="shared" si="0"/>
        <v>#N/A</v>
      </c>
      <c r="T11" s="768" t="s">
        <v>17</v>
      </c>
      <c r="U11" s="769" t="e">
        <f t="shared" si="1"/>
        <v>#N/A</v>
      </c>
      <c r="V11" s="768" t="s">
        <v>17</v>
      </c>
      <c r="W11" s="769" t="e">
        <f t="shared" si="2"/>
        <v>#N/A</v>
      </c>
      <c r="X11" s="770"/>
      <c r="Y11" s="3168"/>
      <c r="Z11" s="55" t="str">
        <f t="shared" si="7"/>
        <v>容积率</v>
      </c>
      <c r="AA11" s="771" t="e">
        <f t="shared" si="3"/>
        <v>#N/A</v>
      </c>
      <c r="AB11" s="771" t="e">
        <f t="shared" si="4"/>
        <v>#N/A</v>
      </c>
      <c r="AC11" s="771" t="e">
        <f t="shared" si="5"/>
        <v>#N/A</v>
      </c>
    </row>
    <row r="12" spans="1:29" s="115" customFormat="1" ht="15">
      <c r="A12" s="429"/>
      <c r="B12" s="2584">
        <v>111</v>
      </c>
      <c r="C12" s="430"/>
      <c r="D12" s="431">
        <v>100</v>
      </c>
      <c r="E12" s="547"/>
      <c r="F12" s="134">
        <f>SUMIF(77:77,E12,78:78)-SUMIF(77:77,C12,78:78)+100</f>
        <v>100</v>
      </c>
      <c r="G12" s="672"/>
      <c r="H12" s="134">
        <f>SUMIF(77:77,G12,78:78)-SUMIF(77:77,C12,78:78)+100</f>
        <v>100</v>
      </c>
      <c r="I12" s="547"/>
      <c r="J12" s="134">
        <f>SUMIF(77:77,I12,78:78)-SUMIF(77:77,C12,78:78)+100</f>
        <v>100</v>
      </c>
      <c r="K12" s="670"/>
      <c r="L12" s="1128"/>
      <c r="M12" s="1129"/>
      <c r="N12" s="1129"/>
      <c r="O12" s="1130"/>
      <c r="P12" s="3340"/>
      <c r="Q12" s="1789">
        <f t="shared" si="6"/>
        <v>111</v>
      </c>
      <c r="R12" s="768" t="s">
        <v>17</v>
      </c>
      <c r="S12" s="769">
        <f t="shared" si="0"/>
        <v>100</v>
      </c>
      <c r="T12" s="768" t="s">
        <v>17</v>
      </c>
      <c r="U12" s="769">
        <f t="shared" si="1"/>
        <v>100</v>
      </c>
      <c r="V12" s="768" t="s">
        <v>17</v>
      </c>
      <c r="W12" s="769">
        <f t="shared" si="2"/>
        <v>100</v>
      </c>
      <c r="X12" s="770"/>
      <c r="Y12" s="3168"/>
      <c r="Z12" s="55">
        <f t="shared" si="7"/>
        <v>111</v>
      </c>
      <c r="AA12" s="771">
        <f>D12/F12</f>
        <v>1</v>
      </c>
      <c r="AB12" s="771">
        <f>D12/H12</f>
        <v>1</v>
      </c>
      <c r="AC12" s="771">
        <f>D12/J12</f>
        <v>1</v>
      </c>
    </row>
    <row r="13" spans="1:29" ht="15">
      <c r="A13" s="426"/>
      <c r="B13" s="2584">
        <v>111</v>
      </c>
      <c r="C13" s="432"/>
      <c r="D13" s="433">
        <v>100</v>
      </c>
      <c r="E13" s="547"/>
      <c r="F13" s="134">
        <f>SUMIF(79:79,E13,80:80)-SUMIF(79:79,C13,80:80)+100</f>
        <v>100</v>
      </c>
      <c r="G13" s="672"/>
      <c r="H13" s="433">
        <f>SUMIF(79:79,G13,80:80)-SUMIF(79:79,C13,80:80)+100</f>
        <v>100</v>
      </c>
      <c r="I13" s="547"/>
      <c r="J13" s="433">
        <f>SUMIF(79:79,I13,80:80)-SUMIF(79:79,C13,80:80)+100</f>
        <v>100</v>
      </c>
      <c r="K13" s="670"/>
      <c r="L13" s="1136"/>
      <c r="M13" s="1127"/>
      <c r="N13" s="1127"/>
      <c r="O13" s="1135"/>
      <c r="P13" s="3340"/>
      <c r="Q13" s="1789">
        <f t="shared" si="6"/>
        <v>111</v>
      </c>
      <c r="R13" s="768" t="s">
        <v>17</v>
      </c>
      <c r="S13" s="769">
        <f t="shared" si="0"/>
        <v>100</v>
      </c>
      <c r="T13" s="768" t="s">
        <v>17</v>
      </c>
      <c r="U13" s="769">
        <f t="shared" si="1"/>
        <v>100</v>
      </c>
      <c r="V13" s="768" t="s">
        <v>17</v>
      </c>
      <c r="W13" s="769">
        <f t="shared" si="2"/>
        <v>100</v>
      </c>
      <c r="X13" s="770"/>
      <c r="Y13" s="3168"/>
      <c r="Z13" s="55">
        <f t="shared" si="7"/>
        <v>111</v>
      </c>
      <c r="AA13" s="771">
        <f t="shared" si="3"/>
        <v>1</v>
      </c>
      <c r="AB13" s="771">
        <f t="shared" si="4"/>
        <v>1</v>
      </c>
      <c r="AC13" s="771">
        <f t="shared" si="5"/>
        <v>1</v>
      </c>
    </row>
    <row r="14" spans="1:29" ht="15.75" thickBot="1">
      <c r="A14" s="434"/>
      <c r="B14" s="2586">
        <v>111</v>
      </c>
      <c r="C14" s="435"/>
      <c r="D14" s="436">
        <v>100</v>
      </c>
      <c r="E14" s="547"/>
      <c r="F14" s="436">
        <f>SUMIF(81:81,E14,82:82)-SUMIF(81:81,C14,82:82)+100</f>
        <v>100</v>
      </c>
      <c r="G14" s="672"/>
      <c r="H14" s="436">
        <f>SUMIF(81:81,G14,82:82)-SUMIF(81:81,C14,82:82)+100</f>
        <v>100</v>
      </c>
      <c r="I14" s="547"/>
      <c r="J14" s="436">
        <f>SUMIF(81:81,I14,82:82)-SUMIF(81:81,C14,82:82)+100</f>
        <v>100</v>
      </c>
      <c r="K14" s="670"/>
      <c r="L14" s="1136"/>
      <c r="M14" s="1127"/>
      <c r="N14" s="1127"/>
      <c r="O14" s="1135"/>
      <c r="P14" s="3340"/>
      <c r="Q14" s="1789">
        <f t="shared" si="6"/>
        <v>111</v>
      </c>
      <c r="R14" s="768" t="s">
        <v>17</v>
      </c>
      <c r="S14" s="769">
        <f t="shared" si="0"/>
        <v>100</v>
      </c>
      <c r="T14" s="768" t="s">
        <v>17</v>
      </c>
      <c r="U14" s="769">
        <f t="shared" si="1"/>
        <v>100</v>
      </c>
      <c r="V14" s="768" t="s">
        <v>17</v>
      </c>
      <c r="W14" s="769">
        <f t="shared" si="2"/>
        <v>100</v>
      </c>
      <c r="X14" s="770"/>
      <c r="Y14" s="3168"/>
      <c r="Z14" s="55">
        <f t="shared" si="7"/>
        <v>111</v>
      </c>
      <c r="AA14" s="771">
        <f t="shared" si="3"/>
        <v>1</v>
      </c>
      <c r="AB14" s="771">
        <f t="shared" si="4"/>
        <v>1</v>
      </c>
      <c r="AC14" s="771">
        <f t="shared" si="5"/>
        <v>1</v>
      </c>
    </row>
    <row r="15" spans="1:29" ht="15">
      <c r="A15" s="438" t="s">
        <v>2541</v>
      </c>
      <c r="B15" s="627" t="s">
        <v>2778</v>
      </c>
      <c r="C15" s="2677">
        <f>估价对象房地状况!G15</f>
        <v>0</v>
      </c>
      <c r="D15" s="439">
        <v>100</v>
      </c>
      <c r="E15" s="440"/>
      <c r="F15" s="439">
        <f>SUMIF(83:83,E16,84:84)-SUMIF(83:83,C16,84:84)+100</f>
        <v>100</v>
      </c>
      <c r="G15" s="440"/>
      <c r="H15" s="439">
        <f>SUMIF(83:83,G16,84:84)-SUMIF(83:83,C16,84:84)+100</f>
        <v>100</v>
      </c>
      <c r="I15" s="442"/>
      <c r="J15" s="439">
        <f>SUMIF(83:83,I16,84:84)-SUMIF(83:83,C16,84:84)+100</f>
        <v>100</v>
      </c>
      <c r="K15" s="671"/>
      <c r="L15" s="1136"/>
      <c r="M15" s="1127"/>
      <c r="N15" s="1127"/>
      <c r="O15" s="1135"/>
      <c r="P15" s="3342" t="s">
        <v>2542</v>
      </c>
      <c r="Q15" s="1804" t="str">
        <f t="shared" si="6"/>
        <v>产业集聚程度</v>
      </c>
      <c r="R15" s="772" t="s">
        <v>17</v>
      </c>
      <c r="S15" s="773">
        <f t="shared" si="0"/>
        <v>100</v>
      </c>
      <c r="T15" s="772" t="s">
        <v>17</v>
      </c>
      <c r="U15" s="773">
        <f t="shared" si="1"/>
        <v>100</v>
      </c>
      <c r="V15" s="772" t="s">
        <v>17</v>
      </c>
      <c r="W15" s="773">
        <f t="shared" si="2"/>
        <v>100</v>
      </c>
      <c r="X15" s="1807"/>
      <c r="Y15" s="3342" t="s">
        <v>2542</v>
      </c>
      <c r="Z15" s="1808" t="str">
        <f t="shared" si="7"/>
        <v>产业集聚程度</v>
      </c>
      <c r="AA15" s="1805">
        <f t="shared" si="3"/>
        <v>1</v>
      </c>
      <c r="AB15" s="1805">
        <f t="shared" si="4"/>
        <v>1</v>
      </c>
      <c r="AC15" s="1805">
        <f t="shared" si="5"/>
        <v>1</v>
      </c>
    </row>
    <row r="16" spans="1:29" ht="15">
      <c r="A16" s="426"/>
      <c r="B16" s="628"/>
      <c r="C16" s="445"/>
      <c r="D16" s="446"/>
      <c r="E16" s="2595"/>
      <c r="F16" s="446"/>
      <c r="G16" s="2595"/>
      <c r="H16" s="448"/>
      <c r="I16" s="2595"/>
      <c r="J16" s="446"/>
      <c r="K16" s="670"/>
      <c r="L16" s="1136"/>
      <c r="M16" s="1127"/>
      <c r="N16" s="1127"/>
      <c r="O16" s="1135"/>
      <c r="P16" s="3343"/>
      <c r="Q16" s="1804"/>
      <c r="R16" s="772"/>
      <c r="S16" s="773"/>
      <c r="T16" s="772"/>
      <c r="U16" s="773"/>
      <c r="V16" s="772"/>
      <c r="W16" s="773"/>
      <c r="X16" s="1807"/>
      <c r="Y16" s="3343"/>
      <c r="Z16" s="1808"/>
      <c r="AA16" s="1805">
        <v>1</v>
      </c>
      <c r="AB16" s="1805">
        <v>1</v>
      </c>
      <c r="AC16" s="1805">
        <v>1</v>
      </c>
    </row>
    <row r="17" spans="1:29" ht="15">
      <c r="A17" s="426"/>
      <c r="B17" s="629" t="s">
        <v>2691</v>
      </c>
      <c r="C17" s="2591">
        <f>估价对象房地状况!G16</f>
        <v>0</v>
      </c>
      <c r="D17" s="448">
        <v>100</v>
      </c>
      <c r="E17" s="450"/>
      <c r="F17" s="453">
        <f>SUMIF(85:85,E18,86:86)-SUMIF(85:85,C18,86:86)+100</f>
        <v>100</v>
      </c>
      <c r="G17" s="450"/>
      <c r="H17" s="453">
        <f>SUMIF(85:85,G18,86:86)-SUMIF(85:85,C18,86:86)+100</f>
        <v>100</v>
      </c>
      <c r="I17" s="452"/>
      <c r="J17" s="448">
        <f>SUMIF(85:85,I18,86:86)-SUMIF(85:85,C18,86:86)+100</f>
        <v>100</v>
      </c>
      <c r="K17" s="671"/>
      <c r="L17" s="1136"/>
      <c r="M17" s="1127"/>
      <c r="N17" s="1127"/>
      <c r="O17" s="1135"/>
      <c r="P17" s="3343"/>
      <c r="Q17" s="1804" t="str">
        <f>B17</f>
        <v>交通便捷度</v>
      </c>
      <c r="R17" s="772" t="s">
        <v>17</v>
      </c>
      <c r="S17" s="773">
        <f>F17</f>
        <v>100</v>
      </c>
      <c r="T17" s="772" t="s">
        <v>17</v>
      </c>
      <c r="U17" s="773">
        <f>H17</f>
        <v>100</v>
      </c>
      <c r="V17" s="772" t="s">
        <v>17</v>
      </c>
      <c r="W17" s="773">
        <f>J17</f>
        <v>100</v>
      </c>
      <c r="X17" s="1807"/>
      <c r="Y17" s="3343"/>
      <c r="Z17" s="1808" t="str">
        <f>Q17</f>
        <v>交通便捷度</v>
      </c>
      <c r="AA17" s="1805">
        <f t="shared" si="3"/>
        <v>1</v>
      </c>
      <c r="AB17" s="1805">
        <f t="shared" si="4"/>
        <v>1</v>
      </c>
      <c r="AC17" s="1805">
        <f t="shared" si="5"/>
        <v>1</v>
      </c>
    </row>
    <row r="18" spans="1:29" ht="15">
      <c r="A18" s="426"/>
      <c r="B18" s="630"/>
      <c r="C18" s="445"/>
      <c r="D18" s="446"/>
      <c r="E18" s="2589"/>
      <c r="F18" s="446"/>
      <c r="G18" s="2589"/>
      <c r="H18" s="446"/>
      <c r="I18" s="2588"/>
      <c r="J18" s="446"/>
      <c r="K18" s="670"/>
      <c r="L18" s="1136"/>
      <c r="M18" s="1127"/>
      <c r="N18" s="1127"/>
      <c r="O18" s="1135"/>
      <c r="P18" s="3343"/>
      <c r="Q18" s="1804"/>
      <c r="R18" s="772"/>
      <c r="S18" s="773"/>
      <c r="T18" s="772"/>
      <c r="U18" s="773"/>
      <c r="V18" s="772"/>
      <c r="W18" s="773"/>
      <c r="X18" s="1807"/>
      <c r="Y18" s="3343"/>
      <c r="Z18" s="1808"/>
      <c r="AA18" s="1805">
        <v>1</v>
      </c>
      <c r="AB18" s="1805">
        <v>1</v>
      </c>
      <c r="AC18" s="1805">
        <v>1</v>
      </c>
    </row>
    <row r="19" spans="1:29" ht="15">
      <c r="A19" s="426"/>
      <c r="B19" s="629" t="s">
        <v>2729</v>
      </c>
      <c r="C19" s="2591">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6"/>
      <c r="M19" s="1127"/>
      <c r="N19" s="1127"/>
      <c r="O19" s="1135"/>
      <c r="P19" s="3343"/>
      <c r="Q19" s="1804" t="str">
        <f t="shared" ref="Q19:Q33" si="8">B19</f>
        <v>区域土地利用方向</v>
      </c>
      <c r="R19" s="772" t="s">
        <v>17</v>
      </c>
      <c r="S19" s="773">
        <f>F19</f>
        <v>100</v>
      </c>
      <c r="T19" s="772" t="s">
        <v>17</v>
      </c>
      <c r="U19" s="773">
        <f>H19</f>
        <v>100</v>
      </c>
      <c r="V19" s="772" t="s">
        <v>17</v>
      </c>
      <c r="W19" s="773">
        <f>J19</f>
        <v>100</v>
      </c>
      <c r="X19" s="1807"/>
      <c r="Y19" s="3343"/>
      <c r="Z19" s="1808" t="str">
        <f>Q19</f>
        <v>区域土地利用方向</v>
      </c>
      <c r="AA19" s="1805">
        <f t="shared" si="3"/>
        <v>1</v>
      </c>
      <c r="AB19" s="1805">
        <f t="shared" si="4"/>
        <v>1</v>
      </c>
      <c r="AC19" s="1805">
        <f t="shared" si="5"/>
        <v>1</v>
      </c>
    </row>
    <row r="20" spans="1:29" ht="15">
      <c r="A20" s="402"/>
      <c r="B20" s="630"/>
      <c r="C20" s="445"/>
      <c r="D20" s="446"/>
      <c r="E20" s="2589"/>
      <c r="F20" s="446"/>
      <c r="G20" s="2589"/>
      <c r="H20" s="446"/>
      <c r="I20" s="2589"/>
      <c r="J20" s="446"/>
      <c r="K20" s="810"/>
      <c r="L20" s="1136"/>
      <c r="M20" s="1127"/>
      <c r="N20" s="1127"/>
      <c r="O20" s="1135"/>
      <c r="P20" s="3343"/>
      <c r="Q20" s="1804"/>
      <c r="R20" s="772"/>
      <c r="S20" s="773"/>
      <c r="T20" s="772"/>
      <c r="U20" s="773"/>
      <c r="V20" s="772"/>
      <c r="W20" s="773"/>
      <c r="X20" s="1807"/>
      <c r="Y20" s="3343"/>
      <c r="Z20" s="1808"/>
      <c r="AA20" s="1805"/>
      <c r="AB20" s="1805"/>
      <c r="AC20" s="1805"/>
    </row>
    <row r="21" spans="1:29" ht="15">
      <c r="A21" s="402"/>
      <c r="B21" s="629" t="s">
        <v>2779</v>
      </c>
      <c r="C21" s="2591">
        <f>估价对象房地状况!G18</f>
        <v>0</v>
      </c>
      <c r="D21" s="448">
        <v>100</v>
      </c>
      <c r="E21" s="450"/>
      <c r="F21" s="448">
        <f>SUMIF(89:89,E22,90:90)-SUMIF(89:89,C22,90:90)+100</f>
        <v>100</v>
      </c>
      <c r="G21" s="450"/>
      <c r="H21" s="448">
        <f>SUMIF(89:89,G22,90:90)-SUMIF(89:89,C22,90:90)+100</f>
        <v>100</v>
      </c>
      <c r="I21" s="452"/>
      <c r="J21" s="448">
        <f>SUMIF(89:89,I22,90:90)-SUMIF(89:89,C22,90:90)+100</f>
        <v>100</v>
      </c>
      <c r="K21" s="671"/>
      <c r="L21" s="1136"/>
      <c r="M21" s="1127"/>
      <c r="N21" s="1127"/>
      <c r="O21" s="1135"/>
      <c r="P21" s="3343"/>
      <c r="Q21" s="1804" t="str">
        <f t="shared" si="8"/>
        <v>环境状况</v>
      </c>
      <c r="R21" s="772" t="s">
        <v>17</v>
      </c>
      <c r="S21" s="773">
        <f>F21</f>
        <v>100</v>
      </c>
      <c r="T21" s="772" t="s">
        <v>17</v>
      </c>
      <c r="U21" s="773">
        <f>H21</f>
        <v>100</v>
      </c>
      <c r="V21" s="772" t="s">
        <v>17</v>
      </c>
      <c r="W21" s="773">
        <f>J21</f>
        <v>100</v>
      </c>
      <c r="X21" s="1807"/>
      <c r="Y21" s="3343"/>
      <c r="Z21" s="1808" t="str">
        <f>Q21</f>
        <v>环境状况</v>
      </c>
      <c r="AA21" s="1805">
        <f t="shared" si="3"/>
        <v>1</v>
      </c>
      <c r="AB21" s="1805">
        <f t="shared" si="4"/>
        <v>1</v>
      </c>
      <c r="AC21" s="1805">
        <f t="shared" si="5"/>
        <v>1</v>
      </c>
    </row>
    <row r="22" spans="1:29" ht="15">
      <c r="A22" s="402"/>
      <c r="B22" s="630"/>
      <c r="C22" s="445"/>
      <c r="D22" s="446"/>
      <c r="E22" s="2595"/>
      <c r="F22" s="446"/>
      <c r="G22" s="2595"/>
      <c r="H22" s="446"/>
      <c r="I22" s="445"/>
      <c r="J22" s="446"/>
      <c r="K22" s="670"/>
      <c r="L22" s="1136"/>
      <c r="M22" s="1127"/>
      <c r="N22" s="1127"/>
      <c r="O22" s="1135"/>
      <c r="P22" s="3343"/>
      <c r="Q22" s="1804"/>
      <c r="R22" s="772"/>
      <c r="S22" s="773"/>
      <c r="T22" s="772"/>
      <c r="U22" s="773"/>
      <c r="V22" s="772"/>
      <c r="W22" s="773"/>
      <c r="X22" s="1807"/>
      <c r="Y22" s="3343"/>
      <c r="Z22" s="1808"/>
      <c r="AA22" s="1805">
        <v>1</v>
      </c>
      <c r="AB22" s="1805">
        <v>1</v>
      </c>
      <c r="AC22" s="1805">
        <v>1</v>
      </c>
    </row>
    <row r="23" spans="1:29" s="115" customFormat="1" ht="15">
      <c r="A23" s="647"/>
      <c r="B23" s="631" t="s">
        <v>2636</v>
      </c>
      <c r="C23" s="2591">
        <f>估价对象房地状况!G19</f>
        <v>0</v>
      </c>
      <c r="D23" s="448">
        <v>100</v>
      </c>
      <c r="E23" s="450"/>
      <c r="F23" s="448">
        <f>SUMIF(91:91,E24,92:92)-SUMIF(91:91,C24,92:92)+100</f>
        <v>100</v>
      </c>
      <c r="G23" s="450"/>
      <c r="H23" s="448">
        <f>SUMIF(91:91,G24,92:92)-SUMIF(91:91,C24,92:92)+100</f>
        <v>100</v>
      </c>
      <c r="I23" s="452"/>
      <c r="J23" s="448">
        <f>SUMIF(91:91,I24,92:92)-SUMIF(91:91,C24,92:92)+100</f>
        <v>100</v>
      </c>
      <c r="K23" s="671"/>
      <c r="L23" s="1128"/>
      <c r="M23" s="1129"/>
      <c r="N23" s="1129"/>
      <c r="O23" s="1130"/>
      <c r="P23" s="3343"/>
      <c r="Q23" s="1789" t="str">
        <f t="shared" si="8"/>
        <v>公共配套设施</v>
      </c>
      <c r="R23" s="768" t="s">
        <v>17</v>
      </c>
      <c r="S23" s="769">
        <f>F23</f>
        <v>100</v>
      </c>
      <c r="T23" s="768" t="s">
        <v>17</v>
      </c>
      <c r="U23" s="769">
        <f>H23</f>
        <v>100</v>
      </c>
      <c r="V23" s="768" t="s">
        <v>17</v>
      </c>
      <c r="W23" s="769">
        <f>J23</f>
        <v>100</v>
      </c>
      <c r="X23" s="770"/>
      <c r="Y23" s="3343"/>
      <c r="Z23" s="55" t="str">
        <f>Q23</f>
        <v>公共配套设施</v>
      </c>
      <c r="AA23" s="1805">
        <f>D23/F23</f>
        <v>1</v>
      </c>
      <c r="AB23" s="1805">
        <f>D23/H23</f>
        <v>1</v>
      </c>
      <c r="AC23" s="1805">
        <f>D23/J23</f>
        <v>1</v>
      </c>
    </row>
    <row r="24" spans="1:29" s="115" customFormat="1" ht="15">
      <c r="A24" s="647"/>
      <c r="B24" s="630"/>
      <c r="C24" s="2684"/>
      <c r="D24" s="446"/>
      <c r="E24" s="2595"/>
      <c r="F24" s="446"/>
      <c r="G24" s="2595"/>
      <c r="H24" s="446"/>
      <c r="I24" s="445"/>
      <c r="J24" s="446"/>
      <c r="K24" s="670"/>
      <c r="L24" s="1128"/>
      <c r="M24" s="1129"/>
      <c r="N24" s="1129"/>
      <c r="O24" s="1130"/>
      <c r="P24" s="3343"/>
      <c r="Q24" s="1789"/>
      <c r="R24" s="768"/>
      <c r="S24" s="769"/>
      <c r="T24" s="768"/>
      <c r="U24" s="769"/>
      <c r="V24" s="768"/>
      <c r="W24" s="769"/>
      <c r="X24" s="770"/>
      <c r="Y24" s="3343"/>
      <c r="Z24" s="55"/>
      <c r="AA24" s="771">
        <v>1</v>
      </c>
      <c r="AB24" s="771">
        <v>1</v>
      </c>
      <c r="AC24" s="771">
        <v>1</v>
      </c>
    </row>
    <row r="25" spans="1:29" s="115" customFormat="1" ht="15">
      <c r="A25" s="647"/>
      <c r="B25" s="631" t="s">
        <v>2637</v>
      </c>
      <c r="C25" s="2591">
        <f>估价对象房地状况!G20</f>
        <v>0</v>
      </c>
      <c r="D25" s="448">
        <v>100</v>
      </c>
      <c r="E25" s="450"/>
      <c r="F25" s="448">
        <f>SUMIF(93:93,E26,94:94)-SUMIF(93:93,C26,94:94)+100</f>
        <v>100</v>
      </c>
      <c r="G25" s="450"/>
      <c r="H25" s="448">
        <f>SUMIF(93:93,G26,94:94)-SUMIF(93:93,C26,94:94)+100</f>
        <v>100</v>
      </c>
      <c r="I25" s="452"/>
      <c r="J25" s="448">
        <f>SUMIF(93:93,I26,94:94)-SUMIF(93:93,C26,94:94)+100</f>
        <v>100</v>
      </c>
      <c r="K25" s="671"/>
      <c r="L25" s="1128"/>
      <c r="M25" s="1129"/>
      <c r="N25" s="1129"/>
      <c r="O25" s="1130"/>
      <c r="P25" s="3343"/>
      <c r="Q25" s="1789" t="str">
        <f t="shared" ref="Q25" si="9">B25</f>
        <v>基础设施水平</v>
      </c>
      <c r="R25" s="768" t="s">
        <v>17</v>
      </c>
      <c r="S25" s="769">
        <f>F25</f>
        <v>100</v>
      </c>
      <c r="T25" s="768" t="s">
        <v>17</v>
      </c>
      <c r="U25" s="769">
        <f>H25</f>
        <v>100</v>
      </c>
      <c r="V25" s="768" t="s">
        <v>17</v>
      </c>
      <c r="W25" s="769">
        <f>J25</f>
        <v>100</v>
      </c>
      <c r="X25" s="770"/>
      <c r="Y25" s="3343"/>
      <c r="Z25" s="55" t="str">
        <f>Q25</f>
        <v>基础设施水平</v>
      </c>
      <c r="AA25" s="1805">
        <f>D25/F25</f>
        <v>1</v>
      </c>
      <c r="AB25" s="1805">
        <f>D25/H25</f>
        <v>1</v>
      </c>
      <c r="AC25" s="1805">
        <f>D25/J25</f>
        <v>1</v>
      </c>
    </row>
    <row r="26" spans="1:29" s="115" customFormat="1" ht="15">
      <c r="A26" s="647"/>
      <c r="B26" s="630"/>
      <c r="C26" s="2684"/>
      <c r="D26" s="446"/>
      <c r="E26" s="2685"/>
      <c r="F26" s="446"/>
      <c r="G26" s="2685"/>
      <c r="H26" s="446"/>
      <c r="I26" s="2685"/>
      <c r="J26" s="446"/>
      <c r="K26" s="670"/>
      <c r="L26" s="1128"/>
      <c r="M26" s="1129"/>
      <c r="N26" s="1129"/>
      <c r="O26" s="1130"/>
      <c r="P26" s="3343"/>
      <c r="Q26" s="1789"/>
      <c r="R26" s="768"/>
      <c r="S26" s="769"/>
      <c r="T26" s="768"/>
      <c r="U26" s="769"/>
      <c r="V26" s="768"/>
      <c r="W26" s="769"/>
      <c r="X26" s="770"/>
      <c r="Y26" s="3343"/>
      <c r="Z26" s="55"/>
      <c r="AA26" s="771">
        <v>1</v>
      </c>
      <c r="AB26" s="771">
        <v>1</v>
      </c>
      <c r="AC26" s="771">
        <v>1</v>
      </c>
    </row>
    <row r="27" spans="1:29" ht="15">
      <c r="A27" s="426"/>
      <c r="B27" s="630" t="s">
        <v>2638</v>
      </c>
      <c r="C27" s="614"/>
      <c r="D27" s="433">
        <v>100</v>
      </c>
      <c r="E27" s="632"/>
      <c r="F27" s="433">
        <f>SUMIF(95:95,E27,96:96)-SUMIF(95:95,C27,96:96)+100</f>
        <v>100</v>
      </c>
      <c r="G27" s="632"/>
      <c r="H27" s="433">
        <f>SUMIF(95:95,G27,96:96)-SUMIF(95:95,C27,96:96)+100</f>
        <v>100</v>
      </c>
      <c r="I27" s="632"/>
      <c r="J27" s="433">
        <f>SUMIF(95:95,I27,96:96)-SUMIF(95:95,C27,96:96)+100</f>
        <v>100</v>
      </c>
      <c r="K27" s="671"/>
      <c r="L27" s="1136"/>
      <c r="M27" s="1127"/>
      <c r="N27" s="1127"/>
      <c r="O27" s="1135"/>
      <c r="P27" s="3343"/>
      <c r="Q27" s="1804" t="str">
        <f t="shared" si="8"/>
        <v>临街状况</v>
      </c>
      <c r="R27" s="772" t="s">
        <v>17</v>
      </c>
      <c r="S27" s="773">
        <f t="shared" ref="S27:S40" si="10">F27</f>
        <v>100</v>
      </c>
      <c r="T27" s="772" t="s">
        <v>17</v>
      </c>
      <c r="U27" s="773">
        <f t="shared" ref="U27:U40" si="11">H27</f>
        <v>100</v>
      </c>
      <c r="V27" s="772" t="s">
        <v>17</v>
      </c>
      <c r="W27" s="773">
        <f t="shared" ref="W27:W40" si="12">J27</f>
        <v>100</v>
      </c>
      <c r="X27" s="1807"/>
      <c r="Y27" s="3343"/>
      <c r="Z27" s="1808" t="str">
        <f t="shared" ref="Z27:Z40" si="13">Q27</f>
        <v>临街状况</v>
      </c>
      <c r="AA27" s="1805">
        <f t="shared" si="3"/>
        <v>1</v>
      </c>
      <c r="AB27" s="1805">
        <f t="shared" si="4"/>
        <v>1</v>
      </c>
      <c r="AC27" s="1805">
        <f t="shared" si="5"/>
        <v>1</v>
      </c>
    </row>
    <row r="28" spans="1:29" ht="27">
      <c r="A28" s="426"/>
      <c r="B28" s="631" t="s">
        <v>2673</v>
      </c>
      <c r="C28" s="2697">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6"/>
      <c r="M28" s="1127"/>
      <c r="N28" s="1127"/>
      <c r="O28" s="1135"/>
      <c r="P28" s="3343"/>
      <c r="Q28" s="1804" t="str">
        <f t="shared" si="8"/>
        <v>毗邻道路的类型与等级</v>
      </c>
      <c r="R28" s="772" t="s">
        <v>17</v>
      </c>
      <c r="S28" s="773">
        <f t="shared" si="10"/>
        <v>100</v>
      </c>
      <c r="T28" s="772" t="s">
        <v>17</v>
      </c>
      <c r="U28" s="773">
        <f t="shared" si="11"/>
        <v>100</v>
      </c>
      <c r="V28" s="772" t="s">
        <v>17</v>
      </c>
      <c r="W28" s="773">
        <f t="shared" si="12"/>
        <v>100</v>
      </c>
      <c r="X28" s="1807"/>
      <c r="Y28" s="3343"/>
      <c r="Z28" s="1808" t="str">
        <f t="shared" si="13"/>
        <v>毗邻道路的类型与等级</v>
      </c>
      <c r="AA28" s="1805">
        <f t="shared" si="3"/>
        <v>1</v>
      </c>
      <c r="AB28" s="1805">
        <f t="shared" si="4"/>
        <v>1</v>
      </c>
      <c r="AC28" s="1805">
        <f t="shared" si="5"/>
        <v>1</v>
      </c>
    </row>
    <row r="29" spans="1:29" ht="15">
      <c r="A29" s="426"/>
      <c r="B29" s="630"/>
      <c r="C29" s="445"/>
      <c r="D29" s="446"/>
      <c r="E29" s="2595"/>
      <c r="F29" s="446"/>
      <c r="G29" s="2595"/>
      <c r="H29" s="446"/>
      <c r="I29" s="2595"/>
      <c r="J29" s="446"/>
      <c r="K29" s="611"/>
      <c r="L29" s="1136"/>
      <c r="M29" s="1127"/>
      <c r="N29" s="1127"/>
      <c r="O29" s="1135"/>
      <c r="P29" s="3343"/>
      <c r="Q29" s="1804"/>
      <c r="R29" s="772"/>
      <c r="S29" s="773"/>
      <c r="T29" s="772"/>
      <c r="U29" s="773"/>
      <c r="V29" s="772"/>
      <c r="W29" s="773"/>
      <c r="X29" s="1807"/>
      <c r="Y29" s="3343"/>
      <c r="Z29" s="1808"/>
      <c r="AA29" s="1805">
        <v>1</v>
      </c>
      <c r="AB29" s="1805">
        <v>1</v>
      </c>
      <c r="AC29" s="1805">
        <v>1</v>
      </c>
    </row>
    <row r="30" spans="1:29" ht="15">
      <c r="A30" s="426"/>
      <c r="B30" s="652" t="s">
        <v>2731</v>
      </c>
      <c r="C30" s="1385">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6"/>
      <c r="M30" s="1127"/>
      <c r="N30" s="1127"/>
      <c r="O30" s="1135"/>
      <c r="P30" s="3343"/>
      <c r="Q30" s="1804" t="str">
        <f t="shared" si="8"/>
        <v>土地级别</v>
      </c>
      <c r="R30" s="772" t="s">
        <v>17</v>
      </c>
      <c r="S30" s="773">
        <f t="shared" si="10"/>
        <v>100</v>
      </c>
      <c r="T30" s="772" t="s">
        <v>17</v>
      </c>
      <c r="U30" s="773">
        <f t="shared" si="11"/>
        <v>100</v>
      </c>
      <c r="V30" s="772" t="s">
        <v>17</v>
      </c>
      <c r="W30" s="773">
        <f t="shared" si="12"/>
        <v>100</v>
      </c>
      <c r="X30" s="1807"/>
      <c r="Y30" s="3343"/>
      <c r="Z30" s="1808" t="str">
        <f t="shared" si="13"/>
        <v>土地级别</v>
      </c>
      <c r="AA30" s="1805">
        <f t="shared" si="3"/>
        <v>1</v>
      </c>
      <c r="AB30" s="1805">
        <f t="shared" si="4"/>
        <v>1</v>
      </c>
      <c r="AC30" s="1805">
        <f t="shared" si="5"/>
        <v>1</v>
      </c>
    </row>
    <row r="31" spans="1:29" ht="15">
      <c r="A31" s="402"/>
      <c r="B31" s="2662">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6"/>
      <c r="M31" s="1127"/>
      <c r="N31" s="1127"/>
      <c r="O31" s="1135"/>
      <c r="P31" s="3343"/>
      <c r="Q31" s="1804">
        <f t="shared" si="8"/>
        <v>111</v>
      </c>
      <c r="R31" s="772" t="s">
        <v>17</v>
      </c>
      <c r="S31" s="773">
        <f t="shared" si="10"/>
        <v>100</v>
      </c>
      <c r="T31" s="772" t="s">
        <v>17</v>
      </c>
      <c r="U31" s="773">
        <f t="shared" si="11"/>
        <v>100</v>
      </c>
      <c r="V31" s="772" t="s">
        <v>17</v>
      </c>
      <c r="W31" s="773">
        <f t="shared" si="12"/>
        <v>100</v>
      </c>
      <c r="X31" s="1807"/>
      <c r="Y31" s="3343"/>
      <c r="Z31" s="1808">
        <f t="shared" si="13"/>
        <v>111</v>
      </c>
      <c r="AA31" s="1805">
        <f t="shared" si="3"/>
        <v>1</v>
      </c>
      <c r="AB31" s="1805">
        <f t="shared" si="4"/>
        <v>1</v>
      </c>
      <c r="AC31" s="1805">
        <f t="shared" si="5"/>
        <v>1</v>
      </c>
    </row>
    <row r="32" spans="1:29" ht="15">
      <c r="A32" s="673"/>
      <c r="B32" s="2698">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6"/>
      <c r="M32" s="1127"/>
      <c r="N32" s="1127"/>
      <c r="O32" s="1135"/>
      <c r="P32" s="3344" t="s">
        <v>2547</v>
      </c>
      <c r="Q32" s="1804">
        <f t="shared" si="8"/>
        <v>111</v>
      </c>
      <c r="R32" s="772" t="s">
        <v>17</v>
      </c>
      <c r="S32" s="773">
        <f t="shared" si="10"/>
        <v>100</v>
      </c>
      <c r="T32" s="772" t="s">
        <v>17</v>
      </c>
      <c r="U32" s="773">
        <f t="shared" si="11"/>
        <v>100</v>
      </c>
      <c r="V32" s="772" t="s">
        <v>17</v>
      </c>
      <c r="W32" s="773">
        <f t="shared" si="12"/>
        <v>100</v>
      </c>
      <c r="X32" s="1807"/>
      <c r="Y32" s="3345" t="s">
        <v>2547</v>
      </c>
      <c r="Z32" s="1808">
        <f t="shared" si="13"/>
        <v>111</v>
      </c>
      <c r="AA32" s="1805">
        <f t="shared" si="3"/>
        <v>1</v>
      </c>
      <c r="AB32" s="1805">
        <f t="shared" si="4"/>
        <v>1</v>
      </c>
      <c r="AC32" s="1805">
        <f t="shared" si="5"/>
        <v>1</v>
      </c>
    </row>
    <row r="33" spans="1:29" s="469" customFormat="1" ht="15.75" thickBot="1">
      <c r="A33" s="674"/>
      <c r="B33" s="2699">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4"/>
      <c r="M33" s="1137"/>
      <c r="N33" s="1137"/>
      <c r="O33" s="1138"/>
      <c r="P33" s="3345"/>
      <c r="Q33" s="1804">
        <f t="shared" si="8"/>
        <v>111</v>
      </c>
      <c r="R33" s="775" t="s">
        <v>17</v>
      </c>
      <c r="S33" s="776">
        <f t="shared" si="10"/>
        <v>100</v>
      </c>
      <c r="T33" s="775" t="s">
        <v>17</v>
      </c>
      <c r="U33" s="776">
        <f t="shared" si="11"/>
        <v>100</v>
      </c>
      <c r="V33" s="775" t="s">
        <v>17</v>
      </c>
      <c r="W33" s="776">
        <f t="shared" si="12"/>
        <v>100</v>
      </c>
      <c r="X33" s="777"/>
      <c r="Y33" s="3345"/>
      <c r="Z33" s="778">
        <f t="shared" si="13"/>
        <v>111</v>
      </c>
      <c r="AA33" s="1805">
        <f t="shared" si="3"/>
        <v>1</v>
      </c>
      <c r="AB33" s="1805">
        <f t="shared" si="4"/>
        <v>1</v>
      </c>
      <c r="AC33" s="1805">
        <f t="shared" si="5"/>
        <v>1</v>
      </c>
    </row>
    <row r="34" spans="1:29" ht="15">
      <c r="A34" s="438" t="s">
        <v>2545</v>
      </c>
      <c r="B34" s="454" t="s">
        <v>2732</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6"/>
      <c r="M34" s="1127"/>
      <c r="N34" s="1127"/>
      <c r="O34" s="1135"/>
      <c r="P34" s="3345"/>
      <c r="Q34" s="1804" t="str">
        <f>B34</f>
        <v>宗地面积</v>
      </c>
      <c r="R34" s="772" t="s">
        <v>17</v>
      </c>
      <c r="S34" s="773" t="e">
        <f t="shared" si="10"/>
        <v>#N/A</v>
      </c>
      <c r="T34" s="772" t="s">
        <v>17</v>
      </c>
      <c r="U34" s="773" t="e">
        <f t="shared" si="11"/>
        <v>#N/A</v>
      </c>
      <c r="V34" s="772" t="s">
        <v>17</v>
      </c>
      <c r="W34" s="773" t="e">
        <f t="shared" si="12"/>
        <v>#N/A</v>
      </c>
      <c r="X34" s="1807"/>
      <c r="Y34" s="3345"/>
      <c r="Z34" s="1808" t="str">
        <f t="shared" si="13"/>
        <v>宗地面积</v>
      </c>
      <c r="AA34" s="1805" t="e">
        <f t="shared" si="3"/>
        <v>#N/A</v>
      </c>
      <c r="AB34" s="1805" t="e">
        <f t="shared" si="4"/>
        <v>#N/A</v>
      </c>
      <c r="AC34" s="1805" t="e">
        <f t="shared" si="5"/>
        <v>#N/A</v>
      </c>
    </row>
    <row r="35" spans="1:29" ht="15">
      <c r="A35" s="470"/>
      <c r="B35" s="420" t="s">
        <v>2733</v>
      </c>
      <c r="C35" s="2597"/>
      <c r="D35" s="433">
        <v>100</v>
      </c>
      <c r="E35" s="2597"/>
      <c r="F35" s="433">
        <f>SUMIF(110:110,E35,111:111)-SUMIF(110:110,C35,111:111)+100</f>
        <v>100</v>
      </c>
      <c r="G35" s="2597"/>
      <c r="H35" s="433">
        <f>SUMIF(110:110,G35,111:111)-SUMIF(110:110,C35,111:111)+100</f>
        <v>100</v>
      </c>
      <c r="I35" s="2597"/>
      <c r="J35" s="433">
        <f>SUMIF(110:110,I35,111:111)-SUMIF(110:110,C35,111:111)+100</f>
        <v>100</v>
      </c>
      <c r="K35" s="610"/>
      <c r="L35" s="1136"/>
      <c r="M35" s="1127"/>
      <c r="N35" s="1127"/>
      <c r="O35" s="1135"/>
      <c r="P35" s="3345"/>
      <c r="Q35" s="1804" t="str">
        <f t="shared" ref="Q35:Q40" si="14">B35</f>
        <v>宗地形状</v>
      </c>
      <c r="R35" s="772" t="s">
        <v>17</v>
      </c>
      <c r="S35" s="773">
        <f t="shared" si="10"/>
        <v>100</v>
      </c>
      <c r="T35" s="772" t="s">
        <v>17</v>
      </c>
      <c r="U35" s="773">
        <f t="shared" si="11"/>
        <v>100</v>
      </c>
      <c r="V35" s="772" t="s">
        <v>17</v>
      </c>
      <c r="W35" s="773">
        <f t="shared" si="12"/>
        <v>100</v>
      </c>
      <c r="X35" s="1807"/>
      <c r="Y35" s="3345"/>
      <c r="Z35" s="1808" t="str">
        <f t="shared" si="13"/>
        <v>宗地形状</v>
      </c>
      <c r="AA35" s="1805">
        <f t="shared" si="3"/>
        <v>1</v>
      </c>
      <c r="AB35" s="1805">
        <f t="shared" si="4"/>
        <v>1</v>
      </c>
      <c r="AC35" s="1805">
        <f t="shared" si="5"/>
        <v>1</v>
      </c>
    </row>
    <row r="36" spans="1:29" s="115" customFormat="1" ht="15">
      <c r="A36" s="471"/>
      <c r="B36" s="420" t="s">
        <v>2735</v>
      </c>
      <c r="C36" s="2686"/>
      <c r="D36" s="134">
        <v>100</v>
      </c>
      <c r="E36" s="2686"/>
      <c r="F36" s="433">
        <f>SUMIF(112:112,E36,113:113)-SUMIF(112:112,C36,113:113)+100</f>
        <v>100</v>
      </c>
      <c r="G36" s="2686"/>
      <c r="H36" s="433">
        <f>SUMIF(112:112,G36,113:113)-SUMIF(112:112,C36,113:113)+100</f>
        <v>100</v>
      </c>
      <c r="I36" s="2686"/>
      <c r="J36" s="433">
        <f>SUMIF(112:112,I36,113:113)-SUMIF(112:112,C36,113:113)+100</f>
        <v>100</v>
      </c>
      <c r="K36" s="610"/>
      <c r="L36" s="1128"/>
      <c r="M36" s="1129"/>
      <c r="N36" s="1129"/>
      <c r="O36" s="1130"/>
      <c r="P36" s="3345"/>
      <c r="Q36" s="1804" t="str">
        <f t="shared" si="14"/>
        <v>宗地开发程度</v>
      </c>
      <c r="R36" s="768" t="s">
        <v>17</v>
      </c>
      <c r="S36" s="769">
        <f t="shared" si="10"/>
        <v>100</v>
      </c>
      <c r="T36" s="768" t="s">
        <v>17</v>
      </c>
      <c r="U36" s="769">
        <f t="shared" si="11"/>
        <v>100</v>
      </c>
      <c r="V36" s="768" t="s">
        <v>17</v>
      </c>
      <c r="W36" s="769">
        <f t="shared" si="12"/>
        <v>100</v>
      </c>
      <c r="X36" s="770"/>
      <c r="Y36" s="3345"/>
      <c r="Z36" s="55" t="str">
        <f t="shared" si="13"/>
        <v>宗地开发程度</v>
      </c>
      <c r="AA36" s="771">
        <f t="shared" si="3"/>
        <v>1</v>
      </c>
      <c r="AB36" s="771">
        <f t="shared" si="4"/>
        <v>1</v>
      </c>
      <c r="AC36" s="771">
        <f t="shared" si="5"/>
        <v>1</v>
      </c>
    </row>
    <row r="37" spans="1:29" ht="15">
      <c r="A37" s="470"/>
      <c r="B37" s="420" t="s">
        <v>2736</v>
      </c>
      <c r="C37" s="2597"/>
      <c r="D37" s="433">
        <v>100</v>
      </c>
      <c r="E37" s="2597"/>
      <c r="F37" s="433">
        <f>SUMIF(114:114,E37,115:115)-SUMIF(114:114,C37,115:115)+100</f>
        <v>100</v>
      </c>
      <c r="G37" s="2597"/>
      <c r="H37" s="433">
        <f>SUMIF(114:114,G37,115:115)-SUMIF(114:114,C37,115:115)+100</f>
        <v>100</v>
      </c>
      <c r="I37" s="2597"/>
      <c r="J37" s="433">
        <f>SUMIF(114:114,I37,115:115)-SUMIF(114:114,C37,115:115)+100</f>
        <v>100</v>
      </c>
      <c r="K37" s="610"/>
      <c r="L37" s="1136"/>
      <c r="M37" s="1127"/>
      <c r="N37" s="1127"/>
      <c r="O37" s="1135"/>
      <c r="P37" s="3345" t="s">
        <v>2547</v>
      </c>
      <c r="Q37" s="1804" t="str">
        <f t="shared" si="14"/>
        <v>工程地质条件</v>
      </c>
      <c r="R37" s="772" t="s">
        <v>17</v>
      </c>
      <c r="S37" s="773">
        <f t="shared" si="10"/>
        <v>100</v>
      </c>
      <c r="T37" s="772" t="s">
        <v>17</v>
      </c>
      <c r="U37" s="773">
        <f t="shared" si="11"/>
        <v>100</v>
      </c>
      <c r="V37" s="772" t="s">
        <v>17</v>
      </c>
      <c r="W37" s="773">
        <f t="shared" si="12"/>
        <v>100</v>
      </c>
      <c r="X37" s="1807"/>
      <c r="Y37" s="3345" t="s">
        <v>2547</v>
      </c>
      <c r="Z37" s="1808" t="str">
        <f t="shared" si="13"/>
        <v>工程地质条件</v>
      </c>
      <c r="AA37" s="1805">
        <f t="shared" si="3"/>
        <v>1</v>
      </c>
      <c r="AB37" s="1805">
        <f t="shared" si="4"/>
        <v>1</v>
      </c>
      <c r="AC37" s="1805">
        <f t="shared" si="5"/>
        <v>1</v>
      </c>
    </row>
    <row r="38" spans="1:29" ht="15">
      <c r="A38" s="470"/>
      <c r="B38" s="1383">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6"/>
      <c r="M38" s="1127"/>
      <c r="N38" s="1127"/>
      <c r="O38" s="1135"/>
      <c r="P38" s="3345"/>
      <c r="Q38" s="1804">
        <f t="shared" si="14"/>
        <v>111</v>
      </c>
      <c r="R38" s="772" t="s">
        <v>17</v>
      </c>
      <c r="S38" s="773">
        <f t="shared" si="10"/>
        <v>100</v>
      </c>
      <c r="T38" s="772" t="s">
        <v>17</v>
      </c>
      <c r="U38" s="773">
        <f t="shared" si="11"/>
        <v>100</v>
      </c>
      <c r="V38" s="772" t="s">
        <v>17</v>
      </c>
      <c r="W38" s="773">
        <f t="shared" si="12"/>
        <v>100</v>
      </c>
      <c r="X38" s="1807"/>
      <c r="Y38" s="3345"/>
      <c r="Z38" s="1808">
        <f t="shared" si="13"/>
        <v>111</v>
      </c>
      <c r="AA38" s="1805">
        <f t="shared" si="3"/>
        <v>1</v>
      </c>
      <c r="AB38" s="1805">
        <f t="shared" si="4"/>
        <v>1</v>
      </c>
      <c r="AC38" s="1805">
        <f t="shared" si="5"/>
        <v>1</v>
      </c>
    </row>
    <row r="39" spans="1:29" ht="15">
      <c r="A39" s="470"/>
      <c r="B39" s="1383">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6"/>
      <c r="M39" s="1127"/>
      <c r="N39" s="1127"/>
      <c r="O39" s="1135"/>
      <c r="P39" s="3345"/>
      <c r="Q39" s="1804">
        <f t="shared" si="14"/>
        <v>111</v>
      </c>
      <c r="R39" s="772" t="s">
        <v>17</v>
      </c>
      <c r="S39" s="773">
        <f t="shared" si="10"/>
        <v>100</v>
      </c>
      <c r="T39" s="772" t="s">
        <v>17</v>
      </c>
      <c r="U39" s="773">
        <f t="shared" si="11"/>
        <v>100</v>
      </c>
      <c r="V39" s="772" t="s">
        <v>17</v>
      </c>
      <c r="W39" s="773">
        <f t="shared" si="12"/>
        <v>100</v>
      </c>
      <c r="X39" s="1807"/>
      <c r="Y39" s="3345"/>
      <c r="Z39" s="1808">
        <f t="shared" si="13"/>
        <v>111</v>
      </c>
      <c r="AA39" s="1805">
        <f t="shared" si="3"/>
        <v>1</v>
      </c>
      <c r="AB39" s="1805">
        <f t="shared" si="4"/>
        <v>1</v>
      </c>
      <c r="AC39" s="1805">
        <f t="shared" si="5"/>
        <v>1</v>
      </c>
    </row>
    <row r="40" spans="1:29" s="469" customFormat="1" ht="15.75" thickBot="1">
      <c r="A40" s="466"/>
      <c r="B40" s="1383">
        <v>111</v>
      </c>
      <c r="C40" s="2687"/>
      <c r="D40" s="135">
        <v>100</v>
      </c>
      <c r="E40" s="672"/>
      <c r="F40" s="436">
        <f>SUMIF(120:120,E40,121:121)-SUMIF(120:120,C40,121:121)+100</f>
        <v>100</v>
      </c>
      <c r="G40" s="672"/>
      <c r="H40" s="436">
        <f>SUMIF(120:120,G40,121:121)-SUMIF(120:120,C40,121:121)+100</f>
        <v>100</v>
      </c>
      <c r="I40" s="547"/>
      <c r="J40" s="436">
        <f>SUMIF(120:120,I40,121:121)-SUMIF(120:120,C40,121:121)+100</f>
        <v>100</v>
      </c>
      <c r="K40" s="679"/>
      <c r="L40" s="1134"/>
      <c r="M40" s="1137"/>
      <c r="N40" s="1137"/>
      <c r="O40" s="1138"/>
      <c r="P40" s="3345"/>
      <c r="Q40" s="1804">
        <f t="shared" si="14"/>
        <v>111</v>
      </c>
      <c r="R40" s="775" t="s">
        <v>17</v>
      </c>
      <c r="S40" s="776">
        <f t="shared" si="10"/>
        <v>100</v>
      </c>
      <c r="T40" s="775" t="s">
        <v>17</v>
      </c>
      <c r="U40" s="776">
        <f t="shared" si="11"/>
        <v>100</v>
      </c>
      <c r="V40" s="775" t="s">
        <v>17</v>
      </c>
      <c r="W40" s="776">
        <f t="shared" si="12"/>
        <v>100</v>
      </c>
      <c r="X40" s="777"/>
      <c r="Y40" s="3345"/>
      <c r="Z40" s="778">
        <f t="shared" si="13"/>
        <v>111</v>
      </c>
      <c r="AA40" s="1805">
        <f t="shared" si="3"/>
        <v>1</v>
      </c>
      <c r="AB40" s="1805">
        <f t="shared" si="4"/>
        <v>1</v>
      </c>
      <c r="AC40" s="1805">
        <f t="shared" si="5"/>
        <v>1</v>
      </c>
    </row>
    <row r="41" spans="1:29" ht="15">
      <c r="A41" s="477" t="s">
        <v>2702</v>
      </c>
      <c r="B41" s="2688" t="s">
        <v>2780</v>
      </c>
      <c r="C41" s="680" t="s">
        <v>1</v>
      </c>
      <c r="D41" s="479"/>
      <c r="E41" s="480"/>
      <c r="F41" s="481"/>
      <c r="G41" s="482"/>
      <c r="H41" s="483"/>
      <c r="I41" s="480"/>
      <c r="J41" s="483"/>
      <c r="K41" s="781"/>
      <c r="L41" s="1139"/>
      <c r="M41" s="1127"/>
      <c r="N41" s="1127"/>
      <c r="O41" s="1140"/>
      <c r="P41" s="3340" t="str">
        <f>A41</f>
        <v>成交单价</v>
      </c>
      <c r="Q41" s="3340"/>
      <c r="R41" s="3346">
        <f>E41</f>
        <v>0</v>
      </c>
      <c r="S41" s="3346"/>
      <c r="T41" s="3346">
        <f>G41</f>
        <v>0</v>
      </c>
      <c r="U41" s="3346"/>
      <c r="V41" s="3346">
        <f>I41</f>
        <v>0</v>
      </c>
      <c r="W41" s="3346"/>
      <c r="X41" s="757"/>
      <c r="Y41" s="779"/>
      <c r="Z41" s="757"/>
      <c r="AA41" s="757"/>
      <c r="AB41" s="757"/>
      <c r="AC41" s="757"/>
    </row>
    <row r="42" spans="1:29" ht="15.75" thickBot="1">
      <c r="A42" s="484" t="s">
        <v>2651</v>
      </c>
      <c r="B42" s="681"/>
      <c r="C42" s="488" t="e">
        <f>R43</f>
        <v>#DIV/0!</v>
      </c>
      <c r="D42" s="487"/>
      <c r="E42" s="488" t="e">
        <f>R42</f>
        <v>#DIV/0!</v>
      </c>
      <c r="F42" s="489"/>
      <c r="G42" s="486" t="e">
        <f>T42</f>
        <v>#DIV/0!</v>
      </c>
      <c r="H42" s="487"/>
      <c r="I42" s="488" t="e">
        <f>V42</f>
        <v>#DIV/0!</v>
      </c>
      <c r="J42" s="487"/>
      <c r="K42" s="782"/>
      <c r="L42" s="1139"/>
      <c r="M42" s="1127"/>
      <c r="N42" s="1127"/>
      <c r="O42" s="1140"/>
      <c r="P42" s="3340" t="str">
        <f>A42</f>
        <v>比较价值（元/平方米）</v>
      </c>
      <c r="Q42" s="3340"/>
      <c r="R42" s="3333" t="e">
        <f>ROUND(PRODUCT(R41,AA7:AA40),0)</f>
        <v>#DIV/0!</v>
      </c>
      <c r="S42" s="3333"/>
      <c r="T42" s="3333" t="e">
        <f>ROUND(PRODUCT(T41,AB7:AB40),0)</f>
        <v>#DIV/0!</v>
      </c>
      <c r="U42" s="3333"/>
      <c r="V42" s="3333" t="e">
        <f>ROUND(PRODUCT(V41,AC7:AC40),0)</f>
        <v>#DIV/0!</v>
      </c>
      <c r="W42" s="3333"/>
      <c r="X42" s="757"/>
      <c r="Y42" s="757"/>
      <c r="Z42" s="757"/>
      <c r="AA42" s="757"/>
      <c r="AB42" s="757"/>
      <c r="AC42" s="757"/>
    </row>
    <row r="43" spans="1:29" ht="15.75" thickBot="1">
      <c r="A43" s="490" t="s">
        <v>2652</v>
      </c>
      <c r="B43" s="491"/>
      <c r="C43" s="492" t="e">
        <f>R43</f>
        <v>#DIV/0!</v>
      </c>
      <c r="D43" s="492"/>
      <c r="E43" s="492"/>
      <c r="F43" s="492"/>
      <c r="G43" s="492"/>
      <c r="H43" s="492"/>
      <c r="I43" s="492"/>
      <c r="J43" s="492"/>
      <c r="K43" s="783"/>
      <c r="L43" s="1139"/>
      <c r="M43" s="1127"/>
      <c r="N43" s="1127"/>
      <c r="O43" s="1140"/>
      <c r="P43" s="3334" t="str">
        <f>A43</f>
        <v>估价对象XX用房的比较价值（楼面单价，元/平方米）</v>
      </c>
      <c r="Q43" s="3335"/>
      <c r="R43" s="3336" t="e">
        <f>ROUND(AVERAGE(R42:V42),0)</f>
        <v>#DIV/0!</v>
      </c>
      <c r="S43" s="3336"/>
      <c r="T43" s="3336"/>
      <c r="U43" s="3336"/>
      <c r="V43" s="3336"/>
      <c r="W43" s="3336"/>
      <c r="X43" s="757"/>
      <c r="Y43" s="757"/>
      <c r="Z43" s="757"/>
      <c r="AA43" s="757"/>
      <c r="AB43" s="757"/>
      <c r="AC43" s="757"/>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5" t="s">
        <v>2653</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1"/>
      <c r="L46" s="1102"/>
      <c r="M46" s="1127"/>
      <c r="N46" s="1127"/>
      <c r="O46" s="1140"/>
    </row>
    <row r="47" spans="1:29" ht="13.5" customHeight="1">
      <c r="A47" s="1140"/>
      <c r="B47" s="1140"/>
      <c r="C47" s="495" t="s">
        <v>2654</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1"/>
      <c r="L47" s="1102"/>
      <c r="M47" s="1140"/>
      <c r="N47" s="1140"/>
      <c r="O47" s="1140"/>
    </row>
    <row r="48" spans="1:29" s="500" customFormat="1" ht="13.5" customHeight="1">
      <c r="A48" s="1141"/>
      <c r="B48" s="1141"/>
      <c r="C48" s="495" t="s">
        <v>2655</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4"/>
      <c r="L48" s="1145"/>
      <c r="M48" s="1141"/>
      <c r="N48" s="1141"/>
      <c r="O48" s="1141"/>
    </row>
    <row r="49" spans="1:17" s="500" customFormat="1" ht="15" thickBot="1">
      <c r="A49" s="1141"/>
      <c r="B49" s="1142"/>
      <c r="C49" s="760"/>
      <c r="D49" s="758"/>
      <c r="E49" s="758"/>
      <c r="F49" s="758"/>
      <c r="G49" s="758"/>
      <c r="H49" s="758"/>
      <c r="I49" s="758"/>
      <c r="J49" s="758"/>
      <c r="K49" s="1144"/>
      <c r="L49" s="1145"/>
      <c r="M49" s="1141"/>
      <c r="N49" s="1141"/>
      <c r="O49" s="1141"/>
    </row>
    <row r="50" spans="1:17" ht="27">
      <c r="A50" s="682" t="s">
        <v>2738</v>
      </c>
      <c r="B50" s="683" t="s">
        <v>2739</v>
      </c>
      <c r="C50" s="2689" t="s">
        <v>2740</v>
      </c>
      <c r="D50" s="2690" t="s">
        <v>2741</v>
      </c>
      <c r="E50" s="684" t="s">
        <v>2742</v>
      </c>
      <c r="F50" s="685" t="s">
        <v>2743</v>
      </c>
      <c r="G50" s="3337" t="s">
        <v>2744</v>
      </c>
      <c r="H50" s="3338"/>
      <c r="I50" s="1808" t="s">
        <v>2781</v>
      </c>
      <c r="J50" s="1808">
        <f>项目基本情况!F35</f>
        <v>0</v>
      </c>
      <c r="K50" s="2692" t="s">
        <v>2746</v>
      </c>
      <c r="L50" s="1102"/>
      <c r="M50" s="1140"/>
      <c r="N50" s="1140"/>
      <c r="O50" s="1140"/>
    </row>
    <row r="51" spans="1:17" s="690" customFormat="1">
      <c r="A51" s="686" t="s">
        <v>2747</v>
      </c>
      <c r="B51" s="687" t="e">
        <f>C43</f>
        <v>#DIV/0!</v>
      </c>
      <c r="C51" s="688">
        <v>1</v>
      </c>
      <c r="D51" s="1159">
        <v>1</v>
      </c>
      <c r="E51" s="688">
        <f>'数据-汇总表'!E8+'数据-汇总表'!E9</f>
        <v>73011.360000000001</v>
      </c>
      <c r="F51" s="689" t="e">
        <f t="shared" ref="F51:F60" si="15">ROUND(B51*E51/10000,0)</f>
        <v>#DIV/0!</v>
      </c>
      <c r="G51" s="3339"/>
      <c r="H51" s="3340"/>
      <c r="I51" s="940">
        <v>1</v>
      </c>
      <c r="J51" s="940">
        <v>1</v>
      </c>
      <c r="K51" s="1141"/>
      <c r="L51" s="939"/>
      <c r="M51" s="939"/>
      <c r="N51" s="939"/>
      <c r="O51" s="939"/>
    </row>
    <row r="52" spans="1:17" s="690" customFormat="1">
      <c r="A52" s="691" t="s">
        <v>2748</v>
      </c>
      <c r="B52" s="260" t="e">
        <f>ROUND($C$43*C52*D52,0)</f>
        <v>#DIV/0!</v>
      </c>
      <c r="C52" s="198">
        <f t="shared" ref="C52:C60" si="16">IF($C$50="北京市系数",I52,J52)</f>
        <v>0.6</v>
      </c>
      <c r="D52" s="1160">
        <v>0.25</v>
      </c>
      <c r="E52" s="692"/>
      <c r="F52" s="689" t="e">
        <f t="shared" si="15"/>
        <v>#DIV/0!</v>
      </c>
      <c r="G52" s="3341" t="s">
        <v>2749</v>
      </c>
      <c r="H52" s="1100" t="str">
        <f>项目基本情况!B37</f>
        <v>八级</v>
      </c>
      <c r="I52" s="940">
        <f>SUMIF(修正!A45:A56,H52,修正!B45:B56)</f>
        <v>0.6</v>
      </c>
      <c r="J52" s="941"/>
      <c r="K52" s="1140"/>
      <c r="L52" s="939"/>
      <c r="M52" s="939"/>
      <c r="N52" s="939"/>
      <c r="O52" s="939"/>
    </row>
    <row r="53" spans="1:17" s="690" customFormat="1">
      <c r="A53" s="691" t="s">
        <v>2750</v>
      </c>
      <c r="B53" s="260" t="e">
        <f t="shared" ref="B53:B60" si="17">ROUND($C$43*C53*D53,0)</f>
        <v>#DIV/0!</v>
      </c>
      <c r="C53" s="198">
        <f t="shared" si="16"/>
        <v>0.3</v>
      </c>
      <c r="D53" s="1160">
        <v>0.25</v>
      </c>
      <c r="E53" s="692"/>
      <c r="F53" s="689" t="e">
        <f t="shared" si="15"/>
        <v>#DIV/0!</v>
      </c>
      <c r="G53" s="3341"/>
      <c r="H53" s="1100" t="str">
        <f>项目基本情况!B37</f>
        <v>八级</v>
      </c>
      <c r="I53" s="940">
        <f>SUMIF(修正!A45:A56,H53,修正!C45:C56)</f>
        <v>0.3</v>
      </c>
      <c r="J53" s="941"/>
      <c r="K53" s="1141"/>
      <c r="L53" s="939"/>
      <c r="M53" s="939"/>
      <c r="N53" s="939"/>
      <c r="O53" s="939"/>
    </row>
    <row r="54" spans="1:17" s="690" customFormat="1">
      <c r="A54" s="691" t="s">
        <v>2751</v>
      </c>
      <c r="B54" s="260" t="e">
        <f t="shared" si="17"/>
        <v>#DIV/0!</v>
      </c>
      <c r="C54" s="198">
        <f t="shared" si="16"/>
        <v>0.2</v>
      </c>
      <c r="D54" s="1160">
        <v>0.25</v>
      </c>
      <c r="E54" s="692"/>
      <c r="F54" s="689" t="e">
        <f t="shared" si="15"/>
        <v>#DIV/0!</v>
      </c>
      <c r="G54" s="3341"/>
      <c r="H54" s="1100" t="str">
        <f>项目基本情况!B37</f>
        <v>八级</v>
      </c>
      <c r="I54" s="940">
        <f>SUMIF(修正!A45:A56,H54,修正!D45:D56)</f>
        <v>0.2</v>
      </c>
      <c r="J54" s="941"/>
      <c r="K54" s="1140"/>
      <c r="L54" s="939"/>
      <c r="M54" s="939"/>
      <c r="N54" s="939"/>
      <c r="O54" s="939"/>
    </row>
    <row r="55" spans="1:17" s="690" customFormat="1">
      <c r="A55" s="691" t="s">
        <v>2752</v>
      </c>
      <c r="B55" s="260" t="e">
        <f t="shared" si="17"/>
        <v>#DIV/0!</v>
      </c>
      <c r="C55" s="198">
        <f t="shared" si="16"/>
        <v>0.2</v>
      </c>
      <c r="D55" s="1160">
        <v>0.25</v>
      </c>
      <c r="E55" s="692"/>
      <c r="F55" s="689" t="e">
        <f t="shared" si="15"/>
        <v>#DIV/0!</v>
      </c>
      <c r="G55" s="3341"/>
      <c r="H55" s="1100" t="str">
        <f>项目基本情况!B37</f>
        <v>八级</v>
      </c>
      <c r="I55" s="940">
        <f>SUMIF(修正!A45:A56,H55,修正!E45:E56)</f>
        <v>0.2</v>
      </c>
      <c r="J55" s="941"/>
      <c r="K55" s="1141"/>
      <c r="L55" s="939"/>
      <c r="M55" s="939"/>
      <c r="N55" s="939"/>
      <c r="O55" s="939"/>
    </row>
    <row r="56" spans="1:17" s="690" customFormat="1">
      <c r="A56" s="691" t="s">
        <v>2753</v>
      </c>
      <c r="B56" s="260" t="e">
        <f t="shared" si="17"/>
        <v>#DIV/0!</v>
      </c>
      <c r="C56" s="198">
        <f t="shared" si="16"/>
        <v>0.2</v>
      </c>
      <c r="D56" s="1160">
        <v>0.25</v>
      </c>
      <c r="E56" s="259">
        <f>'数据-汇总表'!E11</f>
        <v>66.7</v>
      </c>
      <c r="F56" s="689" t="e">
        <f t="shared" si="15"/>
        <v>#DIV/0!</v>
      </c>
      <c r="G56" s="2693" t="s">
        <v>2754</v>
      </c>
      <c r="H56" s="1100" t="str">
        <f>项目基本情况!C37</f>
        <v>八级</v>
      </c>
      <c r="I56" s="940">
        <f>SUMIF(修正!A45:A56,H56,修正!F45:F56)</f>
        <v>0.2</v>
      </c>
      <c r="J56" s="941"/>
      <c r="K56" s="1140"/>
      <c r="L56" s="939"/>
      <c r="M56" s="939"/>
      <c r="N56" s="939"/>
      <c r="O56" s="939"/>
    </row>
    <row r="57" spans="1:17" s="690" customFormat="1">
      <c r="A57" s="691" t="s">
        <v>2755</v>
      </c>
      <c r="B57" s="260" t="e">
        <f t="shared" si="17"/>
        <v>#DIV/0!</v>
      </c>
      <c r="C57" s="198">
        <f t="shared" si="16"/>
        <v>0.2</v>
      </c>
      <c r="D57" s="1160">
        <v>0.25</v>
      </c>
      <c r="E57" s="259">
        <f>'数据-汇总表'!E12</f>
        <v>49562.87</v>
      </c>
      <c r="F57" s="689" t="e">
        <f t="shared" si="15"/>
        <v>#DIV/0!</v>
      </c>
      <c r="G57" s="1105" t="s">
        <v>2756</v>
      </c>
      <c r="H57" s="1100" t="str">
        <f>IF(G57="商业",项目基本情况!B37,IF(G57="办公",项目基本情况!C37,IF(G57="住宅",项目基本情况!D37,项目基本情况!E37)))</f>
        <v>八级</v>
      </c>
      <c r="I57" s="940">
        <f>SUMIF(修正!A45:A56,H57,修正!G45:G56)</f>
        <v>0.2</v>
      </c>
      <c r="J57" s="941"/>
      <c r="K57" s="1141"/>
      <c r="L57" s="939"/>
      <c r="M57" s="939"/>
      <c r="N57" s="939"/>
      <c r="O57" s="939"/>
    </row>
    <row r="58" spans="1:17" s="690" customFormat="1">
      <c r="A58" s="691" t="s">
        <v>2757</v>
      </c>
      <c r="B58" s="260" t="e">
        <f t="shared" si="17"/>
        <v>#DIV/0!</v>
      </c>
      <c r="C58" s="198">
        <f t="shared" si="16"/>
        <v>0.15</v>
      </c>
      <c r="D58" s="1160">
        <v>0.25</v>
      </c>
      <c r="E58" s="259">
        <f>'数据-汇总表'!E13</f>
        <v>21662.76</v>
      </c>
      <c r="F58" s="689" t="e">
        <f t="shared" si="15"/>
        <v>#DIV/0!</v>
      </c>
      <c r="G58" s="1105" t="s">
        <v>2758</v>
      </c>
      <c r="H58" s="1100" t="str">
        <f>IF(G58="商业",项目基本情况!B37,IF(G58="办公",项目基本情况!C37,IF(G58="住宅",项目基本情况!D37,项目基本情况!E37)))</f>
        <v>八级</v>
      </c>
      <c r="I58" s="940">
        <f>SUMIF(修正!A45:A56,H58,修正!H45:H56)</f>
        <v>0.15</v>
      </c>
      <c r="J58" s="941"/>
      <c r="K58" s="1140"/>
      <c r="L58" s="939"/>
      <c r="M58" s="939"/>
      <c r="N58" s="939"/>
      <c r="O58" s="939"/>
    </row>
    <row r="59" spans="1:17" s="690" customFormat="1">
      <c r="A59" s="691" t="s">
        <v>2759</v>
      </c>
      <c r="B59" s="260" t="e">
        <f t="shared" si="17"/>
        <v>#DIV/0!</v>
      </c>
      <c r="C59" s="198">
        <f t="shared" si="16"/>
        <v>0.15</v>
      </c>
      <c r="D59" s="1160">
        <v>0.25</v>
      </c>
      <c r="E59" s="259">
        <f>'数据-汇总表'!E14</f>
        <v>0</v>
      </c>
      <c r="F59" s="689" t="e">
        <f t="shared" si="15"/>
        <v>#DIV/0!</v>
      </c>
      <c r="G59" s="2693" t="s">
        <v>2749</v>
      </c>
      <c r="H59" s="1100" t="str">
        <f>项目基本情况!B37</f>
        <v>八级</v>
      </c>
      <c r="I59" s="940">
        <f>SUMIF(修正!A45:A56,H59,修正!H45:H56)</f>
        <v>0.15</v>
      </c>
      <c r="J59" s="941"/>
      <c r="K59" s="1141"/>
      <c r="L59" s="939"/>
      <c r="M59" s="939"/>
      <c r="N59" s="939"/>
      <c r="O59" s="939"/>
    </row>
    <row r="60" spans="1:17" s="690" customFormat="1" ht="15" thickBot="1">
      <c r="A60" s="691" t="s">
        <v>2760</v>
      </c>
      <c r="B60" s="260" t="e">
        <f t="shared" si="17"/>
        <v>#DIV/0!</v>
      </c>
      <c r="C60" s="198">
        <f t="shared" si="16"/>
        <v>0.15</v>
      </c>
      <c r="D60" s="1160">
        <v>0.25</v>
      </c>
      <c r="E60" s="259">
        <f>'数据-汇总表'!E15</f>
        <v>0</v>
      </c>
      <c r="F60" s="689" t="e">
        <f t="shared" si="15"/>
        <v>#DIV/0!</v>
      </c>
      <c r="G60" s="2694" t="s">
        <v>2754</v>
      </c>
      <c r="H60" s="1110" t="str">
        <f>项目基本情况!C37</f>
        <v>八级</v>
      </c>
      <c r="I60" s="940">
        <f>SUMIF(修正!A45:A56,H60,修正!H45:H56)</f>
        <v>0.15</v>
      </c>
      <c r="J60" s="941"/>
      <c r="K60" s="1140"/>
      <c r="L60" s="939"/>
      <c r="M60" s="939"/>
      <c r="N60" s="939"/>
      <c r="O60" s="939"/>
    </row>
    <row r="61" spans="1:17" s="690" customFormat="1" ht="15" thickBot="1">
      <c r="A61" s="693" t="s">
        <v>2761</v>
      </c>
      <c r="B61" s="694" t="s">
        <v>28</v>
      </c>
      <c r="C61" s="694" t="s">
        <v>29</v>
      </c>
      <c r="D61" s="694" t="s">
        <v>1025</v>
      </c>
      <c r="E61" s="694">
        <f>IF(B41="楼面地价",SUM(E51:E60),'数据-汇总表'!D3)</f>
        <v>59319.7</v>
      </c>
      <c r="F61" s="695" t="e">
        <f>IF(B41="楼面地价",SUM(F51:F60),ROUND(C43*E61/10000,0))</f>
        <v>#DIV/0!</v>
      </c>
      <c r="G61" s="1154"/>
      <c r="H61" s="1154"/>
      <c r="I61" s="1154"/>
      <c r="J61" s="1154"/>
      <c r="K61" s="1101"/>
      <c r="L61" s="939"/>
      <c r="M61" s="939"/>
      <c r="N61" s="939"/>
      <c r="O61" s="939"/>
    </row>
    <row r="62" spans="1:17">
      <c r="A62" s="1140"/>
      <c r="B62" s="1142"/>
      <c r="C62" s="1146"/>
      <c r="D62" s="1140"/>
      <c r="E62" s="1140"/>
      <c r="F62" s="1140"/>
      <c r="G62" s="1140"/>
      <c r="H62" s="1140"/>
      <c r="I62" s="1140"/>
      <c r="J62" s="1140"/>
      <c r="K62" s="1101"/>
      <c r="L62" s="1102"/>
      <c r="M62" s="1140"/>
      <c r="N62" s="1140"/>
      <c r="O62" s="1140"/>
    </row>
    <row r="63" spans="1:17">
      <c r="A63" s="1140"/>
      <c r="B63" s="1142"/>
      <c r="C63" s="759" t="str">
        <f>YEAR(C7)&amp;"-"&amp;MONTH(C7)&amp;"-1"</f>
        <v>2020-2-1</v>
      </c>
      <c r="D63" s="759">
        <f>EDATE(C63,-3)</f>
        <v>43770</v>
      </c>
      <c r="E63" s="759">
        <f>EDATE(D63,-3)</f>
        <v>43678</v>
      </c>
      <c r="F63" s="759">
        <f t="shared" ref="F63:O63" si="18">EDATE(E63,-3)</f>
        <v>43586</v>
      </c>
      <c r="G63" s="759">
        <f t="shared" si="18"/>
        <v>43497</v>
      </c>
      <c r="H63" s="759">
        <f t="shared" si="18"/>
        <v>43405</v>
      </c>
      <c r="I63" s="759">
        <f t="shared" si="18"/>
        <v>43313</v>
      </c>
      <c r="J63" s="759">
        <f t="shared" si="18"/>
        <v>43221</v>
      </c>
      <c r="K63" s="759">
        <f t="shared" si="18"/>
        <v>43132</v>
      </c>
      <c r="L63" s="759">
        <f t="shared" si="18"/>
        <v>43040</v>
      </c>
      <c r="M63" s="759">
        <f t="shared" si="18"/>
        <v>42948</v>
      </c>
      <c r="N63" s="759">
        <f t="shared" si="18"/>
        <v>42856</v>
      </c>
      <c r="O63" s="759">
        <f t="shared" si="18"/>
        <v>42767</v>
      </c>
    </row>
    <row r="64" spans="1:17" ht="21.75" thickBot="1">
      <c r="A64" s="761" t="s">
        <v>2656</v>
      </c>
      <c r="B64" s="757"/>
      <c r="C64" s="762"/>
      <c r="D64" s="762"/>
      <c r="E64" s="762"/>
      <c r="F64" s="763"/>
      <c r="G64" s="763"/>
      <c r="H64" s="762"/>
      <c r="I64" s="762"/>
      <c r="J64" s="762"/>
      <c r="K64" s="764"/>
      <c r="L64" s="765"/>
      <c r="M64" s="762"/>
      <c r="N64" s="762"/>
      <c r="O64" s="1155"/>
      <c r="P64" s="501"/>
      <c r="Q64" s="502"/>
    </row>
    <row r="65" spans="1:17" s="506" customFormat="1" ht="15">
      <c r="A65" s="2695" t="s">
        <v>2762</v>
      </c>
      <c r="B65" s="1355"/>
      <c r="C65" s="1566" t="str">
        <f>YEAR(C63)&amp;"-"&amp;ROUNDUP(MONTH(C63)/3,0)</f>
        <v>2020-1</v>
      </c>
      <c r="D65" s="1566" t="str">
        <f t="shared" ref="D65:O65" si="19">YEAR(D63)&amp;"-"&amp;ROUNDUP(MONTH(D63)/3,0)</f>
        <v>2019-4</v>
      </c>
      <c r="E65" s="1566" t="str">
        <f t="shared" si="19"/>
        <v>2019-3</v>
      </c>
      <c r="F65" s="1566" t="str">
        <f t="shared" si="19"/>
        <v>2019-2</v>
      </c>
      <c r="G65" s="1566" t="str">
        <f t="shared" si="19"/>
        <v>2019-1</v>
      </c>
      <c r="H65" s="1566" t="str">
        <f t="shared" si="19"/>
        <v>2018-4</v>
      </c>
      <c r="I65" s="1566" t="str">
        <f t="shared" si="19"/>
        <v>2018-3</v>
      </c>
      <c r="J65" s="1566" t="str">
        <f t="shared" si="19"/>
        <v>2018-2</v>
      </c>
      <c r="K65" s="1566" t="str">
        <f t="shared" si="19"/>
        <v>2018-1</v>
      </c>
      <c r="L65" s="1566" t="str">
        <f t="shared" si="19"/>
        <v>2017-4</v>
      </c>
      <c r="M65" s="1566" t="str">
        <f t="shared" si="19"/>
        <v>2017-3</v>
      </c>
      <c r="N65" s="1566" t="str">
        <f t="shared" si="19"/>
        <v>2017-2</v>
      </c>
      <c r="O65" s="1566" t="str">
        <f t="shared" si="19"/>
        <v>2017-1</v>
      </c>
      <c r="P65" s="505"/>
    </row>
    <row r="66" spans="1:17" s="115" customFormat="1" ht="30.75" customHeight="1">
      <c r="A66" s="2700" t="s">
        <v>2782</v>
      </c>
      <c r="B66" s="330" t="str">
        <f>"北京市平均增长率"&amp;TEXT(基准地价修正!P24,"0.00%")</f>
        <v>北京市平均增长率1.33%</v>
      </c>
      <c r="C66" s="601">
        <v>100</v>
      </c>
      <c r="D66" s="593"/>
      <c r="E66" s="593"/>
      <c r="F66" s="593"/>
      <c r="G66" s="593"/>
      <c r="H66" s="593"/>
      <c r="I66" s="593"/>
      <c r="J66" s="593"/>
      <c r="K66" s="593"/>
      <c r="L66" s="593"/>
      <c r="M66" s="1562"/>
      <c r="N66" s="1562"/>
      <c r="O66" s="1563"/>
      <c r="P66" s="502"/>
    </row>
    <row r="67" spans="1:17" s="115" customFormat="1" ht="15.75" thickBot="1">
      <c r="A67" s="513" t="s">
        <v>2567</v>
      </c>
      <c r="B67" s="514"/>
      <c r="C67" s="515"/>
      <c r="D67" s="516"/>
      <c r="E67" s="516"/>
      <c r="F67" s="516"/>
      <c r="G67" s="516"/>
      <c r="H67" s="516"/>
      <c r="I67" s="516"/>
      <c r="J67" s="516"/>
      <c r="K67" s="516"/>
      <c r="L67" s="516"/>
      <c r="M67" s="517"/>
      <c r="N67" s="517"/>
      <c r="O67" s="518"/>
      <c r="P67" s="502"/>
      <c r="Q67" s="502"/>
    </row>
    <row r="68" spans="1:17" s="115" customFormat="1" ht="15">
      <c r="A68" s="519" t="s">
        <v>2532</v>
      </c>
      <c r="B68" s="508"/>
      <c r="C68" s="520" t="s">
        <v>2634</v>
      </c>
      <c r="D68" s="521"/>
      <c r="E68" s="521"/>
      <c r="F68" s="521"/>
      <c r="G68" s="521"/>
      <c r="H68" s="521"/>
      <c r="I68" s="521"/>
      <c r="J68" s="521"/>
      <c r="K68" s="521"/>
      <c r="L68" s="522"/>
      <c r="M68" s="523"/>
      <c r="N68" s="1147"/>
      <c r="O68" s="1147"/>
      <c r="P68" s="524"/>
      <c r="Q68" s="502"/>
    </row>
    <row r="69" spans="1:17" s="115" customFormat="1" ht="15.75" thickBot="1">
      <c r="A69" s="519"/>
      <c r="B69" s="508"/>
      <c r="C69" s="637">
        <v>100</v>
      </c>
      <c r="D69" s="510"/>
      <c r="E69" s="510"/>
      <c r="F69" s="510"/>
      <c r="G69" s="510"/>
      <c r="H69" s="510"/>
      <c r="I69" s="510"/>
      <c r="J69" s="510"/>
      <c r="K69" s="510"/>
      <c r="L69" s="510"/>
      <c r="M69" s="512"/>
      <c r="N69" s="1147"/>
      <c r="O69" s="1147"/>
      <c r="P69" s="502"/>
      <c r="Q69" s="502"/>
    </row>
    <row r="70" spans="1:17">
      <c r="A70" s="525" t="s">
        <v>2570</v>
      </c>
      <c r="B70" s="526" t="s">
        <v>2536</v>
      </c>
      <c r="C70" s="528"/>
      <c r="D70" s="528"/>
      <c r="E70" s="528"/>
      <c r="F70" s="528"/>
      <c r="G70" s="528"/>
      <c r="H70" s="528"/>
      <c r="I70" s="528"/>
      <c r="J70" s="528"/>
      <c r="K70" s="529"/>
      <c r="L70" s="530"/>
      <c r="M70" s="531"/>
      <c r="N70" s="1148"/>
      <c r="O70" s="1148"/>
      <c r="P70" s="45"/>
      <c r="Q70" s="502"/>
    </row>
    <row r="71" spans="1:17" ht="15.75" thickBot="1">
      <c r="A71" s="532"/>
      <c r="B71" s="533"/>
      <c r="C71" s="534"/>
      <c r="D71" s="534"/>
      <c r="E71" s="534"/>
      <c r="F71" s="534"/>
      <c r="G71" s="534"/>
      <c r="H71" s="534"/>
      <c r="I71" s="534"/>
      <c r="J71" s="534"/>
      <c r="K71" s="534"/>
      <c r="L71" s="534"/>
      <c r="M71" s="535"/>
      <c r="N71" s="1149"/>
      <c r="O71" s="1149"/>
      <c r="P71" s="45"/>
      <c r="Q71" s="502"/>
    </row>
    <row r="72" spans="1:17" ht="27.75" thickTop="1">
      <c r="A72" s="532"/>
      <c r="B72" s="536" t="s">
        <v>2539</v>
      </c>
      <c r="C72" s="537"/>
      <c r="D72" s="537"/>
      <c r="E72" s="537"/>
      <c r="F72" s="537"/>
      <c r="G72" s="537"/>
      <c r="H72" s="537"/>
      <c r="I72" s="537"/>
      <c r="J72" s="537"/>
      <c r="K72" s="538"/>
      <c r="L72" s="539"/>
      <c r="M72" s="540"/>
      <c r="N72" s="1148"/>
      <c r="O72" s="1148"/>
      <c r="P72" s="45"/>
      <c r="Q72" s="502"/>
    </row>
    <row r="73" spans="1:17" ht="15.75" thickBot="1">
      <c r="A73" s="532"/>
      <c r="B73" s="541"/>
      <c r="C73" s="542"/>
      <c r="D73" s="542"/>
      <c r="E73" s="542"/>
      <c r="F73" s="542"/>
      <c r="G73" s="542"/>
      <c r="H73" s="542"/>
      <c r="I73" s="542"/>
      <c r="J73" s="542"/>
      <c r="K73" s="542"/>
      <c r="L73" s="542"/>
      <c r="M73" s="543"/>
      <c r="N73" s="1149"/>
      <c r="O73" s="1149"/>
      <c r="P73" s="45"/>
      <c r="Q73" s="502"/>
    </row>
    <row r="74" spans="1:17" ht="15.75" thickTop="1">
      <c r="A74" s="532"/>
      <c r="B74" s="544" t="s">
        <v>2540</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9"/>
      <c r="O74" s="1149"/>
      <c r="P74" s="45"/>
      <c r="Q74" s="502"/>
    </row>
    <row r="75" spans="1:17" ht="15">
      <c r="A75" s="532"/>
      <c r="B75" s="546"/>
      <c r="C75" s="547"/>
      <c r="D75" s="547"/>
      <c r="E75" s="547"/>
      <c r="F75" s="547"/>
      <c r="G75" s="547"/>
      <c r="H75" s="547"/>
      <c r="I75" s="547"/>
      <c r="J75" s="547"/>
      <c r="K75" s="548"/>
      <c r="L75" s="549"/>
      <c r="M75" s="550"/>
      <c r="N75" s="1148"/>
      <c r="O75" s="1148"/>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9"/>
      <c r="O76" s="1149"/>
      <c r="P76" s="45"/>
      <c r="Q76" s="502"/>
    </row>
    <row r="77" spans="1:17" s="469" customFormat="1" ht="15.75" thickTop="1">
      <c r="A77" s="551"/>
      <c r="B77" s="536">
        <f>B12</f>
        <v>111</v>
      </c>
      <c r="C77" s="552"/>
      <c r="D77" s="552"/>
      <c r="E77" s="552"/>
      <c r="F77" s="552"/>
      <c r="G77" s="552"/>
      <c r="H77" s="553"/>
      <c r="I77" s="553"/>
      <c r="J77" s="553"/>
      <c r="K77" s="553"/>
      <c r="L77" s="554"/>
      <c r="M77" s="555"/>
      <c r="N77" s="1150"/>
      <c r="O77" s="1150"/>
      <c r="P77" s="556"/>
      <c r="Q77" s="557"/>
    </row>
    <row r="78" spans="1:17" s="469" customFormat="1" ht="15.75" thickBot="1">
      <c r="A78" s="551"/>
      <c r="B78" s="541"/>
      <c r="C78" s="558"/>
      <c r="D78" s="534"/>
      <c r="E78" s="534"/>
      <c r="F78" s="534"/>
      <c r="G78" s="534"/>
      <c r="H78" s="534"/>
      <c r="I78" s="534"/>
      <c r="J78" s="534"/>
      <c r="K78" s="534"/>
      <c r="L78" s="534"/>
      <c r="M78" s="535"/>
      <c r="N78" s="1149"/>
      <c r="O78" s="1149"/>
      <c r="P78" s="556"/>
      <c r="Q78" s="557"/>
    </row>
    <row r="79" spans="1:17" s="469" customFormat="1" ht="15.75" thickTop="1">
      <c r="A79" s="551"/>
      <c r="B79" s="536">
        <f>B13</f>
        <v>111</v>
      </c>
      <c r="C79" s="552"/>
      <c r="D79" s="552"/>
      <c r="E79" s="552"/>
      <c r="F79" s="552"/>
      <c r="G79" s="552"/>
      <c r="H79" s="553"/>
      <c r="I79" s="553"/>
      <c r="J79" s="553"/>
      <c r="K79" s="553"/>
      <c r="L79" s="554"/>
      <c r="M79" s="555"/>
      <c r="N79" s="1150"/>
      <c r="O79" s="1150"/>
      <c r="P79" s="468"/>
      <c r="Q79" s="559"/>
    </row>
    <row r="80" spans="1:17" s="469" customFormat="1" ht="15.75" thickBot="1">
      <c r="A80" s="551"/>
      <c r="B80" s="541"/>
      <c r="C80" s="558"/>
      <c r="D80" s="558"/>
      <c r="E80" s="558"/>
      <c r="F80" s="558"/>
      <c r="G80" s="558"/>
      <c r="H80" s="560"/>
      <c r="I80" s="560"/>
      <c r="J80" s="560"/>
      <c r="K80" s="560"/>
      <c r="L80" s="560"/>
      <c r="M80" s="561"/>
      <c r="N80" s="1150"/>
      <c r="O80" s="1150"/>
      <c r="P80" s="556"/>
      <c r="Q80" s="557"/>
    </row>
    <row r="81" spans="1:17" s="469" customFormat="1" ht="15.75" thickTop="1">
      <c r="A81" s="551"/>
      <c r="B81" s="544">
        <f>B14</f>
        <v>111</v>
      </c>
      <c r="C81" s="521"/>
      <c r="D81" s="521"/>
      <c r="E81" s="521"/>
      <c r="F81" s="521"/>
      <c r="G81" s="521"/>
      <c r="H81" s="562"/>
      <c r="I81" s="562"/>
      <c r="J81" s="562"/>
      <c r="K81" s="562"/>
      <c r="L81" s="563"/>
      <c r="M81" s="564"/>
      <c r="N81" s="1150"/>
      <c r="O81" s="1150"/>
      <c r="P81" s="565"/>
      <c r="Q81" s="557"/>
    </row>
    <row r="82" spans="1:17" s="469" customFormat="1" ht="15.75" thickBot="1">
      <c r="A82" s="566"/>
      <c r="B82" s="567"/>
      <c r="C82" s="568"/>
      <c r="D82" s="568"/>
      <c r="E82" s="568"/>
      <c r="F82" s="568"/>
      <c r="G82" s="568"/>
      <c r="H82" s="569"/>
      <c r="I82" s="569"/>
      <c r="J82" s="569"/>
      <c r="K82" s="569"/>
      <c r="L82" s="569"/>
      <c r="M82" s="570"/>
      <c r="N82" s="1150"/>
      <c r="O82" s="1150"/>
      <c r="P82" s="556"/>
      <c r="Q82" s="557"/>
    </row>
    <row r="83" spans="1:17">
      <c r="A83" s="525" t="s">
        <v>2541</v>
      </c>
      <c r="B83" s="526" t="s">
        <v>2687</v>
      </c>
      <c r="C83" s="571" t="s">
        <v>2579</v>
      </c>
      <c r="D83" s="571" t="s">
        <v>2580</v>
      </c>
      <c r="E83" s="571" t="s">
        <v>2581</v>
      </c>
      <c r="F83" s="571" t="s">
        <v>2582</v>
      </c>
      <c r="G83" s="571" t="s">
        <v>2583</v>
      </c>
      <c r="H83" s="527"/>
      <c r="I83" s="527"/>
      <c r="J83" s="527"/>
      <c r="K83" s="572"/>
      <c r="L83" s="573"/>
      <c r="M83" s="574"/>
      <c r="N83" s="1148"/>
      <c r="O83" s="1148"/>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49"/>
      <c r="O84" s="1149"/>
      <c r="P84" s="45"/>
      <c r="Q84" s="502"/>
    </row>
    <row r="85" spans="1:17" ht="15.75" thickTop="1">
      <c r="A85" s="532"/>
      <c r="B85" s="536" t="s">
        <v>2584</v>
      </c>
      <c r="C85" s="576" t="s">
        <v>2579</v>
      </c>
      <c r="D85" s="576" t="s">
        <v>2580</v>
      </c>
      <c r="E85" s="576" t="s">
        <v>2581</v>
      </c>
      <c r="F85" s="576" t="s">
        <v>2582</v>
      </c>
      <c r="G85" s="576" t="s">
        <v>2583</v>
      </c>
      <c r="H85" s="537"/>
      <c r="I85" s="537"/>
      <c r="J85" s="537"/>
      <c r="K85" s="538"/>
      <c r="L85" s="539"/>
      <c r="M85" s="540"/>
      <c r="N85" s="1148"/>
      <c r="O85" s="1148"/>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49"/>
      <c r="O86" s="1149"/>
      <c r="P86" s="45"/>
      <c r="Q86" s="502"/>
    </row>
    <row r="87" spans="1:17" s="115" customFormat="1" ht="15.75" thickTop="1">
      <c r="A87" s="577"/>
      <c r="B87" s="536" t="s">
        <v>2765</v>
      </c>
      <c r="C87" s="571" t="s">
        <v>2579</v>
      </c>
      <c r="D87" s="571" t="s">
        <v>2580</v>
      </c>
      <c r="E87" s="571" t="s">
        <v>2581</v>
      </c>
      <c r="F87" s="571" t="s">
        <v>2582</v>
      </c>
      <c r="G87" s="571" t="s">
        <v>2583</v>
      </c>
      <c r="H87" s="576"/>
      <c r="I87" s="576"/>
      <c r="J87" s="576"/>
      <c r="K87" s="576"/>
      <c r="L87" s="696"/>
      <c r="M87" s="620"/>
      <c r="N87" s="1147"/>
      <c r="O87" s="1147"/>
      <c r="P87" s="45"/>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49"/>
      <c r="O88" s="1149"/>
      <c r="P88" s="45"/>
      <c r="Q88" s="502"/>
    </row>
    <row r="89" spans="1:17" s="115" customFormat="1" ht="27.75" thickTop="1">
      <c r="A89" s="577"/>
      <c r="B89" s="536" t="s">
        <v>2766</v>
      </c>
      <c r="C89" s="571" t="s">
        <v>2579</v>
      </c>
      <c r="D89" s="571" t="s">
        <v>2580</v>
      </c>
      <c r="E89" s="571" t="s">
        <v>2581</v>
      </c>
      <c r="F89" s="571" t="s">
        <v>2582</v>
      </c>
      <c r="G89" s="571" t="s">
        <v>2583</v>
      </c>
      <c r="H89" s="576"/>
      <c r="I89" s="576"/>
      <c r="J89" s="576"/>
      <c r="K89" s="576"/>
      <c r="L89" s="576"/>
      <c r="M89" s="620"/>
      <c r="N89" s="1147"/>
      <c r="O89" s="1147"/>
      <c r="P89" s="45"/>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49"/>
      <c r="O90" s="1149"/>
      <c r="P90" s="45"/>
      <c r="Q90" s="502"/>
    </row>
    <row r="91" spans="1:17" s="469" customFormat="1" ht="15.75" thickTop="1">
      <c r="A91" s="551"/>
      <c r="B91" s="536" t="s">
        <v>2636</v>
      </c>
      <c r="C91" s="571" t="s">
        <v>2579</v>
      </c>
      <c r="D91" s="571" t="s">
        <v>2580</v>
      </c>
      <c r="E91" s="571" t="s">
        <v>2581</v>
      </c>
      <c r="F91" s="571" t="s">
        <v>2582</v>
      </c>
      <c r="G91" s="571" t="s">
        <v>2583</v>
      </c>
      <c r="H91" s="598"/>
      <c r="I91" s="598"/>
      <c r="J91" s="598"/>
      <c r="K91" s="598"/>
      <c r="L91" s="599"/>
      <c r="M91" s="600"/>
      <c r="N91" s="1150"/>
      <c r="O91" s="1150"/>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0"/>
      <c r="O92" s="1150"/>
      <c r="P92" s="556"/>
      <c r="Q92" s="557"/>
    </row>
    <row r="93" spans="1:17" s="469" customFormat="1" ht="15.75" thickTop="1">
      <c r="A93" s="551"/>
      <c r="B93" s="544" t="s">
        <v>2783</v>
      </c>
      <c r="C93" s="658" t="s">
        <v>2657</v>
      </c>
      <c r="D93" s="658" t="s">
        <v>2658</v>
      </c>
      <c r="E93" s="658" t="s">
        <v>2659</v>
      </c>
      <c r="F93" s="658" t="s">
        <v>2660</v>
      </c>
      <c r="G93" s="658" t="s">
        <v>2661</v>
      </c>
      <c r="H93" s="598"/>
      <c r="I93" s="598"/>
      <c r="J93" s="598"/>
      <c r="K93" s="598"/>
      <c r="L93" s="598"/>
      <c r="M93" s="600"/>
      <c r="N93" s="1150"/>
      <c r="O93" s="1150"/>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1"/>
      <c r="N94" s="1150"/>
      <c r="O94" s="1150"/>
      <c r="P94" s="556"/>
      <c r="Q94" s="557"/>
    </row>
    <row r="95" spans="1:17" ht="15.75" thickTop="1">
      <c r="A95" s="532"/>
      <c r="B95" s="536" t="str">
        <f>B27</f>
        <v>临街状况</v>
      </c>
      <c r="C95" s="537" t="s">
        <v>2767</v>
      </c>
      <c r="D95" s="537" t="s">
        <v>2768</v>
      </c>
      <c r="E95" s="537" t="s">
        <v>2769</v>
      </c>
      <c r="F95" s="537" t="s">
        <v>2770</v>
      </c>
      <c r="G95" s="537"/>
      <c r="H95" s="537"/>
      <c r="I95" s="537"/>
      <c r="J95" s="537"/>
      <c r="K95" s="538"/>
      <c r="L95" s="539"/>
      <c r="M95" s="540"/>
      <c r="N95" s="1148"/>
      <c r="O95" s="1148"/>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9"/>
      <c r="O96" s="1149"/>
      <c r="P96" s="45"/>
      <c r="Q96" s="502"/>
    </row>
    <row r="97" spans="1:17" ht="27.75" thickTop="1">
      <c r="A97" s="532"/>
      <c r="B97" s="536" t="s">
        <v>2673</v>
      </c>
      <c r="C97" s="552"/>
      <c r="D97" s="552"/>
      <c r="E97" s="552"/>
      <c r="F97" s="552"/>
      <c r="G97" s="552"/>
      <c r="H97" s="581"/>
      <c r="I97" s="581"/>
      <c r="J97" s="581"/>
      <c r="K97" s="582"/>
      <c r="L97" s="583"/>
      <c r="M97" s="584"/>
      <c r="N97" s="1148"/>
      <c r="O97" s="1148"/>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9"/>
      <c r="O98" s="1149"/>
      <c r="P98" s="45"/>
      <c r="Q98" s="502"/>
    </row>
    <row r="99" spans="1:17" ht="15.75" thickTop="1">
      <c r="A99" s="532"/>
      <c r="B99" s="536" t="s">
        <v>2731</v>
      </c>
      <c r="C99" s="581"/>
      <c r="D99" s="581"/>
      <c r="E99" s="581"/>
      <c r="F99" s="581"/>
      <c r="G99" s="581"/>
      <c r="H99" s="581"/>
      <c r="I99" s="581"/>
      <c r="J99" s="581"/>
      <c r="K99" s="582"/>
      <c r="L99" s="583"/>
      <c r="M99" s="584"/>
      <c r="N99" s="1148"/>
      <c r="O99" s="1148"/>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9"/>
      <c r="O100" s="1149"/>
      <c r="P100" s="45"/>
      <c r="Q100" s="502"/>
    </row>
    <row r="101" spans="1:17" ht="15.75" thickTop="1">
      <c r="A101" s="532"/>
      <c r="B101" s="544">
        <f>B31</f>
        <v>111</v>
      </c>
      <c r="C101" s="552"/>
      <c r="D101" s="552"/>
      <c r="E101" s="552"/>
      <c r="F101" s="552"/>
      <c r="G101" s="585"/>
      <c r="H101" s="585"/>
      <c r="I101" s="585"/>
      <c r="J101" s="585"/>
      <c r="K101" s="586"/>
      <c r="L101" s="587"/>
      <c r="M101" s="588"/>
      <c r="N101" s="1148"/>
      <c r="O101" s="1148"/>
      <c r="P101" s="45"/>
      <c r="Q101" s="502"/>
    </row>
    <row r="102" spans="1:17" ht="15.75" thickBot="1">
      <c r="A102" s="532"/>
      <c r="B102" s="567"/>
      <c r="C102" s="558"/>
      <c r="D102" s="534"/>
      <c r="E102" s="534"/>
      <c r="F102" s="534"/>
      <c r="G102" s="589"/>
      <c r="H102" s="589"/>
      <c r="I102" s="589"/>
      <c r="J102" s="589"/>
      <c r="K102" s="589"/>
      <c r="L102" s="589"/>
      <c r="M102" s="590"/>
      <c r="N102" s="1149"/>
      <c r="O102" s="1149"/>
      <c r="P102" s="45"/>
      <c r="Q102" s="502"/>
    </row>
    <row r="103" spans="1:17" ht="15" thickTop="1">
      <c r="A103" s="673"/>
      <c r="B103" s="536">
        <f>B32</f>
        <v>111</v>
      </c>
      <c r="C103" s="552"/>
      <c r="D103" s="552"/>
      <c r="E103" s="552"/>
      <c r="F103" s="552"/>
      <c r="G103" s="581"/>
      <c r="H103" s="581"/>
      <c r="I103" s="581"/>
      <c r="J103" s="581"/>
      <c r="K103" s="582"/>
      <c r="L103" s="583"/>
      <c r="M103" s="584"/>
      <c r="N103" s="1148"/>
      <c r="O103" s="1148"/>
      <c r="P103" s="45"/>
      <c r="Q103" s="502"/>
    </row>
    <row r="104" spans="1:17" ht="15.75" thickBot="1">
      <c r="A104" s="532"/>
      <c r="B104" s="541"/>
      <c r="C104" s="558"/>
      <c r="D104" s="558"/>
      <c r="E104" s="558"/>
      <c r="F104" s="558"/>
      <c r="G104" s="534"/>
      <c r="H104" s="534"/>
      <c r="I104" s="534"/>
      <c r="J104" s="534"/>
      <c r="K104" s="534"/>
      <c r="L104" s="534"/>
      <c r="M104" s="535"/>
      <c r="N104" s="1149"/>
      <c r="O104" s="1149"/>
      <c r="P104" s="45"/>
      <c r="Q104" s="502"/>
    </row>
    <row r="105" spans="1:17" s="469" customFormat="1" ht="15" thickTop="1">
      <c r="A105" s="591"/>
      <c r="B105" s="592">
        <f>B33</f>
        <v>111</v>
      </c>
      <c r="C105" s="521"/>
      <c r="D105" s="521"/>
      <c r="E105" s="521"/>
      <c r="F105" s="521"/>
      <c r="G105" s="593"/>
      <c r="H105" s="593"/>
      <c r="I105" s="593"/>
      <c r="J105" s="594"/>
      <c r="K105" s="594"/>
      <c r="L105" s="595"/>
      <c r="M105" s="596"/>
      <c r="N105" s="1150"/>
      <c r="O105" s="1150"/>
      <c r="P105" s="556"/>
      <c r="Q105" s="557"/>
    </row>
    <row r="106" spans="1:17" s="469" customFormat="1" ht="15.75" thickBot="1">
      <c r="A106" s="551"/>
      <c r="B106" s="544"/>
      <c r="C106" s="568"/>
      <c r="D106" s="568"/>
      <c r="E106" s="568"/>
      <c r="F106" s="568"/>
      <c r="G106" s="675"/>
      <c r="H106" s="675"/>
      <c r="I106" s="675"/>
      <c r="J106" s="675"/>
      <c r="K106" s="675"/>
      <c r="L106" s="675"/>
      <c r="M106" s="697"/>
      <c r="N106" s="1149"/>
      <c r="O106" s="1149"/>
      <c r="P106" s="556"/>
      <c r="Q106" s="557"/>
    </row>
    <row r="107" spans="1:17">
      <c r="A107" s="525" t="s">
        <v>2545</v>
      </c>
      <c r="B107" s="526" t="s">
        <v>2771</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0" t="str">
        <f t="shared" si="25"/>
        <v>(含)-</v>
      </c>
      <c r="L107" s="1760" t="str">
        <f t="shared" si="25"/>
        <v>(含)-</v>
      </c>
      <c r="M107" s="1761" t="str">
        <f>M108&amp;"(含)"&amp;"-"&amp;P108</f>
        <v>(含)-</v>
      </c>
      <c r="N107" s="1148"/>
      <c r="O107" s="1148"/>
      <c r="P107" s="45"/>
      <c r="Q107" s="502"/>
    </row>
    <row r="108" spans="1:17" ht="15">
      <c r="A108" s="532"/>
      <c r="B108" s="544"/>
      <c r="C108" s="593"/>
      <c r="D108" s="593"/>
      <c r="E108" s="593"/>
      <c r="F108" s="593"/>
      <c r="G108" s="593"/>
      <c r="H108" s="593"/>
      <c r="I108" s="593"/>
      <c r="J108" s="594"/>
      <c r="K108" s="594"/>
      <c r="L108" s="595"/>
      <c r="M108" s="596"/>
      <c r="N108" s="1148"/>
      <c r="O108" s="1148"/>
      <c r="P108" s="45"/>
      <c r="Q108" s="502"/>
    </row>
    <row r="109" spans="1:17" ht="15.75" thickBot="1">
      <c r="A109" s="532"/>
      <c r="B109" s="541"/>
      <c r="C109" s="568"/>
      <c r="D109" s="589"/>
      <c r="E109" s="589"/>
      <c r="F109" s="589"/>
      <c r="G109" s="589"/>
      <c r="H109" s="589"/>
      <c r="I109" s="589"/>
      <c r="J109" s="589"/>
      <c r="K109" s="589"/>
      <c r="L109" s="589"/>
      <c r="M109" s="590"/>
      <c r="N109" s="1149"/>
      <c r="O109" s="1149"/>
      <c r="P109" s="45"/>
      <c r="Q109" s="502"/>
    </row>
    <row r="110" spans="1:17" ht="15" thickTop="1">
      <c r="A110" s="597"/>
      <c r="B110" s="536" t="s">
        <v>2772</v>
      </c>
      <c r="C110" s="581"/>
      <c r="D110" s="581"/>
      <c r="E110" s="581"/>
      <c r="F110" s="581"/>
      <c r="G110" s="581"/>
      <c r="H110" s="581"/>
      <c r="I110" s="581"/>
      <c r="J110" s="581"/>
      <c r="K110" s="582"/>
      <c r="L110" s="583"/>
      <c r="M110" s="584"/>
      <c r="N110" s="1148"/>
      <c r="O110" s="1148"/>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9"/>
      <c r="O111" s="1149"/>
      <c r="P111" s="45"/>
      <c r="Q111" s="502"/>
    </row>
    <row r="112" spans="1:17" s="469" customFormat="1" ht="15" thickTop="1">
      <c r="A112" s="591"/>
      <c r="B112" s="536" t="s">
        <v>2774</v>
      </c>
      <c r="C112" s="552"/>
      <c r="D112" s="552"/>
      <c r="E112" s="552"/>
      <c r="F112" s="552"/>
      <c r="G112" s="552"/>
      <c r="H112" s="581"/>
      <c r="I112" s="581"/>
      <c r="J112" s="581"/>
      <c r="K112" s="582"/>
      <c r="L112" s="583"/>
      <c r="M112" s="584"/>
      <c r="N112" s="1150"/>
      <c r="O112" s="1150"/>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0"/>
      <c r="O113" s="1150"/>
      <c r="P113" s="556"/>
      <c r="Q113" s="557"/>
    </row>
    <row r="114" spans="1:17" ht="15" thickTop="1">
      <c r="A114" s="597"/>
      <c r="B114" s="536" t="s">
        <v>2775</v>
      </c>
      <c r="C114" s="552"/>
      <c r="D114" s="552"/>
      <c r="E114" s="581"/>
      <c r="F114" s="581"/>
      <c r="G114" s="581"/>
      <c r="H114" s="581"/>
      <c r="I114" s="581"/>
      <c r="J114" s="581"/>
      <c r="K114" s="582"/>
      <c r="L114" s="583"/>
      <c r="M114" s="584"/>
      <c r="N114" s="1148"/>
      <c r="O114" s="1148"/>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9"/>
      <c r="O115" s="1149"/>
      <c r="P115" s="45"/>
      <c r="Q115" s="502"/>
    </row>
    <row r="116" spans="1:17" ht="15" thickTop="1">
      <c r="A116" s="597"/>
      <c r="B116" s="536">
        <f>B38</f>
        <v>111</v>
      </c>
      <c r="C116" s="552"/>
      <c r="D116" s="552"/>
      <c r="E116" s="552"/>
      <c r="F116" s="552"/>
      <c r="G116" s="552"/>
      <c r="H116" s="581"/>
      <c r="I116" s="581"/>
      <c r="J116" s="581"/>
      <c r="K116" s="582"/>
      <c r="L116" s="583"/>
      <c r="M116" s="584"/>
      <c r="N116" s="1148"/>
      <c r="O116" s="1148"/>
      <c r="P116" s="45"/>
      <c r="Q116" s="502"/>
    </row>
    <row r="117" spans="1:17" ht="15.75" thickBot="1">
      <c r="A117" s="532"/>
      <c r="B117" s="541"/>
      <c r="C117" s="558"/>
      <c r="D117" s="534"/>
      <c r="E117" s="534"/>
      <c r="F117" s="534"/>
      <c r="G117" s="534"/>
      <c r="H117" s="534"/>
      <c r="I117" s="534"/>
      <c r="J117" s="534"/>
      <c r="K117" s="534"/>
      <c r="L117" s="534"/>
      <c r="M117" s="535"/>
      <c r="N117" s="1149"/>
      <c r="O117" s="1149"/>
      <c r="P117" s="45"/>
      <c r="Q117" s="502"/>
    </row>
    <row r="118" spans="1:17" ht="15" thickTop="1">
      <c r="A118" s="597"/>
      <c r="B118" s="536">
        <f>B39</f>
        <v>111</v>
      </c>
      <c r="C118" s="552"/>
      <c r="D118" s="552"/>
      <c r="E118" s="552"/>
      <c r="F118" s="552"/>
      <c r="G118" s="581"/>
      <c r="H118" s="581"/>
      <c r="I118" s="581"/>
      <c r="J118" s="581"/>
      <c r="K118" s="582"/>
      <c r="L118" s="583"/>
      <c r="M118" s="584"/>
      <c r="N118" s="1148"/>
      <c r="O118" s="1148"/>
      <c r="P118" s="45"/>
      <c r="Q118" s="502"/>
    </row>
    <row r="119" spans="1:17" ht="15.75" thickBot="1">
      <c r="A119" s="532"/>
      <c r="B119" s="541"/>
      <c r="C119" s="558"/>
      <c r="D119" s="558"/>
      <c r="E119" s="558"/>
      <c r="F119" s="558"/>
      <c r="G119" s="534"/>
      <c r="H119" s="534"/>
      <c r="I119" s="534"/>
      <c r="J119" s="534"/>
      <c r="K119" s="534"/>
      <c r="L119" s="534"/>
      <c r="M119" s="535"/>
      <c r="N119" s="1149"/>
      <c r="O119" s="1149"/>
      <c r="P119" s="45"/>
      <c r="Q119" s="502"/>
    </row>
    <row r="120" spans="1:17" s="469" customFormat="1" ht="15" thickTop="1">
      <c r="A120" s="591"/>
      <c r="B120" s="536">
        <f>B40</f>
        <v>111</v>
      </c>
      <c r="C120" s="521"/>
      <c r="D120" s="521"/>
      <c r="E120" s="521"/>
      <c r="F120" s="521"/>
      <c r="G120" s="553"/>
      <c r="H120" s="553"/>
      <c r="I120" s="553"/>
      <c r="J120" s="553"/>
      <c r="K120" s="553"/>
      <c r="L120" s="554"/>
      <c r="M120" s="555"/>
      <c r="N120" s="1150"/>
      <c r="O120" s="1150"/>
      <c r="P120" s="556"/>
      <c r="Q120" s="557"/>
    </row>
    <row r="121" spans="1:17" s="469" customFormat="1" ht="15.75" thickBot="1">
      <c r="A121" s="566"/>
      <c r="B121" s="698"/>
      <c r="C121" s="568"/>
      <c r="D121" s="568"/>
      <c r="E121" s="568"/>
      <c r="F121" s="568"/>
      <c r="G121" s="589"/>
      <c r="H121" s="589"/>
      <c r="I121" s="589"/>
      <c r="J121" s="589"/>
      <c r="K121" s="589"/>
      <c r="L121" s="589"/>
      <c r="M121" s="590"/>
      <c r="N121" s="1150"/>
      <c r="O121" s="1150"/>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72" customWidth="1"/>
    <col min="2" max="2" width="19.25" style="2878" customWidth="1"/>
    <col min="3" max="4" width="12" style="2704"/>
    <col min="5" max="5" width="14.625" style="2704" customWidth="1"/>
    <col min="6" max="8" width="12" style="2704"/>
    <col min="9" max="9" width="12.25" style="2704" bestFit="1" customWidth="1"/>
    <col min="10" max="10" width="12" style="2704"/>
    <col min="11" max="11" width="8.125" style="2767" customWidth="1"/>
    <col min="12" max="12" width="12" style="2704"/>
    <col min="13" max="13" width="8.5" style="2704" customWidth="1"/>
    <col min="14" max="14" width="9.75" style="2704" customWidth="1"/>
    <col min="15" max="25" width="12" style="2704"/>
    <col min="26" max="26" width="9.375" style="2772" customWidth="1"/>
    <col min="27" max="32" width="9.375" style="1368" customWidth="1"/>
    <col min="33" max="36" width="9.375" style="2772" customWidth="1"/>
    <col min="37" max="38" width="9.375" style="2704" customWidth="1"/>
    <col min="39" max="16384" width="12" style="2704"/>
  </cols>
  <sheetData>
    <row r="1" spans="1:36" ht="28.5">
      <c r="A1" s="238" t="s">
        <v>2784</v>
      </c>
      <c r="B1" s="239"/>
      <c r="C1" s="243" t="s">
        <v>2785</v>
      </c>
      <c r="D1" s="386">
        <f>SUM(D29:D30,D33:D39)</f>
        <v>0</v>
      </c>
      <c r="E1" s="2701"/>
      <c r="F1" s="2701"/>
      <c r="G1" s="2701"/>
      <c r="H1" s="2701"/>
      <c r="I1" s="2701"/>
      <c r="J1" s="2701"/>
      <c r="K1" s="1366"/>
      <c r="L1" s="2702" t="s">
        <v>2786</v>
      </c>
      <c r="M1" s="1076">
        <f>SUMPRODUCT((区片价!B5:B9=I2)*(区片价!C3:F3=E2)*(区片价!C5:F9))</f>
        <v>0</v>
      </c>
      <c r="N1" s="1079">
        <f>SUMPRODUCT((因素修正幅度!B5:B9=I2)*(因素修正幅度!C3:F3=E2)*(因素修正幅度!C5:F9))</f>
        <v>0</v>
      </c>
      <c r="O1" s="2703"/>
      <c r="P1" s="2703"/>
      <c r="Q1" s="1366"/>
      <c r="R1" s="1596" t="s">
        <v>2787</v>
      </c>
      <c r="S1" s="1596" t="s">
        <v>2788</v>
      </c>
      <c r="T1" s="1596" t="s">
        <v>2789</v>
      </c>
      <c r="U1" s="1596" t="s">
        <v>2790</v>
      </c>
      <c r="V1" s="1596" t="s">
        <v>2791</v>
      </c>
      <c r="W1" s="1600"/>
      <c r="X1" s="1600"/>
      <c r="Y1" s="1600"/>
      <c r="Z1" s="1600"/>
      <c r="AA1" s="1600"/>
      <c r="AB1" s="1600"/>
      <c r="AC1" s="1601"/>
      <c r="AD1" s="1602"/>
      <c r="AE1" s="1602"/>
      <c r="AF1" s="1602"/>
      <c r="AG1" s="1602"/>
      <c r="AH1" s="1602"/>
      <c r="AI1" s="1602"/>
      <c r="AJ1" s="1603"/>
    </row>
    <row r="2" spans="1:36" ht="15.75">
      <c r="A2" s="243" t="s">
        <v>2792</v>
      </c>
      <c r="B2" s="246" t="e">
        <f>C26</f>
        <v>#DIV/0!</v>
      </c>
      <c r="C2" s="2705" t="s">
        <v>2793</v>
      </c>
      <c r="D2" s="2706" t="s">
        <v>2794</v>
      </c>
      <c r="E2" s="2707"/>
      <c r="F2" s="2706" t="s">
        <v>2795</v>
      </c>
      <c r="G2" s="2708">
        <f>IF(E2="商业",项目基本情况!B37,IF(E2="办公",项目基本情况!C37,IF(E2="住宅",项目基本情况!D37,项目基本情况!E37)))</f>
        <v>0</v>
      </c>
      <c r="H2" s="2706" t="s">
        <v>2796</v>
      </c>
      <c r="I2" s="2708">
        <f>IF(E2="商业",项目基本情况!B38,IF(E2="办公",项目基本情况!C38,IF(E2="住宅",项目基本情况!D38,项目基本情况!E38)))</f>
        <v>0</v>
      </c>
      <c r="J2" s="2709"/>
      <c r="K2" s="1366"/>
      <c r="L2" s="2710" t="s">
        <v>2797</v>
      </c>
      <c r="M2" s="1077">
        <f>SUMPRODUCT((区片价!B10:B28=I2)*(区片价!C3:F3=E2)*(区片价!C10:F28))</f>
        <v>0</v>
      </c>
      <c r="N2" s="1079">
        <f>SUMPRODUCT((因素修正幅度!B10:B28=I2)*(因素修正幅度!C3:F3=E2)*(因素修正幅度!C10:F28))</f>
        <v>0</v>
      </c>
      <c r="O2" s="1366"/>
      <c r="P2" s="1366"/>
      <c r="Q2" s="1366"/>
      <c r="R2" s="1596">
        <v>1</v>
      </c>
      <c r="S2" s="1596">
        <f>ROUND(IF(G3&gt;1,IF(R2&lt;7,SUMPRODUCT((B93:B98=R2)*(C92:N92=G2)*(C93:N98)),SUMIF(C92:N92,G2,C100:N100)),IF(R2&lt;7,SUMPRODUCT((B102:B107=R2)*(C92:N92=G2)*(C102:N107)),SUMIF(C92:N92,G2,C109:N109))),4)</f>
        <v>0</v>
      </c>
      <c r="T2" s="1596" t="e">
        <f>ROUND($C$5*$C$18*$C$19*$C$20*S2*$C$24,0)</f>
        <v>#DIV/0!</v>
      </c>
      <c r="U2" s="1597"/>
      <c r="V2" s="1596" t="e">
        <f>ROUND(T2*U2/10000,0)</f>
        <v>#DIV/0!</v>
      </c>
      <c r="W2" s="1600"/>
      <c r="X2" s="1600"/>
      <c r="Y2" s="1600"/>
      <c r="Z2" s="1600"/>
      <c r="AA2" s="1600"/>
      <c r="AB2" s="1600"/>
      <c r="AC2" s="1601"/>
      <c r="AD2" s="1602"/>
      <c r="AE2" s="1602"/>
      <c r="AF2" s="1602"/>
      <c r="AG2" s="1602"/>
      <c r="AH2" s="1602"/>
      <c r="AI2" s="1602"/>
      <c r="AJ2" s="1603"/>
    </row>
    <row r="3" spans="1:36" ht="15.75">
      <c r="A3" s="245" t="s">
        <v>2798</v>
      </c>
      <c r="B3" s="246" t="e">
        <f>ROUND(B2*10000/D1,0)</f>
        <v>#DIV/0!</v>
      </c>
      <c r="C3" s="2705" t="s">
        <v>2799</v>
      </c>
      <c r="D3" s="2706" t="s">
        <v>2800</v>
      </c>
      <c r="E3" s="2711"/>
      <c r="F3" s="2712" t="s">
        <v>2801</v>
      </c>
      <c r="G3" s="914">
        <f>IF(F3="宗地容积率",'数据-汇总表'!I4,IF(F3="估价对象容积率",'数据-汇总表'!I6,'数据-汇总表'!I7))</f>
        <v>1.27</v>
      </c>
      <c r="H3" s="196" t="s">
        <v>2802</v>
      </c>
      <c r="I3" s="942"/>
      <c r="J3" s="2709" t="s">
        <v>2803</v>
      </c>
      <c r="K3" s="1366"/>
      <c r="L3" s="2710" t="s">
        <v>2804</v>
      </c>
      <c r="M3" s="1077">
        <f>SUMPRODUCT((区片价!B29:B48=I2)*(区片价!C3:F3=E2)*(区片价!C29:F48))</f>
        <v>0</v>
      </c>
      <c r="N3" s="1079">
        <f>SUMPRODUCT((因素修正幅度!B29:B48=I2)*(因素修正幅度!C3:F3=E2)*(因素修正幅度!C29:F48))</f>
        <v>0</v>
      </c>
      <c r="O3" s="1366"/>
      <c r="P3" s="1366"/>
      <c r="Q3" s="1366"/>
      <c r="R3" s="1596">
        <v>2</v>
      </c>
      <c r="S3" s="1596">
        <f>ROUND(IF(G3&gt;1,IF(R3&lt;7,SUMPRODUCT((B93:B98=R3)*(C92:N92=G2)*(C93:N98)),SUMIF(C92:N92,G2,C100:N100)),IF(R3&lt;7,SUMPRODUCT((B102:B107=R3)*(C92:N92=G2)*(C102:N107)),SUMIF(C92:N92,G2,C109:N109))),4)</f>
        <v>0</v>
      </c>
      <c r="T3" s="1596" t="e">
        <f t="shared" ref="T3:T16" si="0">ROUND($C$5*$C$18*$C$19*$C$20*S3*$C$24,0)</f>
        <v>#DIV/0!</v>
      </c>
      <c r="U3" s="1597"/>
      <c r="V3" s="1596" t="e">
        <f t="shared" ref="V3:V16" si="1">ROUND(T3*U3/10000,0)</f>
        <v>#DIV/0!</v>
      </c>
      <c r="W3" s="1600"/>
      <c r="X3" s="1600"/>
      <c r="Y3" s="1600"/>
      <c r="Z3" s="1600"/>
      <c r="AA3" s="1600"/>
      <c r="AB3" s="1600"/>
      <c r="AC3" s="1601"/>
      <c r="AD3" s="1602"/>
      <c r="AE3" s="1602"/>
      <c r="AF3" s="1602"/>
      <c r="AG3" s="1602"/>
      <c r="AH3" s="1602"/>
      <c r="AI3" s="1602"/>
      <c r="AJ3" s="1603"/>
    </row>
    <row r="4" spans="1:36" ht="15.75">
      <c r="A4" s="3433"/>
      <c r="B4" s="3434"/>
      <c r="C4" s="3434"/>
      <c r="D4" s="3435"/>
      <c r="E4" s="3435"/>
      <c r="F4" s="3435"/>
      <c r="G4" s="3435"/>
      <c r="H4" s="3435"/>
      <c r="I4" s="3435"/>
      <c r="J4" s="3436"/>
      <c r="K4" s="1366"/>
      <c r="L4" s="2710" t="s">
        <v>2805</v>
      </c>
      <c r="M4" s="1077">
        <f>SUMPRODUCT((区片价!B49:B75=I2)*(区片价!C3:F3=E2)*(区片价!C49:F75))</f>
        <v>0</v>
      </c>
      <c r="N4" s="1079">
        <f>SUMPRODUCT((因素修正幅度!B49:B75=I2)*(因素修正幅度!C3:F3=E2)*(因素修正幅度!C49:F75))</f>
        <v>0</v>
      </c>
      <c r="O4" s="1366"/>
      <c r="P4" s="1366"/>
      <c r="Q4" s="1366"/>
      <c r="R4" s="1596">
        <v>3</v>
      </c>
      <c r="S4" s="1596">
        <f>ROUND(IF(G3&gt;1,IF(R4&lt;7,SUMPRODUCT((B93:B98=R4)*(C92:N92=G2)*(C93:N98)),SUMIF(C92:N92,G2,C100:N100)),IF(R4&lt;7,SUMPRODUCT((B102:B107=R4)*(C92:N92=G2)*(C102:N107)),SUMIF(C92:N92,G2,C109:N109))),4)</f>
        <v>0</v>
      </c>
      <c r="T4" s="1596" t="e">
        <f t="shared" si="0"/>
        <v>#DIV/0!</v>
      </c>
      <c r="U4" s="1597"/>
      <c r="V4" s="1596" t="e">
        <f t="shared" si="1"/>
        <v>#DIV/0!</v>
      </c>
      <c r="W4" s="1600"/>
      <c r="X4" s="1600"/>
      <c r="Y4" s="1600"/>
      <c r="Z4" s="1600"/>
      <c r="AA4" s="1600"/>
      <c r="AB4" s="1600"/>
      <c r="AC4" s="1601"/>
      <c r="AD4" s="1602"/>
      <c r="AE4" s="1602"/>
      <c r="AF4" s="1602"/>
      <c r="AG4" s="1602"/>
      <c r="AH4" s="1602"/>
      <c r="AI4" s="1602"/>
      <c r="AJ4" s="1603"/>
    </row>
    <row r="5" spans="1:36" s="2722" customFormat="1" ht="15.75" thickBot="1">
      <c r="A5" s="2713" t="s">
        <v>807</v>
      </c>
      <c r="B5" s="2714" t="s">
        <v>2806</v>
      </c>
      <c r="C5" s="915" t="e">
        <f>ROUND(IF(E2="商业",C6*C7+C16,(IF(E2="住宅",C6*C12+C16,C6+C16))),0)</f>
        <v>#DIV/0!</v>
      </c>
      <c r="D5" s="1781" t="e">
        <f>ROUND(C6+C16,0)</f>
        <v>#DIV/0!</v>
      </c>
      <c r="E5" s="1781"/>
      <c r="F5" s="2715"/>
      <c r="G5" s="2716"/>
      <c r="H5" s="2716"/>
      <c r="I5" s="2716"/>
      <c r="J5" s="2717"/>
      <c r="K5" s="2718"/>
      <c r="L5" s="2710" t="s">
        <v>2807</v>
      </c>
      <c r="M5" s="1077">
        <f>SUMPRODUCT((区片价!B76:B109=I2)*(区片价!C3:F3=E2)*(区片价!C76:F109))</f>
        <v>0</v>
      </c>
      <c r="N5" s="1079">
        <f>SUMPRODUCT((因素修正幅度!B76:B109=I2)*(因素修正幅度!C3:F3=E2)*(因素修正幅度!C76:F109))</f>
        <v>0</v>
      </c>
      <c r="O5" s="1366"/>
      <c r="P5" s="1366"/>
      <c r="Q5" s="1366"/>
      <c r="R5" s="1596">
        <v>4</v>
      </c>
      <c r="S5" s="1596">
        <f>ROUND(IF(G3&gt;1,IF(R5&lt;7,SUMPRODUCT((B93:B98=R5)*(C92:N92=G2)*(C93:N98)),SUMIF(C92:N92,G2,C100:N100)),IF(R5&lt;7,SUMPRODUCT((B102:B107=R5)*(C92:N92=G2)*(C102:N107)),SUMIF(C92:N92,G2,C109:N109))),4)</f>
        <v>0</v>
      </c>
      <c r="T5" s="1596" t="e">
        <f t="shared" si="0"/>
        <v>#DIV/0!</v>
      </c>
      <c r="U5" s="1597"/>
      <c r="V5" s="1596" t="e">
        <f t="shared" si="1"/>
        <v>#DIV/0!</v>
      </c>
      <c r="W5" s="1600"/>
      <c r="X5" s="1600"/>
      <c r="Y5" s="1600"/>
      <c r="Z5" s="1600"/>
      <c r="AA5" s="1600"/>
      <c r="AB5" s="1600"/>
      <c r="AC5" s="2719"/>
      <c r="AD5" s="2720"/>
      <c r="AE5" s="2720"/>
      <c r="AF5" s="2720"/>
      <c r="AG5" s="2720"/>
      <c r="AH5" s="2720"/>
      <c r="AI5" s="2720"/>
      <c r="AJ5" s="2721"/>
    </row>
    <row r="6" spans="1:36" ht="15.75" thickBot="1">
      <c r="A6" s="2723" t="s">
        <v>2808</v>
      </c>
      <c r="B6" s="2724" t="s">
        <v>2809</v>
      </c>
      <c r="C6" s="916">
        <f>SUMIF(L1:L12,G2,M1:M12)</f>
        <v>0</v>
      </c>
      <c r="D6" s="2725" t="s">
        <v>2810</v>
      </c>
      <c r="E6" s="2726"/>
      <c r="F6" s="2726"/>
      <c r="G6" s="2727"/>
      <c r="H6" s="2727"/>
      <c r="I6" s="2727"/>
      <c r="J6" s="2728"/>
      <c r="K6" s="1836"/>
      <c r="L6" s="2710" t="s">
        <v>2811</v>
      </c>
      <c r="M6" s="1077">
        <f>SUMPRODUCT((区片价!B110:B157=I2)*(区片价!C3:F3=E2)*(区片价!C110:F157))</f>
        <v>0</v>
      </c>
      <c r="N6" s="1079">
        <f>SUMPRODUCT((因素修正幅度!B110:B157=I2)*(因素修正幅度!C3:F3=E2)*(因素修正幅度!C110:F157))</f>
        <v>0</v>
      </c>
      <c r="O6" s="1366"/>
      <c r="P6" s="1366"/>
      <c r="Q6" s="1366"/>
      <c r="R6" s="1596">
        <v>5</v>
      </c>
      <c r="S6" s="1596">
        <f>ROUND(IF(G3&gt;1,IF(R6&lt;7,SUMPRODUCT((B93:B98=R6)*(C92:N92=G2)*(C93:N98)),SUMIF(C92:N92,G2,C100:N100)),IF(R6&lt;7,SUMPRODUCT((B102:B107=R6)*(C92:N92=G2)*(C102:N107)),SUMIF(C92:N92,G2,C109:N109))),4)</f>
        <v>0</v>
      </c>
      <c r="T6" s="1596" t="e">
        <f t="shared" si="0"/>
        <v>#DIV/0!</v>
      </c>
      <c r="U6" s="1597"/>
      <c r="V6" s="1596" t="e">
        <f t="shared" si="1"/>
        <v>#DIV/0!</v>
      </c>
      <c r="W6" s="1600"/>
      <c r="X6" s="1600"/>
      <c r="Y6" s="1600"/>
      <c r="Z6" s="1600"/>
      <c r="AA6" s="1600"/>
      <c r="AB6" s="1600"/>
      <c r="AC6" s="2719"/>
      <c r="AD6" s="2720"/>
      <c r="AE6" s="2720"/>
      <c r="AF6" s="2720"/>
      <c r="AG6" s="2720"/>
      <c r="AH6" s="2720"/>
      <c r="AI6" s="2720"/>
      <c r="AJ6" s="2721"/>
    </row>
    <row r="7" spans="1:36" ht="24">
      <c r="A7" s="3437" t="str">
        <f>IF(E2="商业",IF(C8="不临58条商业街","",2),"")</f>
        <v/>
      </c>
      <c r="B7" s="2729" t="s">
        <v>2812</v>
      </c>
      <c r="C7" s="917" t="e">
        <f>IF(C8="不临58条商业街",1,ROUND(1+(1.6*E8+1.2*E9+0.8*E10+0.4*E11)*C9,4))</f>
        <v>#DIV/0!</v>
      </c>
      <c r="D7" s="2730" t="s">
        <v>2813</v>
      </c>
      <c r="E7" s="943"/>
      <c r="F7" s="2731"/>
      <c r="G7" s="2732"/>
      <c r="H7" s="2732"/>
      <c r="I7" s="2732"/>
      <c r="J7" s="2733"/>
      <c r="K7" s="1836"/>
      <c r="L7" s="2710" t="s">
        <v>2814</v>
      </c>
      <c r="M7" s="1077">
        <f>SUMPRODUCT((区片价!B158:B205=I2)*(区片价!C3:F3=E2)*(区片价!C158:F205))</f>
        <v>0</v>
      </c>
      <c r="N7" s="1079">
        <f>SUMPRODUCT((因素修正幅度!B158:B205=I2)*(因素修正幅度!C3:F3=E2)*(因素修正幅度!C158:F205))</f>
        <v>0</v>
      </c>
      <c r="O7" s="1366"/>
      <c r="P7" s="1366"/>
      <c r="Q7" s="1366"/>
      <c r="R7" s="1596">
        <v>6</v>
      </c>
      <c r="S7" s="1596">
        <f>ROUND(IF(G3&gt;1,IF(R7&lt;7,SUMPRODUCT((B93:B98=R7)*(C92:N92=G2)*(C93:N98)),SUMIF(C92:N92,G2,C100:N100)),IF(R7&lt;7,SUMPRODUCT((B102:B107=R7)*(C92:N92=G2)*(C102:N107)),SUMIF(C92:N92,G2,C109:N109))),4)</f>
        <v>0</v>
      </c>
      <c r="T7" s="1596" t="e">
        <f t="shared" si="0"/>
        <v>#DIV/0!</v>
      </c>
      <c r="U7" s="1597"/>
      <c r="V7" s="1596" t="e">
        <f t="shared" si="1"/>
        <v>#DIV/0!</v>
      </c>
      <c r="W7" s="1810" t="s">
        <v>2815</v>
      </c>
      <c r="X7" s="1598">
        <f>G2</f>
        <v>0</v>
      </c>
      <c r="Y7" s="1598" t="s">
        <v>2816</v>
      </c>
      <c r="Z7" s="1599">
        <f>G3</f>
        <v>1.27</v>
      </c>
      <c r="AA7" s="1600"/>
      <c r="AB7" s="1600"/>
      <c r="AC7" s="1601"/>
      <c r="AD7" s="1602"/>
      <c r="AE7" s="1602"/>
      <c r="AF7" s="1602"/>
      <c r="AG7" s="1602"/>
      <c r="AH7" s="1602"/>
      <c r="AI7" s="1602"/>
      <c r="AJ7" s="1603"/>
    </row>
    <row r="8" spans="1:36" ht="15">
      <c r="A8" s="3438"/>
      <c r="B8" s="196" t="s">
        <v>2817</v>
      </c>
      <c r="C8" s="2734"/>
      <c r="D8" s="918" t="s">
        <v>139</v>
      </c>
      <c r="E8" s="919" t="e">
        <f>ROUND(C11/E7,4)</f>
        <v>#DIV/0!</v>
      </c>
      <c r="F8" s="2735" t="s">
        <v>2818</v>
      </c>
      <c r="G8" s="2736"/>
      <c r="H8" s="2736"/>
      <c r="I8" s="2736"/>
      <c r="J8" s="2737"/>
      <c r="K8" s="1366"/>
      <c r="L8" s="2710" t="s">
        <v>2819</v>
      </c>
      <c r="M8" s="1077">
        <f>SUMPRODUCT((区片价!B206:B244=I2)*(区片价!C3:F3=E2)*(区片价!C206:F244))</f>
        <v>0</v>
      </c>
      <c r="N8" s="1079">
        <f>SUMPRODUCT((因素修正幅度!B206:B244=I2)*(因素修正幅度!C3:F3=E2)*(因素修正幅度!C206:F244))</f>
        <v>0</v>
      </c>
      <c r="O8" s="1366"/>
      <c r="P8" s="1366"/>
      <c r="Q8" s="1366"/>
      <c r="R8" s="1596">
        <v>7</v>
      </c>
      <c r="S8" s="1597"/>
      <c r="T8" s="1596" t="e">
        <f t="shared" si="0"/>
        <v>#DIV/0!</v>
      </c>
      <c r="U8" s="1597"/>
      <c r="V8" s="1596" t="e">
        <f t="shared" si="1"/>
        <v>#DIV/0!</v>
      </c>
      <c r="W8" s="3430" t="s">
        <v>2820</v>
      </c>
      <c r="X8" s="3431"/>
      <c r="Y8" s="1604" t="s">
        <v>2821</v>
      </c>
      <c r="Z8" s="1604" t="s">
        <v>2822</v>
      </c>
      <c r="AA8" s="1604" t="s">
        <v>2823</v>
      </c>
      <c r="AB8" s="1604" t="s">
        <v>2824</v>
      </c>
      <c r="AC8" s="1604" t="s">
        <v>2825</v>
      </c>
      <c r="AD8" s="1604" t="s">
        <v>2826</v>
      </c>
      <c r="AE8" s="1604" t="s">
        <v>2827</v>
      </c>
      <c r="AF8" s="1604" t="s">
        <v>2828</v>
      </c>
      <c r="AG8" s="1604" t="s">
        <v>2829</v>
      </c>
      <c r="AH8" s="1604" t="s">
        <v>2830</v>
      </c>
      <c r="AI8" s="1604" t="s">
        <v>2831</v>
      </c>
      <c r="AJ8" s="1604" t="s">
        <v>2832</v>
      </c>
    </row>
    <row r="9" spans="1:36" ht="15">
      <c r="A9" s="3438"/>
      <c r="B9" s="196" t="s">
        <v>2833</v>
      </c>
      <c r="C9" s="920">
        <f>SUMIF(修正!C59:C119,C8,修正!E59:E119)</f>
        <v>0</v>
      </c>
      <c r="D9" s="198" t="s">
        <v>140</v>
      </c>
      <c r="E9" s="198" t="e">
        <f>ROUND(C11/E7,4)</f>
        <v>#DIV/0!</v>
      </c>
      <c r="F9" s="2735" t="s">
        <v>2834</v>
      </c>
      <c r="G9" s="2736"/>
      <c r="H9" s="2736"/>
      <c r="I9" s="2736"/>
      <c r="J9" s="2737"/>
      <c r="K9" s="1366"/>
      <c r="L9" s="2710" t="s">
        <v>2835</v>
      </c>
      <c r="M9" s="1077">
        <f>SUMPRODUCT((区片价!B245:B289=I2)*(区片价!C3:F3=E2)*(区片价!C245:F289))</f>
        <v>0</v>
      </c>
      <c r="N9" s="1079">
        <f>SUMPRODUCT((因素修正幅度!B245:B289=I2)*(因素修正幅度!C3:F3=E2)*(因素修正幅度!C245:F289))</f>
        <v>0</v>
      </c>
      <c r="O9" s="1366"/>
      <c r="P9" s="1366"/>
      <c r="Q9" s="1366"/>
      <c r="R9" s="1596">
        <v>8</v>
      </c>
      <c r="S9" s="1597"/>
      <c r="T9" s="1596" t="e">
        <f t="shared" si="0"/>
        <v>#DIV/0!</v>
      </c>
      <c r="U9" s="1597"/>
      <c r="V9" s="1596" t="e">
        <f t="shared" si="1"/>
        <v>#DIV/0!</v>
      </c>
      <c r="W9" s="3432" t="s">
        <v>2836</v>
      </c>
      <c r="X9" s="1605" t="s">
        <v>2837</v>
      </c>
      <c r="Y9" s="1766"/>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438"/>
      <c r="B10" s="196" t="s">
        <v>2838</v>
      </c>
      <c r="C10" s="198">
        <f>SUMIF(修正!C59:C119,C8,修正!F59:F119)</f>
        <v>0</v>
      </c>
      <c r="D10" s="198" t="s">
        <v>141</v>
      </c>
      <c r="E10" s="198" t="e">
        <f>ROUND(C11/E7,4)</f>
        <v>#DIV/0!</v>
      </c>
      <c r="F10" s="2735" t="s">
        <v>2839</v>
      </c>
      <c r="G10" s="2736"/>
      <c r="H10" s="2736"/>
      <c r="I10" s="2736"/>
      <c r="J10" s="2737"/>
      <c r="K10" s="1366"/>
      <c r="L10" s="2710" t="s">
        <v>2840</v>
      </c>
      <c r="M10" s="1077">
        <f>SUMPRODUCT((区片价!B290:B316=I2)*(区片价!C3:F3=E2)*(区片价!C290:F316))</f>
        <v>0</v>
      </c>
      <c r="N10" s="1079">
        <f>SUMPRODUCT((因素修正幅度!B290:B316=I2)*(因素修正幅度!C3:F3=E2)*(因素修正幅度!C290:F316))</f>
        <v>0</v>
      </c>
      <c r="O10" s="1366"/>
      <c r="P10" s="1366"/>
      <c r="Q10" s="1366"/>
      <c r="R10" s="1596">
        <v>9</v>
      </c>
      <c r="S10" s="1597"/>
      <c r="T10" s="1596" t="e">
        <f t="shared" si="0"/>
        <v>#DIV/0!</v>
      </c>
      <c r="U10" s="1597"/>
      <c r="V10" s="1596" t="e">
        <f t="shared" si="1"/>
        <v>#DIV/0!</v>
      </c>
      <c r="W10" s="3432"/>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75" thickBot="1">
      <c r="A11" s="3438"/>
      <c r="B11" s="2738" t="s">
        <v>2841</v>
      </c>
      <c r="C11" s="921">
        <f>C10/4</f>
        <v>0</v>
      </c>
      <c r="D11" s="921" t="s">
        <v>142</v>
      </c>
      <c r="E11" s="921" t="e">
        <f>ROUND(C11/E7,4)</f>
        <v>#DIV/0!</v>
      </c>
      <c r="F11" s="2739" t="s">
        <v>2842</v>
      </c>
      <c r="G11" s="2740"/>
      <c r="H11" s="2740"/>
      <c r="I11" s="2740"/>
      <c r="J11" s="2741"/>
      <c r="K11" s="1366"/>
      <c r="L11" s="2710" t="s">
        <v>2843</v>
      </c>
      <c r="M11" s="1077">
        <f>SUMPRODUCT((区片价!B317:B337=I2)*(区片价!C3:F3=E2)*(区片价!C317:F337))</f>
        <v>0</v>
      </c>
      <c r="N11" s="1079">
        <f>SUMPRODUCT((因素修正幅度!B317:B337=I2)*(因素修正幅度!C3:F3=E2)*(因素修正幅度!C317:F337))</f>
        <v>0</v>
      </c>
      <c r="O11" s="1366"/>
      <c r="P11" s="1366"/>
      <c r="Q11" s="1366"/>
      <c r="R11" s="1596">
        <v>10</v>
      </c>
      <c r="S11" s="1597"/>
      <c r="T11" s="1596" t="e">
        <f t="shared" si="0"/>
        <v>#DIV/0!</v>
      </c>
      <c r="U11" s="1597"/>
      <c r="V11" s="1596" t="e">
        <f t="shared" si="1"/>
        <v>#DIV/0!</v>
      </c>
      <c r="W11" s="3432" t="s">
        <v>2844</v>
      </c>
      <c r="X11" s="1608" t="s">
        <v>2845</v>
      </c>
      <c r="Y11" s="1609">
        <f>$G$3</f>
        <v>1.27</v>
      </c>
      <c r="Z11" s="1609">
        <f t="shared" ref="Z11:AJ11" si="3">$G$3</f>
        <v>1.27</v>
      </c>
      <c r="AA11" s="1609">
        <f t="shared" si="3"/>
        <v>1.27</v>
      </c>
      <c r="AB11" s="1609">
        <f t="shared" si="3"/>
        <v>1.27</v>
      </c>
      <c r="AC11" s="1609">
        <f t="shared" si="3"/>
        <v>1.27</v>
      </c>
      <c r="AD11" s="1609">
        <f t="shared" si="3"/>
        <v>1.27</v>
      </c>
      <c r="AE11" s="1609">
        <f t="shared" si="3"/>
        <v>1.27</v>
      </c>
      <c r="AF11" s="1609">
        <f t="shared" si="3"/>
        <v>1.27</v>
      </c>
      <c r="AG11" s="1609">
        <f t="shared" si="3"/>
        <v>1.27</v>
      </c>
      <c r="AH11" s="1609">
        <f t="shared" si="3"/>
        <v>1.27</v>
      </c>
      <c r="AI11" s="1609">
        <f t="shared" si="3"/>
        <v>1.27</v>
      </c>
      <c r="AJ11" s="1609">
        <f t="shared" si="3"/>
        <v>1.27</v>
      </c>
    </row>
    <row r="12" spans="1:36" ht="25.5" thickBot="1">
      <c r="A12" s="3437" t="s">
        <v>2846</v>
      </c>
      <c r="B12" s="2742" t="s">
        <v>2847</v>
      </c>
      <c r="C12" s="917">
        <f>ROUND(C15*D15*E15*F15*G15*H15*I15*J15,4)</f>
        <v>1</v>
      </c>
      <c r="D12" s="2743" t="s">
        <v>2848</v>
      </c>
      <c r="E12" s="2744"/>
      <c r="F12" s="2744"/>
      <c r="G12" s="2745"/>
      <c r="H12" s="2745"/>
      <c r="I12" s="2745"/>
      <c r="J12" s="2746"/>
      <c r="K12" s="1366"/>
      <c r="L12" s="2747" t="s">
        <v>2849</v>
      </c>
      <c r="M12" s="1078">
        <f>SUMPRODUCT((区片价!B338:B344=I2)*(区片价!C3:F3=E2)*(区片价!C338:F344))</f>
        <v>0</v>
      </c>
      <c r="N12" s="1079">
        <f>SUMPRODUCT((因素修正幅度!B338:B344=I2)*(因素修正幅度!C3:F3=E2)*(因素修正幅度!C338:F344))</f>
        <v>0</v>
      </c>
      <c r="O12" s="1366"/>
      <c r="P12" s="1366"/>
      <c r="Q12" s="1366"/>
      <c r="R12" s="1596">
        <v>11</v>
      </c>
      <c r="S12" s="1597"/>
      <c r="T12" s="1596" t="e">
        <f t="shared" si="0"/>
        <v>#DIV/0!</v>
      </c>
      <c r="U12" s="1597"/>
      <c r="V12" s="1596" t="e">
        <f t="shared" si="1"/>
        <v>#DIV/0!</v>
      </c>
      <c r="W12" s="3432"/>
      <c r="X12" s="1610" t="s">
        <v>2850</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439"/>
      <c r="B13" s="2748" t="s">
        <v>2851</v>
      </c>
      <c r="C13" s="2749" t="s">
        <v>2852</v>
      </c>
      <c r="D13" s="1802" t="s">
        <v>2853</v>
      </c>
      <c r="E13" s="1802" t="s">
        <v>2854</v>
      </c>
      <c r="F13" s="30" t="s">
        <v>2855</v>
      </c>
      <c r="G13" s="2750" t="s">
        <v>2856</v>
      </c>
      <c r="H13" s="2750" t="s">
        <v>2856</v>
      </c>
      <c r="I13" s="2750" t="s">
        <v>2856</v>
      </c>
      <c r="J13" s="2751" t="s">
        <v>2856</v>
      </c>
      <c r="K13" s="1366"/>
      <c r="L13" s="1366"/>
      <c r="M13" s="1366"/>
      <c r="N13" s="1366"/>
      <c r="O13" s="1366"/>
      <c r="P13" s="1366"/>
      <c r="Q13" s="1366"/>
      <c r="R13" s="1596">
        <v>12</v>
      </c>
      <c r="S13" s="1597"/>
      <c r="T13" s="1596" t="e">
        <f t="shared" si="0"/>
        <v>#DIV/0!</v>
      </c>
      <c r="U13" s="1597"/>
      <c r="V13" s="1596" t="e">
        <f t="shared" si="1"/>
        <v>#DIV/0!</v>
      </c>
      <c r="W13" s="3432"/>
      <c r="X13" s="1610"/>
      <c r="Y13" s="1607">
        <f>(-0.163*(Y12^2)-0.59*Y12+7617)*(10^(-4))/Y11</f>
        <v>0.5997637795275591</v>
      </c>
      <c r="Z13" s="1607">
        <f t="shared" ref="Z13:AJ13" si="5">(-0.163*(Z12^2)-0.59*Z12+7617)*(10^(-4))/Z11</f>
        <v>0.5997637795275591</v>
      </c>
      <c r="AA13" s="1607">
        <f t="shared" si="5"/>
        <v>0.5997637795275591</v>
      </c>
      <c r="AB13" s="1607">
        <f t="shared" si="5"/>
        <v>0.5997637795275591</v>
      </c>
      <c r="AC13" s="1607">
        <f t="shared" si="5"/>
        <v>0.5997637795275591</v>
      </c>
      <c r="AD13" s="1607">
        <f t="shared" si="5"/>
        <v>0.5997637795275591</v>
      </c>
      <c r="AE13" s="1607">
        <f t="shared" si="5"/>
        <v>0.5997637795275591</v>
      </c>
      <c r="AF13" s="1607">
        <f t="shared" si="5"/>
        <v>0.5997637795275591</v>
      </c>
      <c r="AG13" s="1607">
        <f t="shared" si="5"/>
        <v>0.5997637795275591</v>
      </c>
      <c r="AH13" s="1607">
        <f t="shared" si="5"/>
        <v>0.5997637795275591</v>
      </c>
      <c r="AI13" s="1607">
        <f t="shared" si="5"/>
        <v>0.5997637795275591</v>
      </c>
      <c r="AJ13" s="1607">
        <f t="shared" si="5"/>
        <v>0.5997637795275591</v>
      </c>
    </row>
    <row r="14" spans="1:36" ht="15">
      <c r="A14" s="3439"/>
      <c r="B14" s="2752"/>
      <c r="C14" s="2753"/>
      <c r="D14" s="2754"/>
      <c r="E14" s="2754"/>
      <c r="F14" s="2755"/>
      <c r="G14" s="2756" t="s">
        <v>2857</v>
      </c>
      <c r="H14" s="2757"/>
      <c r="I14" s="2758"/>
      <c r="J14" s="2759"/>
      <c r="K14" s="1366"/>
      <c r="L14" s="1366"/>
      <c r="M14" s="1366"/>
      <c r="N14" s="1366"/>
      <c r="O14" s="1366"/>
      <c r="P14" s="1366"/>
      <c r="Q14" s="1366"/>
      <c r="R14" s="1596">
        <v>13</v>
      </c>
      <c r="S14" s="1597"/>
      <c r="T14" s="1596" t="e">
        <f t="shared" si="0"/>
        <v>#DIV/0!</v>
      </c>
      <c r="U14" s="1597"/>
      <c r="V14" s="1596" t="e">
        <f t="shared" si="1"/>
        <v>#DIV/0!</v>
      </c>
      <c r="W14" s="1600"/>
      <c r="X14" s="1600"/>
      <c r="Y14" s="1600"/>
      <c r="Z14" s="1600"/>
      <c r="AA14" s="1600"/>
      <c r="AB14" s="1600"/>
      <c r="AC14" s="1601"/>
      <c r="AD14" s="1602"/>
      <c r="AE14" s="1602"/>
      <c r="AF14" s="1602"/>
      <c r="AG14" s="1602"/>
      <c r="AH14" s="1602"/>
      <c r="AI14" s="1602"/>
      <c r="AJ14" s="1603"/>
    </row>
    <row r="15" spans="1:36" ht="15.75" thickBot="1">
      <c r="A15" s="3440"/>
      <c r="B15" s="2760" t="s">
        <v>2858</v>
      </c>
      <c r="C15" s="227">
        <f>IF(C14="有",1.1,1)</f>
        <v>1</v>
      </c>
      <c r="D15" s="227">
        <f>IF(D14="有",1.1,1)</f>
        <v>1</v>
      </c>
      <c r="E15" s="227">
        <f>IF(E14="有",1.1,1)</f>
        <v>1</v>
      </c>
      <c r="F15" s="227">
        <f>IF(F14="500米范围内",1.2,IF(F14="500-1000米",1.1,1))</f>
        <v>1</v>
      </c>
      <c r="G15" s="944">
        <v>1</v>
      </c>
      <c r="H15" s="944">
        <v>1</v>
      </c>
      <c r="I15" s="944">
        <v>1</v>
      </c>
      <c r="J15" s="945">
        <v>1</v>
      </c>
      <c r="K15" s="1366"/>
      <c r="Q15" s="1366"/>
      <c r="R15" s="1596">
        <v>14</v>
      </c>
      <c r="S15" s="1597"/>
      <c r="T15" s="1596" t="e">
        <f t="shared" si="0"/>
        <v>#DIV/0!</v>
      </c>
      <c r="U15" s="1597"/>
      <c r="V15" s="1596" t="e">
        <f t="shared" si="1"/>
        <v>#DIV/0!</v>
      </c>
      <c r="W15" s="1600"/>
      <c r="X15" s="1600"/>
      <c r="Y15" s="1600"/>
      <c r="Z15" s="1600"/>
      <c r="AA15" s="1600"/>
      <c r="AB15" s="1600"/>
      <c r="AC15" s="1601"/>
      <c r="AD15" s="1602"/>
      <c r="AE15" s="1602"/>
      <c r="AF15" s="1602"/>
      <c r="AG15" s="1602"/>
      <c r="AH15" s="1602"/>
      <c r="AI15" s="1602"/>
      <c r="AJ15" s="1603"/>
    </row>
    <row r="16" spans="1:36" ht="24.6" customHeight="1">
      <c r="A16" s="3437" t="s">
        <v>2863</v>
      </c>
      <c r="B16" s="2729" t="s">
        <v>2864</v>
      </c>
      <c r="C16" s="2916" t="e">
        <f>ROUND(IF(F17="与级别开发程度一致",0,(G17-E17)/C17),0)</f>
        <v>#DIV/0!</v>
      </c>
      <c r="D16" s="3451" t="s">
        <v>2868</v>
      </c>
      <c r="E16" s="3452"/>
      <c r="F16" s="3451" t="s">
        <v>2865</v>
      </c>
      <c r="G16" s="3452"/>
      <c r="H16" s="2763"/>
      <c r="I16" s="2763"/>
      <c r="J16" s="2920"/>
      <c r="K16" s="2763"/>
      <c r="L16" s="2763"/>
      <c r="M16" s="2763"/>
      <c r="N16" s="2763"/>
      <c r="O16" s="2764"/>
      <c r="Q16" s="1366"/>
      <c r="R16" s="1596">
        <v>15</v>
      </c>
      <c r="S16" s="1597"/>
      <c r="T16" s="1596" t="e">
        <f t="shared" si="0"/>
        <v>#DIV/0!</v>
      </c>
      <c r="U16" s="1597"/>
      <c r="V16" s="1596" t="e">
        <f t="shared" si="1"/>
        <v>#DIV/0!</v>
      </c>
      <c r="W16" s="1600"/>
      <c r="X16" s="1600"/>
      <c r="Y16" s="1600"/>
      <c r="Z16" s="1600"/>
      <c r="AA16" s="1600"/>
      <c r="AB16" s="1600"/>
      <c r="AC16" s="1601"/>
      <c r="AD16" s="1602"/>
      <c r="AE16" s="1602"/>
      <c r="AF16" s="1602"/>
      <c r="AG16" s="1602"/>
      <c r="AH16" s="1602"/>
      <c r="AI16" s="1602"/>
      <c r="AJ16" s="1603"/>
    </row>
    <row r="17" spans="1:37" ht="13.5" thickBot="1">
      <c r="A17" s="3441"/>
      <c r="B17" s="2927" t="s">
        <v>2867</v>
      </c>
      <c r="C17" s="2928">
        <f>SUMPRODUCT((修正!A2:A5=E2)*(修正!B1:M1=G2)*(修正!B2:M5))</f>
        <v>0</v>
      </c>
      <c r="D17" s="227" t="str">
        <f>IF(OR(G2="八级",G2="九级",G2="十级",G2="十一级",G2="十二级"),"五通一平","七通一平")</f>
        <v>七通一平</v>
      </c>
      <c r="E17" s="2917">
        <f>SUMPRODUCT((修正!B1:M1=G2)*(修正!B15:M15))</f>
        <v>0</v>
      </c>
      <c r="F17" s="2918"/>
      <c r="G17" s="2919">
        <f>SUM(H17:O17)</f>
        <v>0</v>
      </c>
      <c r="H17" s="2928">
        <f>SUMPRODUCT((七通一平=H16)*(修正!B1:M1=G2)*(修正!B6:M14))</f>
        <v>0</v>
      </c>
      <c r="I17" s="2928">
        <f>SUMPRODUCT((七通一平=I16)*(修正!B1:M1=G2)*(修正!B6:M14))</f>
        <v>0</v>
      </c>
      <c r="J17" s="2929">
        <f>SUMPRODUCT((七通一平=J16)*(修正!B1:M1=G2)*(修正!B6:M14))</f>
        <v>0</v>
      </c>
      <c r="K17" s="2928">
        <f>SUMPRODUCT((七通一平=K16)*(修正!B1:M1=G2)*(修正!B6:M14))</f>
        <v>0</v>
      </c>
      <c r="L17" s="2928">
        <f>SUMPRODUCT((七通一平=L16)*(修正!B1:M1=G2)*(修正!B6:M14))</f>
        <v>0</v>
      </c>
      <c r="M17" s="2928">
        <f>SUMPRODUCT((七通一平=M16)*(修正!B1:M1=G2)*(修正!B6:M14))</f>
        <v>0</v>
      </c>
      <c r="N17" s="2928">
        <f>SUMPRODUCT((七通一平=N16)*(修正!B1:M1=G2)*(修正!B6:M14))</f>
        <v>0</v>
      </c>
      <c r="O17" s="2930">
        <f>SUMPRODUCT((七通一平=O16)*(修正!B1:M1=G2)*(修正!B6:M14))</f>
        <v>0</v>
      </c>
      <c r="Q17" s="1366"/>
      <c r="R17" s="1366"/>
      <c r="S17" s="1366"/>
      <c r="T17" s="1366"/>
      <c r="U17" s="1366"/>
      <c r="V17" s="1366"/>
      <c r="W17" s="1366"/>
      <c r="X17" s="1366"/>
      <c r="Y17" s="1366"/>
      <c r="Z17" s="1367"/>
      <c r="AE17" s="2767"/>
      <c r="AF17" s="2767"/>
      <c r="AG17" s="2704"/>
      <c r="AH17" s="2704"/>
      <c r="AI17" s="2704"/>
      <c r="AJ17" s="2704"/>
    </row>
    <row r="18" spans="1:37" s="2722" customFormat="1" ht="15.75" thickBot="1">
      <c r="A18" s="2921" t="s">
        <v>808</v>
      </c>
      <c r="B18" s="2922" t="s">
        <v>2870</v>
      </c>
      <c r="C18" s="2923">
        <f>SUMIF(修正!C18:C39,E3,修正!E18:E39)</f>
        <v>0</v>
      </c>
      <c r="D18" s="2924"/>
      <c r="E18" s="2925"/>
      <c r="F18" s="2925"/>
      <c r="G18" s="2925"/>
      <c r="H18" s="2925"/>
      <c r="I18" s="2925"/>
      <c r="J18" s="2926"/>
      <c r="K18" s="1373"/>
      <c r="O18" s="1371"/>
      <c r="P18" s="1371"/>
      <c r="Q18" s="1372"/>
      <c r="R18" s="1372"/>
      <c r="S18" s="1372"/>
      <c r="T18" s="1367"/>
      <c r="U18" s="1367"/>
      <c r="V18" s="1367"/>
      <c r="W18" s="1366"/>
      <c r="X18" s="1366"/>
      <c r="Y18" s="1366"/>
      <c r="Z18" s="1373"/>
      <c r="AA18" s="1374"/>
      <c r="AB18" s="1374"/>
      <c r="AC18" s="1374"/>
      <c r="AD18" s="1374"/>
      <c r="AE18" s="1368"/>
      <c r="AF18" s="1368"/>
      <c r="AG18" s="2772"/>
      <c r="AH18" s="2772"/>
      <c r="AI18" s="2772"/>
    </row>
    <row r="19" spans="1:37" s="2722" customFormat="1" ht="27.75" thickBot="1">
      <c r="A19" s="2768" t="s">
        <v>809</v>
      </c>
      <c r="B19" s="2769" t="s">
        <v>2871</v>
      </c>
      <c r="C19" s="922" t="e">
        <f>ROUND(IF(H19="按公示增长率计算",SUMPRODUCT((地价!A3:A29=YEAR(G19)&amp;"-"&amp;ROUNDUP(MONTH(G19)/3,0))*(地价!X2:AB2=E2)*(地价!X3:AB29)),IF(H19="地价指数",M20/M19,(1+I19)^O19)),4)</f>
        <v>#VALUE!</v>
      </c>
      <c r="D19" s="2773" t="s">
        <v>2872</v>
      </c>
      <c r="E19" s="923">
        <v>41640</v>
      </c>
      <c r="F19" s="2773" t="s">
        <v>2873</v>
      </c>
      <c r="G19" s="924">
        <f>'数据-取费表'!B2</f>
        <v>43878</v>
      </c>
      <c r="H19" s="2774"/>
      <c r="I19" s="925" t="str">
        <f>IF(H19="季度增幅（自定义）",SUMIF(N21:N24,E2,O21:O24),"")</f>
        <v/>
      </c>
      <c r="J19" s="2771"/>
      <c r="K19" s="1373"/>
      <c r="L19" s="2775" t="s">
        <v>2874</v>
      </c>
      <c r="M19" s="1728">
        <f>ROUND(SUMIF(地价!B2:F2,E2,地价!B29:F29),0)</f>
        <v>0</v>
      </c>
      <c r="N19" s="2776" t="s">
        <v>2875</v>
      </c>
      <c r="O19" s="926">
        <f>ROUNDDOWN(DATEDIF(E19,G19,"M")/3,0)</f>
        <v>24</v>
      </c>
      <c r="P19" s="1370"/>
      <c r="Q19" s="1372"/>
      <c r="R19" s="1372"/>
      <c r="S19" s="1372"/>
      <c r="T19" s="1367"/>
      <c r="U19" s="1367"/>
      <c r="V19" s="1367"/>
      <c r="W19" s="1366"/>
      <c r="X19" s="1366"/>
      <c r="Y19" s="1366"/>
      <c r="Z19" s="1373"/>
      <c r="AA19" s="1374"/>
      <c r="AB19" s="1374"/>
      <c r="AC19" s="1374"/>
      <c r="AD19" s="1374"/>
      <c r="AE19" s="1374"/>
      <c r="AF19" s="2777"/>
      <c r="AG19" s="2778"/>
      <c r="AH19" s="2772"/>
      <c r="AI19" s="2779"/>
      <c r="AJ19" s="2779"/>
      <c r="AK19" s="2779"/>
    </row>
    <row r="20" spans="1:37" s="2722" customFormat="1" ht="27.75" thickBot="1">
      <c r="A20" s="2780" t="s">
        <v>810</v>
      </c>
      <c r="B20" s="2781" t="s">
        <v>2876</v>
      </c>
      <c r="C20" s="927" t="e">
        <f>ROUND(POWER(1+G20,J20-I20)*(POWER(1+G20,I20)-1)/(POWER(1+G20,J20)-1),4)</f>
        <v>#DIV/0!</v>
      </c>
      <c r="D20" s="2782" t="s">
        <v>2877</v>
      </c>
      <c r="E20" s="1762">
        <f ca="1">存贷款利率!D4/100</f>
        <v>4.3499999999999997E-2</v>
      </c>
      <c r="F20" s="2782" t="s">
        <v>2869</v>
      </c>
      <c r="G20" s="932">
        <f>SUMIF(M26:P26,E2,M28:P28)</f>
        <v>0</v>
      </c>
      <c r="H20" s="2782" t="s">
        <v>2878</v>
      </c>
      <c r="I20" s="933" t="e">
        <f>SUMIF('数据-取费表'!C6:C15,E2,'数据-取费表'!F6:F15)/COUNTIF('数据-取费表'!C6:C15,E2)</f>
        <v>#DIV/0!</v>
      </c>
      <c r="J20" s="934">
        <f>IF(E2="住宅",70,IF(E2="商业",40,50))</f>
        <v>50</v>
      </c>
      <c r="K20" s="1373"/>
      <c r="L20" s="2783" t="s">
        <v>2879</v>
      </c>
      <c r="M20" s="1729">
        <f>ROUND(SUMPRODUCT((地价!A4:A29=YEAR(G19)&amp;"-"&amp;ROUNDUP(MONTH(G19)/3,0))*(地价!B2:F2=E2)*(地价!B4:F29)),0)</f>
        <v>0</v>
      </c>
      <c r="N20" s="2784" t="s">
        <v>2880</v>
      </c>
      <c r="O20" s="2785" t="s">
        <v>2881</v>
      </c>
      <c r="P20" s="2786" t="s">
        <v>2882</v>
      </c>
      <c r="R20" s="1372"/>
      <c r="S20" s="1372"/>
      <c r="T20" s="1367"/>
      <c r="U20" s="1367"/>
      <c r="V20" s="1367"/>
      <c r="W20" s="1366"/>
      <c r="X20" s="1366"/>
      <c r="Y20" s="1366"/>
      <c r="Z20" s="1373"/>
      <c r="AA20" s="1374"/>
      <c r="AB20" s="1374"/>
      <c r="AC20" s="1374"/>
      <c r="AD20" s="1374"/>
      <c r="AE20" s="1374"/>
      <c r="AF20" s="1374"/>
    </row>
    <row r="21" spans="1:37" s="2722" customFormat="1" ht="15">
      <c r="A21" s="2787" t="s">
        <v>811</v>
      </c>
      <c r="B21" s="2788" t="s">
        <v>2883</v>
      </c>
      <c r="C21" s="935">
        <f>IF(B21="容积率修正",IF(G3&lt;=10,D22,J22),C23)</f>
        <v>0</v>
      </c>
      <c r="D21" s="2789"/>
      <c r="E21" s="2789"/>
      <c r="F21" s="2789"/>
      <c r="G21" s="2789"/>
      <c r="H21" s="2789"/>
      <c r="I21" s="2789"/>
      <c r="J21" s="2790"/>
      <c r="K21" s="1373"/>
      <c r="N21" s="2791" t="s">
        <v>2884</v>
      </c>
      <c r="O21" s="1556"/>
      <c r="P21" s="1557">
        <f>SUMPRODUCT((地价!A3:A29=YEAR(G19)&amp;"-"&amp;ROUNDUP(MONTH(G19)/3,0))*(地价!AD2:AH2=N21)*(地价!AD3:AH29))</f>
        <v>1.35E-2</v>
      </c>
      <c r="R21" s="1372"/>
      <c r="S21" s="1372"/>
      <c r="T21" s="1367"/>
      <c r="U21" s="1367"/>
      <c r="V21" s="1367"/>
      <c r="W21" s="1366"/>
      <c r="X21" s="1366"/>
      <c r="Y21" s="1366"/>
      <c r="Z21" s="1373"/>
      <c r="AA21" s="1374"/>
      <c r="AB21" s="1374"/>
      <c r="AC21" s="1374"/>
      <c r="AD21" s="1374"/>
      <c r="AE21" s="1374"/>
      <c r="AF21" s="1374"/>
    </row>
    <row r="22" spans="1:37" s="2722" customFormat="1" ht="14.25">
      <c r="A22" s="2648" t="s">
        <v>2885</v>
      </c>
      <c r="B22" s="2792" t="s">
        <v>2886</v>
      </c>
      <c r="C22" s="1804" t="s">
        <v>2887</v>
      </c>
      <c r="D22" s="1804">
        <f>IF(E22=G22,F22,IF(G3&lt;=10,ROUND(F22+(H22-F22)*(G3-E22)/(G22-E22),4),"——"))</f>
        <v>0</v>
      </c>
      <c r="E22" s="914">
        <f>ROUNDDOWN(G3,1)</f>
        <v>1.2</v>
      </c>
      <c r="F22" s="180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1.3</v>
      </c>
      <c r="H22" s="18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4" t="s">
        <v>155</v>
      </c>
      <c r="J22" s="936" t="str">
        <f>IF(G3&gt;10,D113,"——")</f>
        <v>——</v>
      </c>
      <c r="K22" s="1373"/>
      <c r="N22" s="2791" t="s">
        <v>2888</v>
      </c>
      <c r="O22" s="1556"/>
      <c r="P22" s="1557">
        <f>SUMPRODUCT((地价!A3:A29=YEAR(G19)&amp;"-"&amp;ROUNDUP(MONTH(G19)/3,0))*(地价!AD2:AH2=N22)*(地价!AD3:AH29))</f>
        <v>1.35E-2</v>
      </c>
      <c r="R22" s="1372"/>
      <c r="S22" s="1372"/>
      <c r="T22" s="1367"/>
      <c r="U22" s="1367"/>
      <c r="V22" s="1367"/>
      <c r="W22" s="1366"/>
      <c r="X22" s="1366"/>
      <c r="Y22" s="1366"/>
      <c r="Z22" s="1373"/>
      <c r="AA22" s="1374"/>
      <c r="AB22" s="1374"/>
      <c r="AC22" s="1374"/>
      <c r="AD22" s="1374"/>
      <c r="AE22" s="1374"/>
      <c r="AF22" s="1374"/>
    </row>
    <row r="23" spans="1:37" ht="27.75" thickBot="1">
      <c r="A23" s="2648" t="s">
        <v>2889</v>
      </c>
      <c r="B23" s="2793" t="s">
        <v>2890</v>
      </c>
      <c r="C23" s="1010">
        <f>ROUND(IF(G3&gt;1,IF(I3&lt;7,SUMPRODUCT((B93:B98=I3)*(C92:N92=G2)*(C93:N98)),SUMIF(C92:N92,G2,C100:N100)),IF(I3&lt;7,SUMPRODUCT((B102:B107=I3)*(C92:N92=G2)*(C102:N107)),SUMIF(C92:N92,G2,C109:N109))),4)</f>
        <v>0</v>
      </c>
      <c r="D23" s="2757"/>
      <c r="E23" s="2757"/>
      <c r="F23" s="2794"/>
      <c r="G23" s="2795"/>
      <c r="H23" s="2796"/>
      <c r="I23" s="2797"/>
      <c r="J23" s="2798"/>
      <c r="K23" s="1366"/>
      <c r="N23" s="2791" t="s">
        <v>2891</v>
      </c>
      <c r="O23" s="1556"/>
      <c r="P23" s="1557">
        <f>SUMPRODUCT((地价!A3:A29=YEAR(G19)&amp;"-"&amp;ROUNDUP(MONTH(G19)/3,0))*(地价!AD2:AH2=N23)*(地价!AD3:AH29))</f>
        <v>2.0799999999999999E-2</v>
      </c>
      <c r="R23" s="1372"/>
      <c r="S23" s="1372"/>
      <c r="T23" s="1367"/>
      <c r="U23" s="1367"/>
      <c r="V23" s="1367"/>
      <c r="W23" s="1366"/>
      <c r="X23" s="1366"/>
      <c r="Y23" s="1366"/>
      <c r="Z23" s="1373"/>
      <c r="AA23" s="1374"/>
      <c r="AB23" s="1374"/>
      <c r="AC23" s="1374"/>
      <c r="AD23" s="1374"/>
      <c r="AK23" s="2772"/>
    </row>
    <row r="24" spans="1:37" s="2722" customFormat="1" ht="15.75" thickBot="1">
      <c r="A24" s="2780" t="s">
        <v>812</v>
      </c>
      <c r="B24" s="2769" t="s">
        <v>2892</v>
      </c>
      <c r="C24" s="922">
        <f>SUMIF(A45:A88,E2,B45:B88)</f>
        <v>0</v>
      </c>
      <c r="D24" s="2770"/>
      <c r="E24" s="2799"/>
      <c r="F24" s="2799"/>
      <c r="G24" s="2799"/>
      <c r="H24" s="2799"/>
      <c r="I24" s="2799"/>
      <c r="J24" s="2800"/>
      <c r="K24" s="1373"/>
      <c r="N24" s="2801" t="s">
        <v>2893</v>
      </c>
      <c r="O24" s="1558"/>
      <c r="P24" s="1559">
        <f>SUMPRODUCT((地价!A3:A29=YEAR(G19)&amp;"-"&amp;ROUNDUP(MONTH(G19)/3,0))*(地价!AD2:AH2=N24)*(地价!AD3:AH29))</f>
        <v>1.3299999999999999E-2</v>
      </c>
      <c r="R24" s="1372"/>
      <c r="S24" s="1372"/>
      <c r="T24" s="1367"/>
      <c r="U24" s="1367"/>
      <c r="V24" s="1367"/>
      <c r="W24" s="1366"/>
      <c r="X24" s="1366"/>
      <c r="Y24" s="1366"/>
      <c r="Z24" s="1373"/>
      <c r="AA24" s="1374"/>
      <c r="AB24" s="1374"/>
      <c r="AC24" s="1374"/>
      <c r="AD24" s="1374"/>
      <c r="AE24" s="1374"/>
      <c r="AF24" s="1374"/>
    </row>
    <row r="25" spans="1:37" ht="15.75" thickBot="1">
      <c r="A25" s="2780" t="s">
        <v>813</v>
      </c>
      <c r="B25" s="2802" t="s">
        <v>2894</v>
      </c>
      <c r="C25" s="928"/>
      <c r="D25" s="2732"/>
      <c r="E25" s="2732"/>
      <c r="F25" s="2803"/>
      <c r="G25" s="2732"/>
      <c r="H25" s="2732"/>
      <c r="I25" s="2732"/>
      <c r="J25" s="2733"/>
      <c r="K25" s="1366"/>
      <c r="N25" s="2804" t="s">
        <v>2895</v>
      </c>
      <c r="O25" s="1560"/>
      <c r="P25" s="1559">
        <f>SUMPRODUCT((地价!A3:A29=YEAR(G19)&amp;"-"&amp;ROUNDUP(MONTH(G19)/3,0))*(地价!AD2:AH2=N25)*(地价!AD3:AH29))</f>
        <v>1.9E-2</v>
      </c>
      <c r="R25" s="1372"/>
      <c r="S25" s="1372"/>
      <c r="T25" s="1367"/>
      <c r="U25" s="1367"/>
      <c r="V25" s="1367"/>
      <c r="W25" s="1366"/>
      <c r="X25" s="1366"/>
      <c r="Y25" s="1366"/>
      <c r="Z25" s="1373"/>
      <c r="AA25" s="1374"/>
      <c r="AB25" s="1374"/>
      <c r="AC25" s="1374"/>
      <c r="AD25" s="1374"/>
    </row>
    <row r="26" spans="1:37" ht="15">
      <c r="A26" s="2805"/>
      <c r="B26" s="2792" t="s">
        <v>2896</v>
      </c>
      <c r="C26" s="204" t="e">
        <f>E29+SUM(E33:E39)</f>
        <v>#DIV/0!</v>
      </c>
      <c r="D26" s="2806"/>
      <c r="E26" s="2757"/>
      <c r="F26" s="2807"/>
      <c r="G26" s="2757"/>
      <c r="H26" s="2757"/>
      <c r="I26" s="2757"/>
      <c r="J26" s="2808"/>
      <c r="K26" s="1366"/>
      <c r="L26" s="2761" t="s">
        <v>2794</v>
      </c>
      <c r="M26" s="918" t="s">
        <v>2859</v>
      </c>
      <c r="N26" s="918" t="s">
        <v>2860</v>
      </c>
      <c r="O26" s="918" t="s">
        <v>2861</v>
      </c>
      <c r="P26" s="2762" t="s">
        <v>2862</v>
      </c>
      <c r="R26" s="1372"/>
      <c r="S26" s="1372"/>
      <c r="T26" s="1367"/>
      <c r="U26" s="1367"/>
      <c r="V26" s="1367"/>
      <c r="W26" s="1366"/>
      <c r="X26" s="1366"/>
      <c r="Y26" s="1366"/>
      <c r="Z26" s="1373"/>
      <c r="AA26" s="1374"/>
      <c r="AB26" s="1374"/>
      <c r="AC26" s="1374"/>
      <c r="AD26" s="1374"/>
    </row>
    <row r="27" spans="1:37" ht="15.75" thickBot="1">
      <c r="A27" s="2805"/>
      <c r="B27" s="2809" t="s">
        <v>2897</v>
      </c>
      <c r="C27" s="929" t="e">
        <f>E30+SUM(I33:I39)</f>
        <v>#DIV/0!</v>
      </c>
      <c r="D27" s="2810"/>
      <c r="E27" s="2811"/>
      <c r="F27" s="2812"/>
      <c r="G27" s="2811"/>
      <c r="H27" s="2811"/>
      <c r="I27" s="2811"/>
      <c r="J27" s="2813"/>
      <c r="K27" s="1366"/>
      <c r="L27" s="2765" t="s">
        <v>2866</v>
      </c>
      <c r="M27" s="920">
        <v>0.25</v>
      </c>
      <c r="N27" s="920">
        <v>0.2</v>
      </c>
      <c r="O27" s="920">
        <v>0.15</v>
      </c>
      <c r="P27" s="1365">
        <v>0.1</v>
      </c>
      <c r="Q27" s="1372"/>
      <c r="R27" s="1372"/>
      <c r="S27" s="1372"/>
      <c r="T27" s="1367"/>
      <c r="U27" s="1367"/>
      <c r="V27" s="1367"/>
      <c r="W27" s="1366"/>
      <c r="X27" s="1366"/>
      <c r="Y27" s="1366"/>
      <c r="Z27" s="1373"/>
      <c r="AA27" s="1374"/>
      <c r="AB27" s="1374"/>
      <c r="AC27" s="1374"/>
      <c r="AD27" s="1374"/>
    </row>
    <row r="28" spans="1:37" ht="15.75" thickBot="1">
      <c r="A28" s="2814"/>
      <c r="B28" s="2815" t="s">
        <v>2898</v>
      </c>
      <c r="C28" s="2816" t="s">
        <v>2899</v>
      </c>
      <c r="D28" s="2816" t="s">
        <v>2900</v>
      </c>
      <c r="E28" s="2817" t="s">
        <v>2901</v>
      </c>
      <c r="F28" s="2818"/>
      <c r="G28" s="2745"/>
      <c r="H28" s="2745"/>
      <c r="I28" s="2745"/>
      <c r="J28" s="2746"/>
      <c r="K28" s="1366"/>
      <c r="L28" s="2766" t="s">
        <v>2869</v>
      </c>
      <c r="M28" s="209">
        <f ca="1">ROUND($E$20*(1+M27),3)</f>
        <v>5.3999999999999999E-2</v>
      </c>
      <c r="N28" s="209">
        <f ca="1">ROUND($E$20*(1+N27),3)</f>
        <v>5.1999999999999998E-2</v>
      </c>
      <c r="O28" s="209">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19"/>
      <c r="B29" s="2820" t="s">
        <v>2902</v>
      </c>
      <c r="C29" s="204" t="e">
        <f>ROUND(C5*C18*C19*C20*C21*C24,0)</f>
        <v>#DIV/0!</v>
      </c>
      <c r="D29" s="2821"/>
      <c r="E29" s="940" t="e">
        <f>ROUND(C29*D29/10000,0)</f>
        <v>#DIV/0!</v>
      </c>
      <c r="F29" s="2822" t="s">
        <v>2903</v>
      </c>
      <c r="G29" s="2823"/>
      <c r="H29" s="2823"/>
      <c r="I29" s="2823"/>
      <c r="J29" s="2824"/>
      <c r="K29" s="1366"/>
      <c r="L29" s="1366"/>
      <c r="M29" s="1366"/>
      <c r="N29" s="1366"/>
      <c r="O29" s="1371"/>
      <c r="P29" s="1371"/>
      <c r="Q29" s="1372"/>
      <c r="R29" s="1372"/>
      <c r="S29" s="1372"/>
      <c r="T29" s="1367"/>
      <c r="U29" s="1367"/>
      <c r="V29" s="1367"/>
      <c r="W29" s="1366"/>
      <c r="X29" s="1366"/>
      <c r="Y29" s="1366"/>
      <c r="Z29" s="1373"/>
      <c r="AA29" s="1374"/>
      <c r="AB29" s="1374"/>
      <c r="AC29" s="1374"/>
      <c r="AD29" s="1374"/>
      <c r="AE29" s="2767"/>
      <c r="AF29" s="2767"/>
      <c r="AG29" s="2704"/>
      <c r="AH29" s="2704"/>
      <c r="AI29" s="2704"/>
      <c r="AJ29" s="2704"/>
    </row>
    <row r="30" spans="1:37" ht="25.5" thickBot="1">
      <c r="A30" s="2825"/>
      <c r="B30" s="2826" t="s">
        <v>2904</v>
      </c>
      <c r="C30" s="227" t="e">
        <f>ROUND(IF(E2="工业",C29*M39,C29*M38),0)</f>
        <v>#DIV/0!</v>
      </c>
      <c r="D30" s="2827"/>
      <c r="E30" s="940" t="e">
        <f>ROUND(C30*D30/10000,0)</f>
        <v>#DIV/0!</v>
      </c>
      <c r="F30" s="2828" t="s">
        <v>2905</v>
      </c>
      <c r="G30" s="2829"/>
      <c r="H30" s="2829"/>
      <c r="I30" s="2829"/>
      <c r="J30" s="2830"/>
      <c r="K30" s="1366"/>
      <c r="L30" s="1366"/>
      <c r="M30" s="1366"/>
      <c r="N30" s="1366"/>
      <c r="O30" s="1371"/>
      <c r="P30" s="1371"/>
      <c r="Q30" s="1372"/>
      <c r="R30" s="1372"/>
      <c r="S30" s="1372"/>
      <c r="T30" s="1367"/>
      <c r="U30" s="1367"/>
      <c r="V30" s="1367"/>
      <c r="W30" s="1366"/>
      <c r="X30" s="1366"/>
      <c r="Y30" s="1366"/>
      <c r="Z30" s="1373"/>
      <c r="AA30" s="1374"/>
      <c r="AB30" s="1374"/>
      <c r="AC30" s="1374"/>
      <c r="AD30" s="1374"/>
      <c r="AE30" s="2767"/>
      <c r="AF30" s="2767"/>
      <c r="AG30" s="2704"/>
      <c r="AH30" s="2704"/>
      <c r="AI30" s="2704"/>
      <c r="AJ30" s="2704"/>
    </row>
    <row r="31" spans="1:37" ht="14.25">
      <c r="A31" s="2831"/>
      <c r="B31" s="2832" t="s">
        <v>2906</v>
      </c>
      <c r="C31" s="2833" t="s">
        <v>2907</v>
      </c>
      <c r="D31" s="2745"/>
      <c r="E31" s="2833"/>
      <c r="F31" s="2833"/>
      <c r="G31" s="2743" t="s">
        <v>2908</v>
      </c>
      <c r="H31" s="2745"/>
      <c r="I31" s="2834"/>
      <c r="J31" s="2746"/>
      <c r="K31" s="1366"/>
      <c r="L31" s="1366"/>
      <c r="M31" s="1366"/>
      <c r="N31" s="1366"/>
      <c r="O31" s="1371"/>
      <c r="P31" s="1371"/>
      <c r="Q31" s="1372"/>
      <c r="R31" s="1372"/>
      <c r="S31" s="1372"/>
      <c r="T31" s="1367"/>
      <c r="U31" s="1367"/>
      <c r="V31" s="1367"/>
      <c r="W31" s="1366"/>
      <c r="X31" s="1366"/>
      <c r="Y31" s="1366"/>
      <c r="Z31" s="1373"/>
      <c r="AA31" s="1374"/>
      <c r="AB31" s="1374"/>
      <c r="AC31" s="1374"/>
      <c r="AD31" s="1374"/>
      <c r="AE31" s="2767"/>
      <c r="AF31" s="2767"/>
      <c r="AG31" s="2704"/>
      <c r="AH31" s="2704"/>
      <c r="AI31" s="2704"/>
      <c r="AJ31" s="2704"/>
    </row>
    <row r="32" spans="1:37" ht="24">
      <c r="A32" s="2819"/>
      <c r="B32" s="2835"/>
      <c r="C32" s="499" t="s">
        <v>2899</v>
      </c>
      <c r="D32" s="496" t="s">
        <v>2900</v>
      </c>
      <c r="E32" s="496" t="s">
        <v>2901</v>
      </c>
      <c r="F32" s="386" t="s">
        <v>2909</v>
      </c>
      <c r="G32" s="2836" t="s">
        <v>2899</v>
      </c>
      <c r="H32" s="2836" t="s">
        <v>2900</v>
      </c>
      <c r="I32" s="2836" t="s">
        <v>2901</v>
      </c>
      <c r="J32" s="285"/>
      <c r="K32" s="1366"/>
      <c r="L32" s="1366"/>
      <c r="M32" s="1366"/>
      <c r="N32" s="1366"/>
      <c r="O32" s="1371"/>
      <c r="P32" s="1371"/>
      <c r="Q32" s="1372"/>
      <c r="R32" s="1372"/>
      <c r="S32" s="1372"/>
      <c r="T32" s="1367"/>
      <c r="U32" s="1367"/>
      <c r="V32" s="1367"/>
      <c r="W32" s="1366"/>
      <c r="X32" s="1366"/>
      <c r="Y32" s="1366"/>
      <c r="Z32" s="1373"/>
      <c r="AA32" s="1374"/>
      <c r="AB32" s="1374"/>
      <c r="AC32" s="1374"/>
      <c r="AD32" s="1374"/>
      <c r="AE32" s="2767"/>
      <c r="AF32" s="2767"/>
      <c r="AG32" s="2704"/>
      <c r="AH32" s="2704"/>
      <c r="AI32" s="2704"/>
      <c r="AJ32" s="2704"/>
    </row>
    <row r="33" spans="1:37" ht="36" customHeight="1">
      <c r="A33" s="3448" t="s">
        <v>2910</v>
      </c>
      <c r="B33" s="2837" t="s">
        <v>2911</v>
      </c>
      <c r="C33" s="204" t="e">
        <f>ROUND(D5*C19*C20*C24*F33,0)</f>
        <v>#DIV/0!</v>
      </c>
      <c r="D33" s="2821"/>
      <c r="E33" s="198" t="e">
        <f>ROUND(C33*D33/10000,0)</f>
        <v>#DIV/0!</v>
      </c>
      <c r="F33" s="198">
        <f>SUMIF(修正!A45:A56,G2,修正!B45:B56)</f>
        <v>0</v>
      </c>
      <c r="G33" s="198" t="e">
        <f t="shared" ref="G33" si="6">ROUND(IF(E2="工业",C33*$M$39,C33*$M$38),0)</f>
        <v>#DIV/0!</v>
      </c>
      <c r="H33" s="198">
        <f>D33</f>
        <v>0</v>
      </c>
      <c r="I33" s="198" t="e">
        <f>ROUND(G33*H33/10000,0)</f>
        <v>#DIV/0!</v>
      </c>
      <c r="J33" s="2838"/>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449"/>
      <c r="B34" s="2749" t="s">
        <v>2912</v>
      </c>
      <c r="C34" s="204" t="e">
        <f>ROUND(D5*C19*C20*C24*F34,0)</f>
        <v>#DIV/0!</v>
      </c>
      <c r="D34" s="2821"/>
      <c r="E34" s="198" t="e">
        <f t="shared" ref="E34:E39" si="7">ROUND(C34*D34/10000,0)</f>
        <v>#DIV/0!</v>
      </c>
      <c r="F34" s="198">
        <f>SUMIF(修正!A45:A56,G2,修正!C45:C56)</f>
        <v>0</v>
      </c>
      <c r="G34" s="198" t="e">
        <f>ROUND(IF(E2="工业",C34*$M$39,C34*$M$38),0)</f>
        <v>#DIV/0!</v>
      </c>
      <c r="H34" s="198">
        <f t="shared" ref="H34:H39" si="8">D34</f>
        <v>0</v>
      </c>
      <c r="I34" s="198" t="e">
        <f t="shared" ref="I34:I39" si="9">ROUND(G34*H34/10000,0)</f>
        <v>#DIV/0!</v>
      </c>
      <c r="J34" s="2838"/>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449"/>
      <c r="B35" s="2749" t="s">
        <v>2913</v>
      </c>
      <c r="C35" s="204" t="e">
        <f>ROUND(D5*C19*C20*C24*F35,0)</f>
        <v>#DIV/0!</v>
      </c>
      <c r="D35" s="2821"/>
      <c r="E35" s="198" t="e">
        <f t="shared" si="7"/>
        <v>#DIV/0!</v>
      </c>
      <c r="F35" s="198">
        <f>SUMIF(修正!A45:A56,G2,修正!D45:D56)</f>
        <v>0</v>
      </c>
      <c r="G35" s="198" t="e">
        <f>ROUND(IF(E2="工业",C35*$M$39,C35*$M$38),0)</f>
        <v>#DIV/0!</v>
      </c>
      <c r="H35" s="198">
        <f t="shared" si="8"/>
        <v>0</v>
      </c>
      <c r="I35" s="198" t="e">
        <f t="shared" si="9"/>
        <v>#DIV/0!</v>
      </c>
      <c r="J35" s="2838"/>
      <c r="K35" s="1366"/>
      <c r="L35" s="1366"/>
      <c r="M35" s="1366"/>
      <c r="N35" s="1366"/>
      <c r="O35" s="1366"/>
      <c r="P35" s="1366"/>
      <c r="Q35" s="1366"/>
      <c r="R35" s="1366"/>
      <c r="S35" s="1366"/>
      <c r="T35" s="1366"/>
      <c r="U35" s="1366"/>
      <c r="V35" s="1366"/>
      <c r="W35" s="1366"/>
      <c r="X35" s="1366"/>
      <c r="Y35" s="1366"/>
      <c r="Z35" s="1367"/>
    </row>
    <row r="36" spans="1:37" ht="13.5" thickBot="1">
      <c r="A36" s="3450"/>
      <c r="B36" s="2749" t="s">
        <v>2914</v>
      </c>
      <c r="C36" s="204" t="e">
        <f>ROUND(D5*C19*C20*C24*F36,0)</f>
        <v>#DIV/0!</v>
      </c>
      <c r="D36" s="2821"/>
      <c r="E36" s="198" t="e">
        <f t="shared" si="7"/>
        <v>#DIV/0!</v>
      </c>
      <c r="F36" s="198">
        <f>SUMIF(修正!A45:A56,G2,修正!E45:E56)</f>
        <v>0</v>
      </c>
      <c r="G36" s="198" t="e">
        <f>ROUND(IF(E2="工业",C36*$M$39,C36*$M$38),0)</f>
        <v>#DIV/0!</v>
      </c>
      <c r="H36" s="198">
        <f t="shared" si="8"/>
        <v>0</v>
      </c>
      <c r="I36" s="198" t="e">
        <f t="shared" si="9"/>
        <v>#DIV/0!</v>
      </c>
      <c r="J36" s="2838"/>
      <c r="K36" s="1366"/>
      <c r="L36" s="2703"/>
      <c r="M36" s="2703"/>
      <c r="N36" s="1366"/>
      <c r="O36" s="1366"/>
      <c r="P36" s="1366"/>
      <c r="Q36" s="1366"/>
      <c r="R36" s="1366"/>
      <c r="S36" s="1366"/>
      <c r="T36" s="1366"/>
      <c r="U36" s="1366"/>
      <c r="V36" s="1366"/>
      <c r="W36" s="1366"/>
      <c r="X36" s="1366"/>
      <c r="Y36" s="1366"/>
      <c r="Z36" s="1367"/>
    </row>
    <row r="37" spans="1:37">
      <c r="A37" s="2839"/>
      <c r="B37" s="2749" t="s">
        <v>2915</v>
      </c>
      <c r="C37" s="198" t="e">
        <f>ROUND(D5*C19*C20*C24*F37,0)</f>
        <v>#DIV/0!</v>
      </c>
      <c r="D37" s="2821"/>
      <c r="E37" s="198" t="e">
        <f t="shared" si="7"/>
        <v>#DIV/0!</v>
      </c>
      <c r="F37" s="204">
        <f>SUMIF(修正!A45:A56,G2,修正!F45:F56)</f>
        <v>0</v>
      </c>
      <c r="G37" s="198" t="e">
        <f>ROUND(IF(E2="工业",C37*$M$39,C37*$M$38),0)</f>
        <v>#DIV/0!</v>
      </c>
      <c r="H37" s="198">
        <f t="shared" si="8"/>
        <v>0</v>
      </c>
      <c r="I37" s="198" t="e">
        <f t="shared" si="9"/>
        <v>#DIV/0!</v>
      </c>
      <c r="J37" s="2838"/>
      <c r="K37" s="1366"/>
      <c r="L37" s="2840" t="s">
        <v>2916</v>
      </c>
      <c r="M37" s="2841"/>
      <c r="N37" s="1366"/>
      <c r="O37" s="1366"/>
      <c r="P37" s="1366"/>
      <c r="Q37" s="1366"/>
      <c r="R37" s="1366"/>
      <c r="S37" s="1366"/>
      <c r="T37" s="1366"/>
      <c r="U37" s="1366"/>
      <c r="V37" s="1366"/>
      <c r="W37" s="1366"/>
      <c r="X37" s="1366"/>
      <c r="Y37" s="1366"/>
      <c r="Z37" s="1367"/>
    </row>
    <row r="38" spans="1:37">
      <c r="A38" s="2839"/>
      <c r="B38" s="2749" t="s">
        <v>2917</v>
      </c>
      <c r="C38" s="198" t="e">
        <f>ROUND(D5*C19*C41*C24*F38,0)</f>
        <v>#DIV/0!</v>
      </c>
      <c r="D38" s="2821"/>
      <c r="E38" s="198" t="e">
        <f t="shared" si="7"/>
        <v>#DIV/0!</v>
      </c>
      <c r="F38" s="204">
        <f>SUMIF(修正!A45:A56,G2,修正!G45:G56)</f>
        <v>0</v>
      </c>
      <c r="G38" s="198" t="e">
        <f>ROUND(IF(E2="工业",C38*$M$39,C38*$M$38),0)</f>
        <v>#DIV/0!</v>
      </c>
      <c r="H38" s="198">
        <f t="shared" si="8"/>
        <v>0</v>
      </c>
      <c r="I38" s="198" t="e">
        <f t="shared" si="9"/>
        <v>#DIV/0!</v>
      </c>
      <c r="J38" s="2838"/>
      <c r="K38" s="1366"/>
      <c r="L38" s="1881" t="s">
        <v>2918</v>
      </c>
      <c r="M38" s="2842">
        <v>0.25</v>
      </c>
      <c r="N38" s="1366"/>
      <c r="O38" s="1366"/>
      <c r="P38" s="1366"/>
      <c r="Q38" s="1366"/>
      <c r="R38" s="1366"/>
      <c r="S38" s="1366"/>
      <c r="T38" s="1366"/>
      <c r="U38" s="1366"/>
      <c r="V38" s="1366"/>
      <c r="W38" s="1366"/>
      <c r="X38" s="1366"/>
      <c r="Y38" s="1366"/>
      <c r="Z38" s="1367"/>
    </row>
    <row r="39" spans="1:37" ht="13.5" thickBot="1">
      <c r="A39" s="2825"/>
      <c r="B39" s="2843" t="s">
        <v>2919</v>
      </c>
      <c r="C39" s="227" t="e">
        <f>ROUND(D5*C19*C41*C24*F39,0)</f>
        <v>#DIV/0!</v>
      </c>
      <c r="D39" s="2827"/>
      <c r="E39" s="227" t="e">
        <f t="shared" si="7"/>
        <v>#DIV/0!</v>
      </c>
      <c r="F39" s="930">
        <f>SUMIF(修正!A45:A56,G2,修正!H45:H56)</f>
        <v>0</v>
      </c>
      <c r="G39" s="227" t="e">
        <f>ROUND(IF(E2="工业",C39*$M$39,C39*$M$38),0)</f>
        <v>#DIV/0!</v>
      </c>
      <c r="H39" s="227">
        <f t="shared" si="8"/>
        <v>0</v>
      </c>
      <c r="I39" s="227" t="e">
        <f t="shared" si="9"/>
        <v>#DIV/0!</v>
      </c>
      <c r="J39" s="2844"/>
      <c r="K39" s="1366"/>
      <c r="L39" s="2845" t="s">
        <v>2862</v>
      </c>
      <c r="M39" s="2846">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914" t="s">
        <v>3027</v>
      </c>
      <c r="C41" s="386" t="e">
        <f>ROUND(POWER(1+E41,H41-G41)*(POWER(1+E41,G41)-1)/(POWER(1+E41,H41)-1),4)</f>
        <v>#DIV/0!</v>
      </c>
      <c r="D41" s="198" t="s">
        <v>2869</v>
      </c>
      <c r="E41" s="2913">
        <f>G20</f>
        <v>0</v>
      </c>
      <c r="F41" s="198" t="s">
        <v>2878</v>
      </c>
      <c r="G41" s="216"/>
      <c r="H41" s="198">
        <v>50</v>
      </c>
      <c r="Z41" s="1367"/>
      <c r="AA41" s="1367"/>
      <c r="AB41" s="1367"/>
      <c r="AC41" s="1367"/>
      <c r="AD41" s="1367"/>
      <c r="AE41" s="1367"/>
      <c r="AF41" s="1367"/>
      <c r="AG41" s="1367"/>
      <c r="AH41" s="1367"/>
      <c r="AI41" s="1367"/>
      <c r="AJ41" s="1367"/>
    </row>
    <row r="42" spans="1:37" s="1366" customFormat="1">
      <c r="A42" s="1367"/>
      <c r="B42" s="2847"/>
      <c r="Z42" s="1367"/>
      <c r="AA42" s="1367"/>
      <c r="AB42" s="1367"/>
      <c r="AC42" s="1367"/>
      <c r="AD42" s="1367"/>
      <c r="AE42" s="1367"/>
      <c r="AF42" s="1367"/>
      <c r="AG42" s="1367"/>
      <c r="AH42" s="1367"/>
      <c r="AI42" s="1367"/>
      <c r="AJ42" s="1367"/>
    </row>
    <row r="43" spans="1:37" s="1366" customFormat="1">
      <c r="A43" s="1367"/>
      <c r="B43" s="2847"/>
      <c r="Z43" s="1367"/>
      <c r="AA43" s="1367"/>
      <c r="AB43" s="1367"/>
      <c r="AC43" s="1367"/>
      <c r="AD43" s="1367"/>
      <c r="AE43" s="1367"/>
      <c r="AF43" s="1367"/>
      <c r="AG43" s="1367"/>
      <c r="AH43" s="1367"/>
      <c r="AI43" s="1367"/>
      <c r="AJ43" s="1367"/>
    </row>
    <row r="44" spans="1:37" s="1366" customFormat="1">
      <c r="A44" s="1367"/>
      <c r="B44" s="2847"/>
      <c r="Z44" s="1367"/>
      <c r="AA44" s="1367"/>
      <c r="AB44" s="1367"/>
      <c r="AC44" s="1367"/>
      <c r="AD44" s="1367"/>
      <c r="AE44" s="1367"/>
      <c r="AF44" s="1367"/>
      <c r="AG44" s="1367"/>
      <c r="AH44" s="1367"/>
      <c r="AI44" s="1367"/>
      <c r="AJ44" s="1367"/>
    </row>
    <row r="45" spans="1:37" s="1366" customFormat="1" ht="15.75" thickBot="1">
      <c r="A45" s="2848" t="s">
        <v>2920</v>
      </c>
      <c r="B45" s="2849"/>
      <c r="C45" s="7"/>
      <c r="D45" s="7"/>
      <c r="E45" s="7"/>
      <c r="F45" s="6"/>
      <c r="G45" s="6"/>
      <c r="H45" s="6"/>
      <c r="I45" s="7"/>
      <c r="J45" s="7"/>
      <c r="K45" s="7"/>
      <c r="L45" s="7"/>
      <c r="M45" s="7"/>
      <c r="N45" s="2767"/>
      <c r="Z45" s="1367"/>
      <c r="AA45" s="1367"/>
      <c r="AB45" s="1367"/>
      <c r="AC45" s="1367"/>
      <c r="AD45" s="1367"/>
      <c r="AE45" s="1367"/>
      <c r="AF45" s="1367"/>
      <c r="AG45" s="1367"/>
      <c r="AH45" s="1367"/>
      <c r="AI45" s="1367"/>
      <c r="AJ45" s="1367"/>
    </row>
    <row r="46" spans="1:37" s="1366" customFormat="1" ht="15">
      <c r="A46" s="2850" t="s">
        <v>2921</v>
      </c>
      <c r="B46" s="2851">
        <f>1+E48</f>
        <v>1</v>
      </c>
      <c r="C46" s="2852"/>
      <c r="D46" s="812"/>
      <c r="E46" s="813"/>
      <c r="F46" s="2853"/>
      <c r="G46" s="6"/>
      <c r="H46" s="7"/>
      <c r="I46" s="7"/>
      <c r="J46" s="7"/>
      <c r="K46" s="7"/>
      <c r="L46" s="7"/>
      <c r="M46" s="7"/>
      <c r="N46" s="2767"/>
      <c r="Z46" s="1367"/>
      <c r="AA46" s="1367"/>
      <c r="AB46" s="1367"/>
      <c r="AC46" s="1367"/>
      <c r="AD46" s="1367"/>
      <c r="AE46" s="1367"/>
      <c r="AF46" s="1367"/>
      <c r="AG46" s="1367"/>
      <c r="AH46" s="1367"/>
      <c r="AI46" s="1367"/>
      <c r="AJ46" s="1367"/>
    </row>
    <row r="47" spans="1:37" s="1366" customFormat="1" ht="24.75">
      <c r="A47" s="2854" t="s">
        <v>2922</v>
      </c>
      <c r="B47" s="1803" t="s">
        <v>2923</v>
      </c>
      <c r="C47" s="1803" t="s">
        <v>2924</v>
      </c>
      <c r="D47" s="1803" t="s">
        <v>2925</v>
      </c>
      <c r="E47" s="817" t="s">
        <v>2926</v>
      </c>
      <c r="F47" s="2855" t="s">
        <v>2927</v>
      </c>
      <c r="G47" s="1803" t="s">
        <v>754</v>
      </c>
      <c r="H47" s="2856" t="s">
        <v>2928</v>
      </c>
      <c r="I47" s="1803" t="s">
        <v>2929</v>
      </c>
      <c r="J47" s="601" t="s">
        <v>2579</v>
      </c>
      <c r="K47" s="601" t="s">
        <v>2580</v>
      </c>
      <c r="L47" s="601" t="s">
        <v>2581</v>
      </c>
      <c r="M47" s="601" t="s">
        <v>2582</v>
      </c>
      <c r="N47" s="601" t="s">
        <v>2583</v>
      </c>
      <c r="AA47" s="1367"/>
      <c r="AB47" s="1367"/>
      <c r="AC47" s="1367"/>
      <c r="AD47" s="1367"/>
      <c r="AE47" s="1367"/>
      <c r="AF47" s="1367"/>
      <c r="AG47" s="1367"/>
      <c r="AH47" s="1367"/>
      <c r="AI47" s="1367"/>
      <c r="AJ47" s="1367"/>
      <c r="AK47" s="1367"/>
    </row>
    <row r="48" spans="1:37" s="1366" customFormat="1" ht="24.75">
      <c r="A48" s="2854" t="s">
        <v>2930</v>
      </c>
      <c r="B48" s="2857" t="str">
        <f>估价对象房地状况!C4</f>
        <v>较差</v>
      </c>
      <c r="C48" s="2754"/>
      <c r="D48" s="1282">
        <f t="shared" ref="D48:D56" si="10">SUMIF($J$47:$N$47,C48,J48:N48)</f>
        <v>0</v>
      </c>
      <c r="E48" s="819">
        <f>ROUND(SUM(D48:D56),4)</f>
        <v>0</v>
      </c>
      <c r="F48" s="2485" t="str">
        <f>IF(E2="商业",SUMIF(L1:L12,G2,N1:N12),"——")</f>
        <v>——</v>
      </c>
      <c r="G48" s="1280"/>
      <c r="H48" s="1284" t="str">
        <f t="shared" ref="H48:H56" si="11">IFERROR(ROUNDDOWN($F$48*I48/2,4),"——")</f>
        <v>——</v>
      </c>
      <c r="I48" s="818">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14.25">
      <c r="A49" s="2854" t="s">
        <v>2931</v>
      </c>
      <c r="B49" s="2858" t="str">
        <f>估价对象房地状况!C18</f>
        <v>一般</v>
      </c>
      <c r="C49" s="2754"/>
      <c r="D49" s="1282">
        <f t="shared" si="10"/>
        <v>0</v>
      </c>
      <c r="E49" s="820"/>
      <c r="F49" s="2485"/>
      <c r="G49" s="1280"/>
      <c r="H49" s="1284" t="str">
        <f t="shared" si="11"/>
        <v>——</v>
      </c>
      <c r="I49" s="818">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54" t="s">
        <v>2932</v>
      </c>
      <c r="B50" s="2858" t="str">
        <f>估价对象房地状况!C19</f>
        <v>较好</v>
      </c>
      <c r="C50" s="2754"/>
      <c r="D50" s="1282">
        <f t="shared" si="10"/>
        <v>0</v>
      </c>
      <c r="E50" s="820"/>
      <c r="F50" s="2485"/>
      <c r="G50" s="1280"/>
      <c r="H50" s="1284" t="str">
        <f t="shared" si="11"/>
        <v>——</v>
      </c>
      <c r="I50" s="818">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54" t="s">
        <v>2933</v>
      </c>
      <c r="B51" s="2859" t="s">
        <v>2934</v>
      </c>
      <c r="C51" s="2754"/>
      <c r="D51" s="1282">
        <f t="shared" si="10"/>
        <v>0</v>
      </c>
      <c r="E51" s="820"/>
      <c r="F51" s="2485"/>
      <c r="G51" s="1280"/>
      <c r="H51" s="1284" t="str">
        <f t="shared" si="11"/>
        <v>——</v>
      </c>
      <c r="I51" s="818">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54" t="s">
        <v>2935</v>
      </c>
      <c r="B52" s="2858" t="str">
        <f>估价对象房地状况!C24</f>
        <v>支路</v>
      </c>
      <c r="C52" s="2754"/>
      <c r="D52" s="1282">
        <f t="shared" si="10"/>
        <v>0</v>
      </c>
      <c r="E52" s="820"/>
      <c r="F52" s="2485"/>
      <c r="G52" s="1280"/>
      <c r="H52" s="1284" t="str">
        <f t="shared" si="11"/>
        <v>——</v>
      </c>
      <c r="I52" s="818">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54" t="s">
        <v>2936</v>
      </c>
      <c r="B53" s="2860" t="s">
        <v>2937</v>
      </c>
      <c r="C53" s="2754"/>
      <c r="D53" s="1282">
        <f t="shared" si="10"/>
        <v>0</v>
      </c>
      <c r="E53" s="820"/>
      <c r="F53" s="2485"/>
      <c r="G53" s="1280"/>
      <c r="H53" s="1284" t="str">
        <f t="shared" si="11"/>
        <v>——</v>
      </c>
      <c r="I53" s="818">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4">
      <c r="A54" s="2861" t="s">
        <v>2938</v>
      </c>
      <c r="B54" s="1719" t="str">
        <f>估价对象房地状况!C21</f>
        <v>一般</v>
      </c>
      <c r="C54" s="2754"/>
      <c r="D54" s="1282">
        <f t="shared" si="10"/>
        <v>0</v>
      </c>
      <c r="E54" s="820"/>
      <c r="F54" s="2485"/>
      <c r="G54" s="1280"/>
      <c r="H54" s="1284" t="str">
        <f t="shared" si="11"/>
        <v>——</v>
      </c>
      <c r="I54" s="818">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4">
      <c r="A55" s="2861" t="s">
        <v>2939</v>
      </c>
      <c r="B55" s="2858" t="str">
        <f>估价对象房地状况!C22</f>
        <v>七通</v>
      </c>
      <c r="C55" s="2754"/>
      <c r="D55" s="1282">
        <f t="shared" si="10"/>
        <v>0</v>
      </c>
      <c r="E55" s="820"/>
      <c r="F55" s="2485"/>
      <c r="G55" s="1280"/>
      <c r="H55" s="1284" t="str">
        <f t="shared" si="11"/>
        <v>——</v>
      </c>
      <c r="I55" s="818">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24.75" thickBot="1">
      <c r="A56" s="2862" t="s">
        <v>2940</v>
      </c>
      <c r="B56" s="2863" t="str">
        <f>估价对象房地状况!C20</f>
        <v>一般</v>
      </c>
      <c r="C56" s="2754"/>
      <c r="D56" s="1282">
        <f t="shared" si="10"/>
        <v>0</v>
      </c>
      <c r="E56" s="823"/>
      <c r="F56" s="2485"/>
      <c r="G56" s="1280"/>
      <c r="H56" s="1284" t="str">
        <f t="shared" si="11"/>
        <v>——</v>
      </c>
      <c r="I56" s="822">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50" t="s">
        <v>2941</v>
      </c>
      <c r="B57" s="2851">
        <f>1+E59</f>
        <v>1</v>
      </c>
      <c r="C57" s="812"/>
      <c r="D57" s="812"/>
      <c r="E57" s="813"/>
      <c r="F57" s="2853"/>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54" t="s">
        <v>2922</v>
      </c>
      <c r="B58" s="1803"/>
      <c r="C58" s="1803" t="s">
        <v>2924</v>
      </c>
      <c r="D58" s="1803" t="s">
        <v>2925</v>
      </c>
      <c r="E58" s="817" t="s">
        <v>2926</v>
      </c>
      <c r="F58" s="2855" t="s">
        <v>2942</v>
      </c>
      <c r="G58" s="1803" t="s">
        <v>754</v>
      </c>
      <c r="H58" s="2856" t="s">
        <v>2928</v>
      </c>
      <c r="I58" s="1803" t="s">
        <v>2929</v>
      </c>
      <c r="J58" s="601" t="s">
        <v>2579</v>
      </c>
      <c r="K58" s="601" t="s">
        <v>2580</v>
      </c>
      <c r="L58" s="601" t="s">
        <v>2581</v>
      </c>
      <c r="M58" s="601" t="s">
        <v>2582</v>
      </c>
      <c r="N58" s="601" t="s">
        <v>2583</v>
      </c>
      <c r="AA58" s="1367"/>
      <c r="AB58" s="1367"/>
      <c r="AC58" s="1367"/>
      <c r="AD58" s="1367"/>
      <c r="AE58" s="1367"/>
      <c r="AF58" s="1367"/>
      <c r="AG58" s="1367"/>
      <c r="AH58" s="1367"/>
      <c r="AI58" s="1367"/>
      <c r="AJ58" s="1367"/>
      <c r="AK58" s="1367"/>
    </row>
    <row r="59" spans="1:37" s="1366" customFormat="1" ht="24">
      <c r="A59" s="2854" t="s">
        <v>2943</v>
      </c>
      <c r="B59" s="2857">
        <f>估价对象房地状况!C17</f>
        <v>0</v>
      </c>
      <c r="C59" s="2754"/>
      <c r="D59" s="1282">
        <f t="shared" ref="D59:D67" si="15">SUMIF($J$58:$N$58,C59,J59:N59)</f>
        <v>0</v>
      </c>
      <c r="E59" s="819">
        <f>ROUND(SUM(D59:D67),4)</f>
        <v>0</v>
      </c>
      <c r="F59" s="2485" t="str">
        <f>IF(E2="办公",SUMIF(L1:L12,G2,N1:N12),"——")</f>
        <v>——</v>
      </c>
      <c r="G59" s="1280"/>
      <c r="H59" s="1284" t="str">
        <f t="shared" ref="H59:H67" si="16">IFERROR(ROUNDDOWN($F$59*I59/2,4),"——")</f>
        <v>——</v>
      </c>
      <c r="I59" s="818">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14.25">
      <c r="A60" s="2854" t="s">
        <v>2931</v>
      </c>
      <c r="B60" s="2858" t="str">
        <f>估价对象房地状况!C18</f>
        <v>一般</v>
      </c>
      <c r="C60" s="2754"/>
      <c r="D60" s="1282">
        <f t="shared" si="15"/>
        <v>0</v>
      </c>
      <c r="E60" s="820"/>
      <c r="F60" s="2485"/>
      <c r="G60" s="1280"/>
      <c r="H60" s="1284" t="str">
        <f t="shared" si="16"/>
        <v>——</v>
      </c>
      <c r="I60" s="818">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54" t="s">
        <v>2932</v>
      </c>
      <c r="B61" s="2858" t="str">
        <f>估价对象房地状况!C19</f>
        <v>较好</v>
      </c>
      <c r="C61" s="2754"/>
      <c r="D61" s="1282">
        <f t="shared" si="15"/>
        <v>0</v>
      </c>
      <c r="E61" s="820"/>
      <c r="F61" s="2485"/>
      <c r="G61" s="1280"/>
      <c r="H61" s="1284" t="str">
        <f t="shared" si="16"/>
        <v>——</v>
      </c>
      <c r="I61" s="818">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54" t="s">
        <v>2933</v>
      </c>
      <c r="B62" s="2859" t="s">
        <v>2934</v>
      </c>
      <c r="C62" s="2754"/>
      <c r="D62" s="1282">
        <f t="shared" si="15"/>
        <v>0</v>
      </c>
      <c r="E62" s="820"/>
      <c r="F62" s="2485"/>
      <c r="G62" s="1280"/>
      <c r="H62" s="1284" t="str">
        <f t="shared" si="16"/>
        <v>——</v>
      </c>
      <c r="I62" s="818">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54" t="s">
        <v>2935</v>
      </c>
      <c r="B63" s="2858" t="str">
        <f>估价对象房地状况!C24</f>
        <v>支路</v>
      </c>
      <c r="C63" s="2754"/>
      <c r="D63" s="1282">
        <f t="shared" si="15"/>
        <v>0</v>
      </c>
      <c r="E63" s="820"/>
      <c r="F63" s="2485"/>
      <c r="G63" s="1280"/>
      <c r="H63" s="1284" t="str">
        <f t="shared" si="16"/>
        <v>——</v>
      </c>
      <c r="I63" s="818">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54" t="s">
        <v>2936</v>
      </c>
      <c r="B64" s="2860" t="s">
        <v>2937</v>
      </c>
      <c r="C64" s="2754"/>
      <c r="D64" s="1282">
        <f t="shared" si="15"/>
        <v>0</v>
      </c>
      <c r="E64" s="820"/>
      <c r="F64" s="2485"/>
      <c r="G64" s="1280"/>
      <c r="H64" s="1284" t="str">
        <f t="shared" si="16"/>
        <v>——</v>
      </c>
      <c r="I64" s="818">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4">
      <c r="A65" s="2854" t="s">
        <v>2938</v>
      </c>
      <c r="B65" s="1719" t="str">
        <f>估价对象房地状况!C21</f>
        <v>一般</v>
      </c>
      <c r="C65" s="2754"/>
      <c r="D65" s="1282">
        <f t="shared" si="15"/>
        <v>0</v>
      </c>
      <c r="E65" s="820"/>
      <c r="F65" s="2485"/>
      <c r="G65" s="1280"/>
      <c r="H65" s="1284" t="str">
        <f t="shared" si="16"/>
        <v>——</v>
      </c>
      <c r="I65" s="818">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4">
      <c r="A66" s="2854" t="s">
        <v>2939</v>
      </c>
      <c r="B66" s="1719" t="str">
        <f>估价对象房地状况!C22</f>
        <v>七通</v>
      </c>
      <c r="C66" s="2754"/>
      <c r="D66" s="1282">
        <f t="shared" si="15"/>
        <v>0</v>
      </c>
      <c r="E66" s="820"/>
      <c r="F66" s="2485"/>
      <c r="G66" s="1280"/>
      <c r="H66" s="1284" t="str">
        <f t="shared" si="16"/>
        <v>——</v>
      </c>
      <c r="I66" s="818">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24.75" thickBot="1">
      <c r="A67" s="2862" t="s">
        <v>2940</v>
      </c>
      <c r="B67" s="2864" t="str">
        <f>估价对象房地状况!C20</f>
        <v>一般</v>
      </c>
      <c r="C67" s="2754"/>
      <c r="D67" s="1282">
        <f t="shared" si="15"/>
        <v>0</v>
      </c>
      <c r="E67" s="823"/>
      <c r="F67" s="2485"/>
      <c r="G67" s="1280"/>
      <c r="H67" s="1284" t="str">
        <f t="shared" si="16"/>
        <v>——</v>
      </c>
      <c r="I67" s="822">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50" t="s">
        <v>2944</v>
      </c>
      <c r="B68" s="2851">
        <f>1+E70</f>
        <v>1</v>
      </c>
      <c r="C68" s="812"/>
      <c r="D68" s="812"/>
      <c r="E68" s="813"/>
      <c r="F68" s="2853"/>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54" t="s">
        <v>2922</v>
      </c>
      <c r="B69" s="1803"/>
      <c r="C69" s="1803" t="s">
        <v>2924</v>
      </c>
      <c r="D69" s="1803" t="s">
        <v>2925</v>
      </c>
      <c r="E69" s="817" t="s">
        <v>2926</v>
      </c>
      <c r="F69" s="2855" t="s">
        <v>2942</v>
      </c>
      <c r="G69" s="1803" t="s">
        <v>754</v>
      </c>
      <c r="H69" s="2856" t="s">
        <v>2928</v>
      </c>
      <c r="I69" s="1803" t="s">
        <v>2929</v>
      </c>
      <c r="J69" s="601" t="s">
        <v>2579</v>
      </c>
      <c r="K69" s="601" t="s">
        <v>2580</v>
      </c>
      <c r="L69" s="601" t="s">
        <v>2581</v>
      </c>
      <c r="M69" s="601" t="s">
        <v>2582</v>
      </c>
      <c r="N69" s="601" t="s">
        <v>2583</v>
      </c>
      <c r="AA69" s="1367"/>
      <c r="AB69" s="1367"/>
      <c r="AC69" s="1367"/>
      <c r="AD69" s="1367"/>
      <c r="AE69" s="1367"/>
      <c r="AF69" s="1367"/>
      <c r="AG69" s="1367"/>
      <c r="AH69" s="1367"/>
      <c r="AI69" s="1367"/>
      <c r="AJ69" s="1367"/>
      <c r="AK69" s="1367"/>
    </row>
    <row r="70" spans="1:37" s="1366" customFormat="1" ht="24">
      <c r="A70" s="2854" t="s">
        <v>2945</v>
      </c>
      <c r="B70" s="2857" t="str">
        <f>估价对象房地状况!C15</f>
        <v>一般</v>
      </c>
      <c r="C70" s="2754"/>
      <c r="D70" s="1282">
        <f t="shared" ref="D70:D78" si="20">SUMIF($J$69:$N$69,C70,J70:N70)</f>
        <v>0</v>
      </c>
      <c r="E70" s="819">
        <f>ROUND(SUM(D70:D78),4)</f>
        <v>0</v>
      </c>
      <c r="F70" s="2485" t="str">
        <f>IF(E2="住宅",SUMIF(L1:L12,G2,N1:N12),"——")</f>
        <v>——</v>
      </c>
      <c r="G70" s="1280"/>
      <c r="H70" s="1284" t="str">
        <f t="shared" ref="H70:H78" si="21">IFERROR(ROUNDDOWN($F$70*I70/2,4),"——")</f>
        <v>——</v>
      </c>
      <c r="I70" s="818">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14.25">
      <c r="A71" s="2854" t="s">
        <v>2931</v>
      </c>
      <c r="B71" s="2858" t="str">
        <f>估价对象房地状况!C18</f>
        <v>一般</v>
      </c>
      <c r="C71" s="2754"/>
      <c r="D71" s="1282">
        <f t="shared" si="20"/>
        <v>0</v>
      </c>
      <c r="E71" s="824"/>
      <c r="F71" s="2485"/>
      <c r="G71" s="1280"/>
      <c r="H71" s="1284" t="str">
        <f t="shared" si="21"/>
        <v>——</v>
      </c>
      <c r="I71" s="818">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54" t="s">
        <v>2932</v>
      </c>
      <c r="B72" s="2858" t="str">
        <f>估价对象房地状况!C19</f>
        <v>较好</v>
      </c>
      <c r="C72" s="2754"/>
      <c r="D72" s="1282">
        <f t="shared" si="20"/>
        <v>0</v>
      </c>
      <c r="E72" s="824"/>
      <c r="F72" s="2485"/>
      <c r="G72" s="1280"/>
      <c r="H72" s="1284" t="str">
        <f t="shared" si="21"/>
        <v>——</v>
      </c>
      <c r="I72" s="818">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54" t="s">
        <v>2946</v>
      </c>
      <c r="B73" s="2858" t="str">
        <f>估价对象房地状况!C24</f>
        <v>支路</v>
      </c>
      <c r="C73" s="2754"/>
      <c r="D73" s="1282">
        <f t="shared" si="20"/>
        <v>0</v>
      </c>
      <c r="E73" s="824"/>
      <c r="F73" s="2485"/>
      <c r="G73" s="1280"/>
      <c r="H73" s="1284" t="str">
        <f t="shared" si="21"/>
        <v>——</v>
      </c>
      <c r="I73" s="818">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4">
      <c r="A74" s="2854" t="s">
        <v>2938</v>
      </c>
      <c r="B74" s="1719" t="str">
        <f>估价对象房地状况!C21</f>
        <v>一般</v>
      </c>
      <c r="C74" s="2754"/>
      <c r="D74" s="1282">
        <f t="shared" si="20"/>
        <v>0</v>
      </c>
      <c r="E74" s="824"/>
      <c r="F74" s="2485"/>
      <c r="G74" s="1280"/>
      <c r="H74" s="1284" t="str">
        <f t="shared" si="21"/>
        <v>——</v>
      </c>
      <c r="I74" s="818">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4">
      <c r="A75" s="2854" t="s">
        <v>2939</v>
      </c>
      <c r="B75" s="1719" t="str">
        <f>估价对象房地状况!C22</f>
        <v>七通</v>
      </c>
      <c r="C75" s="2754"/>
      <c r="D75" s="1282">
        <f t="shared" si="20"/>
        <v>0</v>
      </c>
      <c r="E75" s="824"/>
      <c r="F75" s="2485"/>
      <c r="G75" s="1280"/>
      <c r="H75" s="1284" t="str">
        <f t="shared" si="21"/>
        <v>——</v>
      </c>
      <c r="I75" s="818">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03" customFormat="1" ht="24">
      <c r="A76" s="2854" t="s">
        <v>2936</v>
      </c>
      <c r="B76" s="2860" t="s">
        <v>2937</v>
      </c>
      <c r="C76" s="2754"/>
      <c r="D76" s="1282">
        <f t="shared" si="20"/>
        <v>0</v>
      </c>
      <c r="E76" s="824"/>
      <c r="F76" s="2485"/>
      <c r="G76" s="1280"/>
      <c r="H76" s="1284" t="str">
        <f t="shared" si="21"/>
        <v>——</v>
      </c>
      <c r="I76" s="818">
        <v>0.05</v>
      </c>
      <c r="J76" s="1281">
        <f t="shared" si="22"/>
        <v>0</v>
      </c>
      <c r="K76" s="1281">
        <f t="shared" si="23"/>
        <v>0</v>
      </c>
      <c r="L76" s="1281">
        <v>0</v>
      </c>
      <c r="M76" s="1281">
        <f t="shared" si="24"/>
        <v>0</v>
      </c>
      <c r="N76" s="1281">
        <f t="shared" si="24"/>
        <v>0</v>
      </c>
      <c r="AA76" s="2865"/>
      <c r="AB76" s="1367"/>
      <c r="AC76" s="1367"/>
      <c r="AD76" s="1367"/>
      <c r="AE76" s="1367"/>
      <c r="AF76" s="1367"/>
      <c r="AG76" s="1367"/>
      <c r="AH76" s="2865"/>
      <c r="AI76" s="2865"/>
      <c r="AJ76" s="2865"/>
      <c r="AK76" s="2865"/>
    </row>
    <row r="77" spans="1:37" ht="24">
      <c r="A77" s="2854" t="s">
        <v>2940</v>
      </c>
      <c r="B77" s="2857" t="str">
        <f>估价对象房地状况!C20</f>
        <v>一般</v>
      </c>
      <c r="C77" s="2754"/>
      <c r="D77" s="1282">
        <f t="shared" si="20"/>
        <v>0</v>
      </c>
      <c r="E77" s="824"/>
      <c r="F77" s="2485"/>
      <c r="G77" s="1280"/>
      <c r="H77" s="1284" t="str">
        <f t="shared" si="21"/>
        <v>——</v>
      </c>
      <c r="I77" s="818">
        <v>0.15</v>
      </c>
      <c r="J77" s="1281">
        <f t="shared" si="22"/>
        <v>0</v>
      </c>
      <c r="K77" s="1281">
        <f t="shared" si="23"/>
        <v>0</v>
      </c>
      <c r="L77" s="1281">
        <v>0</v>
      </c>
      <c r="M77" s="1281">
        <f t="shared" si="24"/>
        <v>0</v>
      </c>
      <c r="N77" s="1281">
        <f t="shared" si="24"/>
        <v>0</v>
      </c>
      <c r="Z77" s="2704"/>
      <c r="AA77" s="2772"/>
      <c r="AG77" s="1368"/>
      <c r="AK77" s="2772"/>
    </row>
    <row r="78" spans="1:37" ht="24.75" thickBot="1">
      <c r="A78" s="2862" t="s">
        <v>2947</v>
      </c>
      <c r="B78" s="2866"/>
      <c r="C78" s="2754"/>
      <c r="D78" s="1282">
        <f t="shared" si="20"/>
        <v>0</v>
      </c>
      <c r="E78" s="825"/>
      <c r="F78" s="2485"/>
      <c r="G78" s="1280"/>
      <c r="H78" s="1284" t="str">
        <f t="shared" si="21"/>
        <v>——</v>
      </c>
      <c r="I78" s="822">
        <v>0.04</v>
      </c>
      <c r="J78" s="1281">
        <f t="shared" si="22"/>
        <v>0</v>
      </c>
      <c r="K78" s="1281">
        <f t="shared" si="23"/>
        <v>0</v>
      </c>
      <c r="L78" s="1281">
        <v>0</v>
      </c>
      <c r="M78" s="1281">
        <f t="shared" si="24"/>
        <v>0</v>
      </c>
      <c r="N78" s="1281">
        <f t="shared" si="24"/>
        <v>0</v>
      </c>
      <c r="Z78" s="2704"/>
      <c r="AA78" s="2772"/>
      <c r="AG78" s="1368"/>
      <c r="AK78" s="2772"/>
    </row>
    <row r="79" spans="1:37" ht="15">
      <c r="A79" s="2850" t="s">
        <v>2948</v>
      </c>
      <c r="B79" s="2851">
        <f>1+E81</f>
        <v>1</v>
      </c>
      <c r="C79" s="812"/>
      <c r="D79" s="812"/>
      <c r="E79" s="813"/>
      <c r="F79" s="2853"/>
      <c r="G79" s="6"/>
      <c r="H79" s="6"/>
      <c r="I79" s="6"/>
      <c r="J79" s="7"/>
      <c r="K79" s="7"/>
      <c r="L79" s="7"/>
      <c r="M79" s="7"/>
      <c r="N79" s="7"/>
      <c r="Z79" s="2704"/>
      <c r="AA79" s="2772"/>
      <c r="AG79" s="1368"/>
      <c r="AK79" s="2772"/>
    </row>
    <row r="80" spans="1:37" ht="24.75">
      <c r="A80" s="2854" t="s">
        <v>2922</v>
      </c>
      <c r="B80" s="1803"/>
      <c r="C80" s="1803" t="s">
        <v>2924</v>
      </c>
      <c r="D80" s="1803" t="s">
        <v>2925</v>
      </c>
      <c r="E80" s="817" t="s">
        <v>2926</v>
      </c>
      <c r="F80" s="2855" t="s">
        <v>2942</v>
      </c>
      <c r="G80" s="1803" t="s">
        <v>754</v>
      </c>
      <c r="H80" s="2856" t="s">
        <v>2928</v>
      </c>
      <c r="I80" s="1803" t="s">
        <v>2929</v>
      </c>
      <c r="J80" s="601" t="s">
        <v>2579</v>
      </c>
      <c r="K80" s="601" t="s">
        <v>2580</v>
      </c>
      <c r="L80" s="601" t="s">
        <v>2581</v>
      </c>
      <c r="M80" s="601" t="s">
        <v>2582</v>
      </c>
      <c r="N80" s="601" t="s">
        <v>2583</v>
      </c>
      <c r="Z80" s="2704"/>
      <c r="AA80" s="2772"/>
      <c r="AG80" s="1368"/>
      <c r="AK80" s="2772"/>
    </row>
    <row r="81" spans="1:37" ht="24">
      <c r="A81" s="2854" t="s">
        <v>2949</v>
      </c>
      <c r="B81" s="2858">
        <f>估价对象房地状况!G15</f>
        <v>0</v>
      </c>
      <c r="C81" s="2754"/>
      <c r="D81" s="1282">
        <f t="shared" ref="D81:D88" si="25">SUMIF($J$80:$N$80,C81,J81:N81)</f>
        <v>0</v>
      </c>
      <c r="E81" s="819">
        <f>ROUND(SUM(D81:D88),4)</f>
        <v>0</v>
      </c>
      <c r="F81" s="2485" t="str">
        <f>IF(E2="工业",SUMIF(L1:L12,G2,N1:N12),"——")</f>
        <v>——</v>
      </c>
      <c r="G81" s="1280"/>
      <c r="H81" s="1284" t="str">
        <f t="shared" ref="H81:H88" si="26">IFERROR(ROUNDDOWN($F$81*I81/2,4),"——")</f>
        <v>——</v>
      </c>
      <c r="I81" s="818">
        <v>0.26</v>
      </c>
      <c r="J81" s="1281">
        <f t="shared" ref="J81:J88" si="27">K81+$G81</f>
        <v>0</v>
      </c>
      <c r="K81" s="1281">
        <f t="shared" ref="K81:K88" si="28">$L81+$G81</f>
        <v>0</v>
      </c>
      <c r="L81" s="1281">
        <v>0</v>
      </c>
      <c r="M81" s="1281">
        <f t="shared" ref="M81:N88" si="29">L81-$G81</f>
        <v>0</v>
      </c>
      <c r="N81" s="1281">
        <f t="shared" si="29"/>
        <v>0</v>
      </c>
      <c r="Z81" s="2704"/>
      <c r="AA81" s="2772"/>
      <c r="AG81" s="1368"/>
      <c r="AK81" s="2772"/>
    </row>
    <row r="82" spans="1:37" ht="14.25">
      <c r="A82" s="2854" t="s">
        <v>2931</v>
      </c>
      <c r="B82" s="2858">
        <f>估价对象房地状况!G16</f>
        <v>0</v>
      </c>
      <c r="C82" s="2754"/>
      <c r="D82" s="1282">
        <f t="shared" si="25"/>
        <v>0</v>
      </c>
      <c r="E82" s="824"/>
      <c r="F82" s="2485"/>
      <c r="G82" s="1280"/>
      <c r="H82" s="1284" t="str">
        <f t="shared" si="26"/>
        <v>——</v>
      </c>
      <c r="I82" s="818">
        <v>0.33</v>
      </c>
      <c r="J82" s="1281">
        <f t="shared" si="27"/>
        <v>0</v>
      </c>
      <c r="K82" s="1281">
        <f t="shared" si="28"/>
        <v>0</v>
      </c>
      <c r="L82" s="1281">
        <v>0</v>
      </c>
      <c r="M82" s="1281">
        <f t="shared" si="29"/>
        <v>0</v>
      </c>
      <c r="N82" s="1281">
        <f t="shared" si="29"/>
        <v>0</v>
      </c>
      <c r="Z82" s="2704"/>
      <c r="AA82" s="2772"/>
      <c r="AG82" s="1368"/>
      <c r="AK82" s="2772"/>
    </row>
    <row r="83" spans="1:37" ht="24">
      <c r="A83" s="2854" t="s">
        <v>2932</v>
      </c>
      <c r="B83" s="2858">
        <f>估价对象房地状况!G17</f>
        <v>0</v>
      </c>
      <c r="C83" s="2754"/>
      <c r="D83" s="1282">
        <f t="shared" si="25"/>
        <v>0</v>
      </c>
      <c r="E83" s="824"/>
      <c r="F83" s="2485"/>
      <c r="G83" s="1280"/>
      <c r="H83" s="1284" t="str">
        <f t="shared" si="26"/>
        <v>——</v>
      </c>
      <c r="I83" s="818">
        <v>0.05</v>
      </c>
      <c r="J83" s="1281">
        <f t="shared" si="27"/>
        <v>0</v>
      </c>
      <c r="K83" s="1281">
        <f t="shared" si="28"/>
        <v>0</v>
      </c>
      <c r="L83" s="1281">
        <v>0</v>
      </c>
      <c r="M83" s="1281">
        <f t="shared" si="29"/>
        <v>0</v>
      </c>
      <c r="N83" s="1281">
        <f t="shared" si="29"/>
        <v>0</v>
      </c>
      <c r="Z83" s="2704"/>
      <c r="AA83" s="2772"/>
      <c r="AG83" s="1368"/>
      <c r="AK83" s="2772"/>
    </row>
    <row r="84" spans="1:37" ht="14.25">
      <c r="A84" s="2854" t="s">
        <v>2946</v>
      </c>
      <c r="B84" s="2858">
        <f>估价对象房地状况!G22</f>
        <v>0</v>
      </c>
      <c r="C84" s="2754"/>
      <c r="D84" s="1282">
        <f t="shared" si="25"/>
        <v>0</v>
      </c>
      <c r="E84" s="824"/>
      <c r="F84" s="2485"/>
      <c r="G84" s="1280"/>
      <c r="H84" s="1284" t="str">
        <f t="shared" si="26"/>
        <v>——</v>
      </c>
      <c r="I84" s="818">
        <v>0.04</v>
      </c>
      <c r="J84" s="1281">
        <f t="shared" si="27"/>
        <v>0</v>
      </c>
      <c r="K84" s="1281">
        <f t="shared" si="28"/>
        <v>0</v>
      </c>
      <c r="L84" s="1281">
        <v>0</v>
      </c>
      <c r="M84" s="1281">
        <f t="shared" si="29"/>
        <v>0</v>
      </c>
      <c r="N84" s="1281">
        <f t="shared" si="29"/>
        <v>0</v>
      </c>
      <c r="Z84" s="2704"/>
      <c r="AA84" s="2772"/>
      <c r="AG84" s="1368"/>
      <c r="AK84" s="2772"/>
    </row>
    <row r="85" spans="1:37" ht="24">
      <c r="A85" s="2854" t="s">
        <v>2938</v>
      </c>
      <c r="B85" s="1719">
        <f>估价对象房地状况!G19</f>
        <v>0</v>
      </c>
      <c r="C85" s="2754"/>
      <c r="D85" s="1282">
        <f t="shared" si="25"/>
        <v>0</v>
      </c>
      <c r="E85" s="824"/>
      <c r="F85" s="2485"/>
      <c r="G85" s="1280"/>
      <c r="H85" s="1284" t="str">
        <f t="shared" si="26"/>
        <v>——</v>
      </c>
      <c r="I85" s="818">
        <v>0.06</v>
      </c>
      <c r="J85" s="1281">
        <f t="shared" si="27"/>
        <v>0</v>
      </c>
      <c r="K85" s="1281">
        <f t="shared" si="28"/>
        <v>0</v>
      </c>
      <c r="L85" s="1281">
        <v>0</v>
      </c>
      <c r="M85" s="1281">
        <f t="shared" si="29"/>
        <v>0</v>
      </c>
      <c r="N85" s="1281">
        <f t="shared" si="29"/>
        <v>0</v>
      </c>
      <c r="Z85" s="2704"/>
      <c r="AA85" s="2772"/>
      <c r="AG85" s="1368"/>
      <c r="AK85" s="2772"/>
    </row>
    <row r="86" spans="1:37" ht="24">
      <c r="A86" s="2854" t="s">
        <v>2939</v>
      </c>
      <c r="B86" s="1719">
        <f>估价对象房地状况!G20</f>
        <v>0</v>
      </c>
      <c r="C86" s="2754"/>
      <c r="D86" s="1282">
        <f t="shared" si="25"/>
        <v>0</v>
      </c>
      <c r="E86" s="824"/>
      <c r="F86" s="2485"/>
      <c r="G86" s="1280"/>
      <c r="H86" s="1284" t="str">
        <f t="shared" si="26"/>
        <v>——</v>
      </c>
      <c r="I86" s="818">
        <v>0.15</v>
      </c>
      <c r="J86" s="1281">
        <f t="shared" si="27"/>
        <v>0</v>
      </c>
      <c r="K86" s="1281">
        <f t="shared" si="28"/>
        <v>0</v>
      </c>
      <c r="L86" s="1281">
        <v>0</v>
      </c>
      <c r="M86" s="1281">
        <f t="shared" si="29"/>
        <v>0</v>
      </c>
      <c r="N86" s="1281">
        <f t="shared" si="29"/>
        <v>0</v>
      </c>
      <c r="Z86" s="2704"/>
      <c r="AA86" s="2772"/>
      <c r="AG86" s="1368"/>
      <c r="AK86" s="2772"/>
    </row>
    <row r="87" spans="1:37" ht="24">
      <c r="A87" s="2854" t="s">
        <v>2936</v>
      </c>
      <c r="B87" s="2860" t="s">
        <v>2950</v>
      </c>
      <c r="C87" s="2754"/>
      <c r="D87" s="1282">
        <f t="shared" si="25"/>
        <v>0</v>
      </c>
      <c r="E87" s="824"/>
      <c r="F87" s="2485"/>
      <c r="G87" s="1280"/>
      <c r="H87" s="1284" t="str">
        <f t="shared" si="26"/>
        <v>——</v>
      </c>
      <c r="I87" s="818">
        <v>0.05</v>
      </c>
      <c r="J87" s="1281">
        <f t="shared" si="27"/>
        <v>0</v>
      </c>
      <c r="K87" s="1281">
        <f t="shared" si="28"/>
        <v>0</v>
      </c>
      <c r="L87" s="1281">
        <v>0</v>
      </c>
      <c r="M87" s="1281">
        <f t="shared" si="29"/>
        <v>0</v>
      </c>
      <c r="N87" s="1281">
        <f t="shared" si="29"/>
        <v>0</v>
      </c>
      <c r="Z87" s="2704"/>
      <c r="AA87" s="2772"/>
      <c r="AG87" s="1368"/>
      <c r="AK87" s="2772"/>
    </row>
    <row r="88" spans="1:37" ht="15" thickBot="1">
      <c r="A88" s="2862" t="s">
        <v>2951</v>
      </c>
      <c r="B88" s="2867">
        <f>估价对象房地状况!G18</f>
        <v>0</v>
      </c>
      <c r="C88" s="2754"/>
      <c r="D88" s="1282">
        <f t="shared" si="25"/>
        <v>0</v>
      </c>
      <c r="E88" s="825"/>
      <c r="F88" s="2485"/>
      <c r="G88" s="1280"/>
      <c r="H88" s="1284" t="str">
        <f t="shared" si="26"/>
        <v>——</v>
      </c>
      <c r="I88" s="822">
        <v>0.06</v>
      </c>
      <c r="J88" s="1281">
        <f t="shared" si="27"/>
        <v>0</v>
      </c>
      <c r="K88" s="1281">
        <f t="shared" si="28"/>
        <v>0</v>
      </c>
      <c r="L88" s="1281">
        <v>0</v>
      </c>
      <c r="M88" s="1281">
        <f t="shared" si="29"/>
        <v>0</v>
      </c>
      <c r="N88" s="1281">
        <f t="shared" si="29"/>
        <v>0</v>
      </c>
      <c r="Z88" s="2704"/>
      <c r="AA88" s="2772"/>
      <c r="AG88" s="1368"/>
      <c r="AK88" s="2772"/>
    </row>
    <row r="90" spans="1:37">
      <c r="A90" s="3442" t="s">
        <v>2952</v>
      </c>
      <c r="B90" s="3442"/>
      <c r="C90" s="3442"/>
      <c r="D90" s="3442"/>
      <c r="E90" s="3442"/>
      <c r="F90" s="3442"/>
      <c r="G90" s="3442"/>
      <c r="H90" s="3442"/>
      <c r="I90" s="3442"/>
      <c r="J90" s="3442"/>
      <c r="K90" s="2868"/>
      <c r="L90" s="2868"/>
      <c r="M90" s="2868"/>
      <c r="N90" s="2868"/>
    </row>
    <row r="91" spans="1:37">
      <c r="A91" s="3444" t="s">
        <v>2953</v>
      </c>
      <c r="B91" s="3444" t="s">
        <v>2954</v>
      </c>
      <c r="C91" s="2822" t="s">
        <v>2955</v>
      </c>
      <c r="D91" s="2823"/>
      <c r="E91" s="2823"/>
      <c r="F91" s="2823"/>
      <c r="G91" s="2823"/>
      <c r="H91" s="2823"/>
      <c r="I91" s="2823"/>
      <c r="J91" s="2869"/>
      <c r="K91" s="2870"/>
      <c r="L91" s="2870"/>
      <c r="M91" s="2870"/>
      <c r="N91" s="2870"/>
    </row>
    <row r="92" spans="1:37">
      <c r="A92" s="3444"/>
      <c r="B92" s="3444"/>
      <c r="C92" s="940" t="s">
        <v>2821</v>
      </c>
      <c r="D92" s="940" t="s">
        <v>2822</v>
      </c>
      <c r="E92" s="940" t="s">
        <v>2823</v>
      </c>
      <c r="F92" s="940" t="s">
        <v>2824</v>
      </c>
      <c r="G92" s="940" t="s">
        <v>2825</v>
      </c>
      <c r="H92" s="940" t="s">
        <v>2826</v>
      </c>
      <c r="I92" s="940" t="s">
        <v>2827</v>
      </c>
      <c r="J92" s="940" t="s">
        <v>2828</v>
      </c>
      <c r="K92" s="940" t="s">
        <v>2829</v>
      </c>
      <c r="L92" s="940" t="s">
        <v>2830</v>
      </c>
      <c r="M92" s="940" t="s">
        <v>2831</v>
      </c>
      <c r="N92" s="940" t="s">
        <v>2832</v>
      </c>
    </row>
    <row r="93" spans="1:37">
      <c r="A93" s="3445" t="s">
        <v>2956</v>
      </c>
      <c r="B93" s="2871">
        <v>1</v>
      </c>
      <c r="C93" s="2872">
        <v>1.9361999999999999</v>
      </c>
      <c r="D93" s="2872">
        <v>1.9361999999999999</v>
      </c>
      <c r="E93" s="2872">
        <v>1.8629</v>
      </c>
      <c r="F93" s="2872">
        <v>1.8629</v>
      </c>
      <c r="G93" s="2872">
        <v>1.8629</v>
      </c>
      <c r="H93" s="2872">
        <v>1.8629</v>
      </c>
      <c r="I93" s="2872">
        <v>1.8629</v>
      </c>
      <c r="J93" s="2872">
        <v>1.9419999999999999</v>
      </c>
      <c r="K93" s="2872">
        <v>1.9419999999999999</v>
      </c>
      <c r="L93" s="2872">
        <v>1.9419999999999999</v>
      </c>
      <c r="M93" s="2872">
        <v>1.9419999999999999</v>
      </c>
      <c r="N93" s="2872">
        <v>1.9419999999999999</v>
      </c>
    </row>
    <row r="94" spans="1:37">
      <c r="A94" s="3446"/>
      <c r="B94" s="2871">
        <v>2</v>
      </c>
      <c r="C94" s="2872">
        <v>1.4198</v>
      </c>
      <c r="D94" s="2872">
        <v>1.4198</v>
      </c>
      <c r="E94" s="2872">
        <v>1.3371999999999999</v>
      </c>
      <c r="F94" s="2872">
        <v>1.3371999999999999</v>
      </c>
      <c r="G94" s="2872">
        <v>1.3371999999999999</v>
      </c>
      <c r="H94" s="2872">
        <v>1.3371999999999999</v>
      </c>
      <c r="I94" s="2872">
        <v>1.3371999999999999</v>
      </c>
      <c r="J94" s="2872">
        <v>1.2799</v>
      </c>
      <c r="K94" s="2872">
        <v>1.2799</v>
      </c>
      <c r="L94" s="2872">
        <v>1.2799</v>
      </c>
      <c r="M94" s="2872">
        <v>1.2799</v>
      </c>
      <c r="N94" s="2872">
        <v>1.2799</v>
      </c>
    </row>
    <row r="95" spans="1:37">
      <c r="A95" s="3446"/>
      <c r="B95" s="2871">
        <v>3</v>
      </c>
      <c r="C95" s="2872">
        <v>1.1594</v>
      </c>
      <c r="D95" s="2872">
        <v>1.1594</v>
      </c>
      <c r="E95" s="2872">
        <v>1.0788</v>
      </c>
      <c r="F95" s="2872">
        <v>1.0788</v>
      </c>
      <c r="G95" s="2872">
        <v>1.0788</v>
      </c>
      <c r="H95" s="2872">
        <v>1.0788</v>
      </c>
      <c r="I95" s="2872">
        <v>1.0788</v>
      </c>
      <c r="J95" s="2872">
        <v>1.0072000000000001</v>
      </c>
      <c r="K95" s="2872">
        <v>1.0072000000000001</v>
      </c>
      <c r="L95" s="2872">
        <v>1.0072000000000001</v>
      </c>
      <c r="M95" s="2872">
        <v>1.0072000000000001</v>
      </c>
      <c r="N95" s="2872">
        <v>1.0072000000000001</v>
      </c>
    </row>
    <row r="96" spans="1:37">
      <c r="A96" s="3446"/>
      <c r="B96" s="2871">
        <v>4</v>
      </c>
      <c r="C96" s="2872">
        <v>0.96220000000000006</v>
      </c>
      <c r="D96" s="2872">
        <v>0.96220000000000006</v>
      </c>
      <c r="E96" s="2872">
        <v>0.86560000000000004</v>
      </c>
      <c r="F96" s="2872">
        <v>0.86560000000000004</v>
      </c>
      <c r="G96" s="2872">
        <v>0.86560000000000004</v>
      </c>
      <c r="H96" s="2872">
        <v>0.86560000000000004</v>
      </c>
      <c r="I96" s="2872">
        <v>0.86560000000000004</v>
      </c>
      <c r="J96" s="2872">
        <v>0.75249999999999995</v>
      </c>
      <c r="K96" s="2872">
        <v>0.75249999999999995</v>
      </c>
      <c r="L96" s="2872">
        <v>0.75249999999999995</v>
      </c>
      <c r="M96" s="2872">
        <v>0.75249999999999995</v>
      </c>
      <c r="N96" s="2872">
        <v>0.75249999999999995</v>
      </c>
    </row>
    <row r="97" spans="1:14">
      <c r="A97" s="3446"/>
      <c r="B97" s="2871">
        <v>5</v>
      </c>
      <c r="C97" s="2872">
        <v>0.8417</v>
      </c>
      <c r="D97" s="2872">
        <v>0.8417</v>
      </c>
      <c r="E97" s="2872">
        <v>0.73709999999999998</v>
      </c>
      <c r="F97" s="2872">
        <v>0.73709999999999998</v>
      </c>
      <c r="G97" s="2872">
        <v>0.73709999999999998</v>
      </c>
      <c r="H97" s="2872">
        <v>0.73709999999999998</v>
      </c>
      <c r="I97" s="2872">
        <v>0.73709999999999998</v>
      </c>
      <c r="J97" s="2872">
        <v>0.56589999999999996</v>
      </c>
      <c r="K97" s="2872">
        <v>0.56589999999999996</v>
      </c>
      <c r="L97" s="2872">
        <v>0.56589999999999996</v>
      </c>
      <c r="M97" s="2872">
        <v>0.56589999999999996</v>
      </c>
      <c r="N97" s="2872">
        <v>0.56589999999999996</v>
      </c>
    </row>
    <row r="98" spans="1:14">
      <c r="A98" s="3446"/>
      <c r="B98" s="2871">
        <v>6</v>
      </c>
      <c r="C98" s="2872">
        <v>0.76080000000000003</v>
      </c>
      <c r="D98" s="2872">
        <v>0.76080000000000003</v>
      </c>
      <c r="E98" s="2872">
        <v>0.6482</v>
      </c>
      <c r="F98" s="2872">
        <v>0.6482</v>
      </c>
      <c r="G98" s="2872">
        <v>0.6482</v>
      </c>
      <c r="H98" s="2872">
        <v>0.6482</v>
      </c>
      <c r="I98" s="2872">
        <v>0.6482</v>
      </c>
      <c r="J98" s="2872">
        <v>0.45250000000000001</v>
      </c>
      <c r="K98" s="2872">
        <v>0.45250000000000001</v>
      </c>
      <c r="L98" s="2872">
        <v>0.45250000000000001</v>
      </c>
      <c r="M98" s="2872">
        <v>0.45250000000000001</v>
      </c>
      <c r="N98" s="2872">
        <v>0.45250000000000001</v>
      </c>
    </row>
    <row r="99" spans="1:14">
      <c r="A99" s="3446"/>
      <c r="B99" s="2871" t="s">
        <v>2837</v>
      </c>
      <c r="C99" s="2873">
        <f>$I$3</f>
        <v>0</v>
      </c>
      <c r="D99" s="2873">
        <f t="shared" ref="D99:M99" si="30">$I$3</f>
        <v>0</v>
      </c>
      <c r="E99" s="2873">
        <f t="shared" si="30"/>
        <v>0</v>
      </c>
      <c r="F99" s="2873">
        <f t="shared" si="30"/>
        <v>0</v>
      </c>
      <c r="G99" s="2873">
        <f t="shared" si="30"/>
        <v>0</v>
      </c>
      <c r="H99" s="2873">
        <f t="shared" si="30"/>
        <v>0</v>
      </c>
      <c r="I99" s="2873">
        <f t="shared" si="30"/>
        <v>0</v>
      </c>
      <c r="J99" s="2873">
        <f t="shared" si="30"/>
        <v>0</v>
      </c>
      <c r="K99" s="2873">
        <f t="shared" si="30"/>
        <v>0</v>
      </c>
      <c r="L99" s="2873">
        <f t="shared" si="30"/>
        <v>0</v>
      </c>
      <c r="M99" s="2873">
        <f t="shared" si="30"/>
        <v>0</v>
      </c>
      <c r="N99" s="2873">
        <f>$I$3</f>
        <v>0</v>
      </c>
    </row>
    <row r="100" spans="1:14">
      <c r="A100" s="3447"/>
      <c r="B100" s="2871">
        <v>7</v>
      </c>
      <c r="C100" s="2874">
        <f>(-0.163*(C99^2)-0.59*C99+7617)*(10^(-4))</f>
        <v>0.76170000000000004</v>
      </c>
      <c r="D100" s="2874">
        <f>(-0.163*(D99^2)-0.59*D99+7617)*(10^(-4))</f>
        <v>0.76170000000000004</v>
      </c>
      <c r="E100" s="2874">
        <f>(-0.161*(E99^2)-7.509*E99+6533)*(10^(-4))</f>
        <v>0.65329999999999999</v>
      </c>
      <c r="F100" s="2874">
        <f>(-0.161*(F99^2)-7.509*F99+6533)*(10^(-4))</f>
        <v>0.65329999999999999</v>
      </c>
      <c r="G100" s="2874">
        <f>(-0.161*(G99^2)-7.509*G99+6533)*(10^(-4))</f>
        <v>0.65329999999999999</v>
      </c>
      <c r="H100" s="2874">
        <f>(-0.161*(H99^2)-7.509*H99+6533)*(10^(-4))</f>
        <v>0.65329999999999999</v>
      </c>
      <c r="I100" s="2874">
        <f>(-0.161*(I99^2)-7.509*I99+6533)*(10^(-4))</f>
        <v>0.65329999999999999</v>
      </c>
      <c r="J100" s="2874">
        <f>(-0.214*(J99^2)-21.991*J99+4665)*(10^(-4))</f>
        <v>0.46650000000000003</v>
      </c>
      <c r="K100" s="2874">
        <f>(-0.214*(K99^2)-21.991*K99+4665)*(10^(-4))</f>
        <v>0.46650000000000003</v>
      </c>
      <c r="L100" s="2874">
        <f>(-0.214*(L99^2)-21.991*L99+4665)*(10^(-4))</f>
        <v>0.46650000000000003</v>
      </c>
      <c r="M100" s="2874">
        <f>(-0.214*(M99^2)-21.991*M99+4665)*(10^(-4))</f>
        <v>0.46650000000000003</v>
      </c>
      <c r="N100" s="2874">
        <f>(-0.214*(N99^2)-21.991*N99+4665)*(10^(-4))</f>
        <v>0.46650000000000003</v>
      </c>
    </row>
    <row r="101" spans="1:14">
      <c r="A101" s="3445" t="s">
        <v>2957</v>
      </c>
      <c r="B101" s="2875" t="s">
        <v>2958</v>
      </c>
      <c r="C101" s="2876">
        <f>$G$3</f>
        <v>1.27</v>
      </c>
      <c r="D101" s="2876">
        <f t="shared" ref="D101:N101" si="31">$G$3</f>
        <v>1.27</v>
      </c>
      <c r="E101" s="2876">
        <f t="shared" si="31"/>
        <v>1.27</v>
      </c>
      <c r="F101" s="2876">
        <f t="shared" si="31"/>
        <v>1.27</v>
      </c>
      <c r="G101" s="2876">
        <f t="shared" si="31"/>
        <v>1.27</v>
      </c>
      <c r="H101" s="2876">
        <f t="shared" si="31"/>
        <v>1.27</v>
      </c>
      <c r="I101" s="2876">
        <f t="shared" si="31"/>
        <v>1.27</v>
      </c>
      <c r="J101" s="2876">
        <f t="shared" si="31"/>
        <v>1.27</v>
      </c>
      <c r="K101" s="2876">
        <f t="shared" si="31"/>
        <v>1.27</v>
      </c>
      <c r="L101" s="2876">
        <f t="shared" si="31"/>
        <v>1.27</v>
      </c>
      <c r="M101" s="2876">
        <f t="shared" si="31"/>
        <v>1.27</v>
      </c>
      <c r="N101" s="2876">
        <f t="shared" si="31"/>
        <v>1.27</v>
      </c>
    </row>
    <row r="102" spans="1:14">
      <c r="A102" s="3446"/>
      <c r="B102" s="2871">
        <v>1</v>
      </c>
      <c r="C102" s="2872">
        <f>1.9362/C101</f>
        <v>1.5245669291338582</v>
      </c>
      <c r="D102" s="2872">
        <f>1.9362/D101</f>
        <v>1.5245669291338582</v>
      </c>
      <c r="E102" s="2872">
        <f>1.8629/E101</f>
        <v>1.4668503937007873</v>
      </c>
      <c r="F102" s="2872">
        <f>1.8629/F101</f>
        <v>1.4668503937007873</v>
      </c>
      <c r="G102" s="2872">
        <f>1.8629/G101</f>
        <v>1.4668503937007873</v>
      </c>
      <c r="H102" s="2872">
        <f>1.8629/H101</f>
        <v>1.4668503937007873</v>
      </c>
      <c r="I102" s="2872">
        <f>1.8629/I101</f>
        <v>1.4668503937007873</v>
      </c>
      <c r="J102" s="2872">
        <f>1.942/J101</f>
        <v>1.5291338582677165</v>
      </c>
      <c r="K102" s="2872">
        <f>1.942/K101</f>
        <v>1.5291338582677165</v>
      </c>
      <c r="L102" s="2872">
        <f>1.942/L101</f>
        <v>1.5291338582677165</v>
      </c>
      <c r="M102" s="2872">
        <f>1.942/M101</f>
        <v>1.5291338582677165</v>
      </c>
      <c r="N102" s="2872">
        <f>1.942/N101</f>
        <v>1.5291338582677165</v>
      </c>
    </row>
    <row r="103" spans="1:14">
      <c r="A103" s="3446"/>
      <c r="B103" s="2871">
        <v>2</v>
      </c>
      <c r="C103" s="2872">
        <f>1.4198/C101</f>
        <v>1.1179527559055118</v>
      </c>
      <c r="D103" s="2872">
        <f>1.4198/D101</f>
        <v>1.1179527559055118</v>
      </c>
      <c r="E103" s="2872">
        <f>1.3372/E101</f>
        <v>1.0529133858267716</v>
      </c>
      <c r="F103" s="2872">
        <f>1.3372/F101</f>
        <v>1.0529133858267716</v>
      </c>
      <c r="G103" s="2872">
        <f>1.3372/G101</f>
        <v>1.0529133858267716</v>
      </c>
      <c r="H103" s="2872">
        <f>1.3372/H101</f>
        <v>1.0529133858267716</v>
      </c>
      <c r="I103" s="2872">
        <f>1.3372/I101</f>
        <v>1.0529133858267716</v>
      </c>
      <c r="J103" s="2872">
        <f>1.2799/J101</f>
        <v>1.0077952755905513</v>
      </c>
      <c r="K103" s="2872">
        <f>1.2799/K101</f>
        <v>1.0077952755905513</v>
      </c>
      <c r="L103" s="2872">
        <f>1.2799/L101</f>
        <v>1.0077952755905513</v>
      </c>
      <c r="M103" s="2872">
        <f>1.2799/M101</f>
        <v>1.0077952755905513</v>
      </c>
      <c r="N103" s="2872">
        <f>1.2799/N101</f>
        <v>1.0077952755905513</v>
      </c>
    </row>
    <row r="104" spans="1:14">
      <c r="A104" s="3446"/>
      <c r="B104" s="2871">
        <v>3</v>
      </c>
      <c r="C104" s="2872">
        <f>1.1594/C101</f>
        <v>0.91291338582677162</v>
      </c>
      <c r="D104" s="2872">
        <f>1.1594/D101</f>
        <v>0.91291338582677162</v>
      </c>
      <c r="E104" s="2872">
        <f>1.0788/E101</f>
        <v>0.84944881889763779</v>
      </c>
      <c r="F104" s="2872">
        <f>1.0788/F101</f>
        <v>0.84944881889763779</v>
      </c>
      <c r="G104" s="2872">
        <f>1.0788/G101</f>
        <v>0.84944881889763779</v>
      </c>
      <c r="H104" s="2872">
        <f>1.0788/H101</f>
        <v>0.84944881889763779</v>
      </c>
      <c r="I104" s="2872">
        <f>1.0788/I101</f>
        <v>0.84944881889763779</v>
      </c>
      <c r="J104" s="2872">
        <f>1.0072/J101</f>
        <v>0.79307086614173239</v>
      </c>
      <c r="K104" s="2872">
        <f>1.0072/K101</f>
        <v>0.79307086614173239</v>
      </c>
      <c r="L104" s="2872">
        <f>1.0072/L101</f>
        <v>0.79307086614173239</v>
      </c>
      <c r="M104" s="2872">
        <f>1.0072/M101</f>
        <v>0.79307086614173239</v>
      </c>
      <c r="N104" s="2872">
        <f>1.0072/N101</f>
        <v>0.79307086614173239</v>
      </c>
    </row>
    <row r="105" spans="1:14">
      <c r="A105" s="3446"/>
      <c r="B105" s="2871">
        <v>4</v>
      </c>
      <c r="C105" s="2872">
        <f>0.9622/C101</f>
        <v>0.75763779527559061</v>
      </c>
      <c r="D105" s="2872">
        <f>0.9622/D101</f>
        <v>0.75763779527559061</v>
      </c>
      <c r="E105" s="2872">
        <f>0.8656/E101</f>
        <v>0.68157480314960628</v>
      </c>
      <c r="F105" s="2872">
        <f>0.8656/F101</f>
        <v>0.68157480314960628</v>
      </c>
      <c r="G105" s="2872">
        <f>0.8656/G101</f>
        <v>0.68157480314960628</v>
      </c>
      <c r="H105" s="2872">
        <f>0.8656/H101</f>
        <v>0.68157480314960628</v>
      </c>
      <c r="I105" s="2872">
        <f>0.8656/I101</f>
        <v>0.68157480314960628</v>
      </c>
      <c r="J105" s="2872">
        <f>0.7525/J101</f>
        <v>0.59251968503937003</v>
      </c>
      <c r="K105" s="2872">
        <f>0.7525/K101</f>
        <v>0.59251968503937003</v>
      </c>
      <c r="L105" s="2872">
        <f>0.7525/L101</f>
        <v>0.59251968503937003</v>
      </c>
      <c r="M105" s="2872">
        <f>0.7525/M101</f>
        <v>0.59251968503937003</v>
      </c>
      <c r="N105" s="2872">
        <f>0.7525/N101</f>
        <v>0.59251968503937003</v>
      </c>
    </row>
    <row r="106" spans="1:14">
      <c r="A106" s="3446"/>
      <c r="B106" s="2871">
        <v>5</v>
      </c>
      <c r="C106" s="2872">
        <f>0.8417/C101</f>
        <v>0.66275590551181107</v>
      </c>
      <c r="D106" s="2872">
        <f>0.8417/D101</f>
        <v>0.66275590551181107</v>
      </c>
      <c r="E106" s="2872">
        <f>0.7371/E101</f>
        <v>0.5803937007874016</v>
      </c>
      <c r="F106" s="2872">
        <f>0.7371/F101</f>
        <v>0.5803937007874016</v>
      </c>
      <c r="G106" s="2872">
        <f>0.7371/G101</f>
        <v>0.5803937007874016</v>
      </c>
      <c r="H106" s="2872">
        <f>0.7371/H101</f>
        <v>0.5803937007874016</v>
      </c>
      <c r="I106" s="2872">
        <f>0.7371/I101</f>
        <v>0.5803937007874016</v>
      </c>
      <c r="J106" s="2872">
        <f>0.5659/J101</f>
        <v>0.4455905511811023</v>
      </c>
      <c r="K106" s="2872">
        <f>0.5659/K101</f>
        <v>0.4455905511811023</v>
      </c>
      <c r="L106" s="2872">
        <f>0.5659/L101</f>
        <v>0.4455905511811023</v>
      </c>
      <c r="M106" s="2872">
        <f>0.5659/M101</f>
        <v>0.4455905511811023</v>
      </c>
      <c r="N106" s="2872">
        <f>0.5659/N101</f>
        <v>0.4455905511811023</v>
      </c>
    </row>
    <row r="107" spans="1:14">
      <c r="A107" s="3446"/>
      <c r="B107" s="2871">
        <v>6</v>
      </c>
      <c r="C107" s="2872">
        <f>0.7608/C101</f>
        <v>0.59905511811023626</v>
      </c>
      <c r="D107" s="2872">
        <f>0.7608/D101</f>
        <v>0.59905511811023626</v>
      </c>
      <c r="E107" s="2872">
        <f>0.6482/E101</f>
        <v>0.51039370078740154</v>
      </c>
      <c r="F107" s="2872">
        <f>0.6482/F101</f>
        <v>0.51039370078740154</v>
      </c>
      <c r="G107" s="2872">
        <f>0.6482/G101</f>
        <v>0.51039370078740154</v>
      </c>
      <c r="H107" s="2872">
        <f>0.6482/H101</f>
        <v>0.51039370078740154</v>
      </c>
      <c r="I107" s="2872">
        <f>0.6482/I101</f>
        <v>0.51039370078740154</v>
      </c>
      <c r="J107" s="2872">
        <f>0.4525/J101</f>
        <v>0.35629921259842523</v>
      </c>
      <c r="K107" s="2872">
        <f>0.4525/K101</f>
        <v>0.35629921259842523</v>
      </c>
      <c r="L107" s="2872">
        <f>0.4525/L101</f>
        <v>0.35629921259842523</v>
      </c>
      <c r="M107" s="2872">
        <f>0.4525/M101</f>
        <v>0.35629921259842523</v>
      </c>
      <c r="N107" s="2872">
        <f>0.4525/N101</f>
        <v>0.35629921259842523</v>
      </c>
    </row>
    <row r="108" spans="1:14">
      <c r="A108" s="3446"/>
      <c r="B108" s="3303" t="s">
        <v>2959</v>
      </c>
      <c r="C108" s="2873">
        <f>C99</f>
        <v>0</v>
      </c>
      <c r="D108" s="2873">
        <f t="shared" ref="D108:N108" si="32">D99</f>
        <v>0</v>
      </c>
      <c r="E108" s="2873">
        <f t="shared" si="32"/>
        <v>0</v>
      </c>
      <c r="F108" s="2873">
        <f t="shared" si="32"/>
        <v>0</v>
      </c>
      <c r="G108" s="2873">
        <f t="shared" si="32"/>
        <v>0</v>
      </c>
      <c r="H108" s="2873">
        <f t="shared" si="32"/>
        <v>0</v>
      </c>
      <c r="I108" s="2873">
        <f t="shared" si="32"/>
        <v>0</v>
      </c>
      <c r="J108" s="2873">
        <f t="shared" si="32"/>
        <v>0</v>
      </c>
      <c r="K108" s="2873">
        <f t="shared" si="32"/>
        <v>0</v>
      </c>
      <c r="L108" s="2873">
        <f t="shared" si="32"/>
        <v>0</v>
      </c>
      <c r="M108" s="2873">
        <f t="shared" si="32"/>
        <v>0</v>
      </c>
      <c r="N108" s="2873">
        <f t="shared" si="32"/>
        <v>0</v>
      </c>
    </row>
    <row r="109" spans="1:14">
      <c r="A109" s="3447"/>
      <c r="B109" s="3304"/>
      <c r="C109" s="2874">
        <f>(-0.163*(C108^2)-0.59*C108+7617)*(10^(-4))/C101</f>
        <v>0.5997637795275591</v>
      </c>
      <c r="D109" s="2874">
        <f>(-0.163*(D108^2)-0.59*D108+7617)*(10^(-4))/D101</f>
        <v>0.5997637795275591</v>
      </c>
      <c r="E109" s="2874">
        <f>(-0.161*(E108^2)-7.509*E108+6533)*(10^(-4))/E101</f>
        <v>0.51440944881889761</v>
      </c>
      <c r="F109" s="2874">
        <f>(-0.161*(F108^2)-7.509*F108+6533)*(10^(-4))/F101</f>
        <v>0.51440944881889761</v>
      </c>
      <c r="G109" s="2874">
        <f>(-0.161*(G108^2)-7.509*G108+6533)*(10^(-4))/G101</f>
        <v>0.51440944881889761</v>
      </c>
      <c r="H109" s="2874">
        <f>(-0.161*(H108^2)-7.509*H108+6533)*(10^(-4))/H101</f>
        <v>0.51440944881889761</v>
      </c>
      <c r="I109" s="2874">
        <f>(-0.161*(I108^2)-7.509*I108+6533)*(10^(-4))/I101</f>
        <v>0.51440944881889761</v>
      </c>
      <c r="J109" s="2874">
        <f>(-0.214*(J108^2)-21.991*J108+4665)*(10^(-4))/J101</f>
        <v>0.36732283464566928</v>
      </c>
      <c r="K109" s="2874">
        <f>(-0.214*(K108^2)-21.991*K108+4665)*(10^(-4))/K101</f>
        <v>0.36732283464566928</v>
      </c>
      <c r="L109" s="2874">
        <f>(-0.214*(L108^2)-21.991*L108+4665)*(10^(-4))/L101</f>
        <v>0.36732283464566928</v>
      </c>
      <c r="M109" s="2874">
        <f>(-0.214*(M108^2)-21.991*M108+4665)*(10^(-4))/M101</f>
        <v>0.36732283464566928</v>
      </c>
      <c r="N109" s="2874">
        <f>(-0.214*(N108^2)-21.991*N108+4665)*(10^(-4))/N101</f>
        <v>0.36732283464566928</v>
      </c>
    </row>
    <row r="110" spans="1:14">
      <c r="A110" s="3443" t="s">
        <v>2960</v>
      </c>
      <c r="B110" s="3443"/>
      <c r="C110" s="3443"/>
      <c r="D110" s="3443"/>
      <c r="E110" s="3443"/>
      <c r="F110" s="3443"/>
      <c r="G110" s="3443"/>
      <c r="H110" s="3443"/>
      <c r="I110" s="3443"/>
      <c r="J110" s="3443"/>
      <c r="K110" s="2877"/>
      <c r="L110" s="2877"/>
      <c r="M110" s="2877"/>
      <c r="N110" s="2877"/>
    </row>
    <row r="112" spans="1:14" ht="13.5" thickBot="1"/>
    <row r="113" spans="1:13" ht="25.5" thickBot="1">
      <c r="A113" s="901" t="s">
        <v>2961</v>
      </c>
      <c r="B113" s="1283">
        <f>G3</f>
        <v>1.27</v>
      </c>
      <c r="C113" s="902" t="s">
        <v>2962</v>
      </c>
      <c r="D113" s="903">
        <f>SUMPRODUCT((A115:A118=F113)*(B114:M114=H113)*B115:M118)</f>
        <v>0</v>
      </c>
      <c r="E113" s="2708" t="s">
        <v>2794</v>
      </c>
      <c r="F113" s="2879">
        <f>E2</f>
        <v>0</v>
      </c>
      <c r="G113" s="2708" t="s">
        <v>2795</v>
      </c>
      <c r="H113" s="2879">
        <f>G2</f>
        <v>0</v>
      </c>
      <c r="I113" s="2708"/>
      <c r="J113" s="2880"/>
      <c r="K113" s="2880"/>
      <c r="L113" s="2880"/>
      <c r="M113" s="2880"/>
    </row>
    <row r="114" spans="1:13">
      <c r="A114" s="906"/>
      <c r="B114" s="2881" t="s">
        <v>2963</v>
      </c>
      <c r="C114" s="2881" t="s">
        <v>2964</v>
      </c>
      <c r="D114" s="2881" t="s">
        <v>2965</v>
      </c>
      <c r="E114" s="2882" t="s">
        <v>2966</v>
      </c>
      <c r="F114" s="2882" t="s">
        <v>2967</v>
      </c>
      <c r="G114" s="2882" t="s">
        <v>2968</v>
      </c>
      <c r="H114" s="2883" t="s">
        <v>2969</v>
      </c>
      <c r="I114" s="2883" t="s">
        <v>2970</v>
      </c>
      <c r="J114" s="2884" t="s">
        <v>2971</v>
      </c>
      <c r="K114" s="2884" t="s">
        <v>2972</v>
      </c>
      <c r="L114" s="2884" t="s">
        <v>2973</v>
      </c>
      <c r="M114" s="2885" t="s">
        <v>2974</v>
      </c>
    </row>
    <row r="115" spans="1:13">
      <c r="A115" s="907" t="s">
        <v>2859</v>
      </c>
      <c r="B115" s="908">
        <f>ROUND(0.9335-0.0094*B113,4)</f>
        <v>0.92159999999999997</v>
      </c>
      <c r="C115" s="908">
        <f>B115</f>
        <v>0.92159999999999997</v>
      </c>
      <c r="D115" s="908">
        <f>ROUND(0.8331-0.0109*B113,4)</f>
        <v>0.81930000000000003</v>
      </c>
      <c r="E115" s="908">
        <f>D115</f>
        <v>0.81930000000000003</v>
      </c>
      <c r="F115" s="908">
        <f>E115</f>
        <v>0.81930000000000003</v>
      </c>
      <c r="G115" s="908">
        <f>F115</f>
        <v>0.81930000000000003</v>
      </c>
      <c r="H115" s="908">
        <f>G115</f>
        <v>0.81930000000000003</v>
      </c>
      <c r="I115" s="908">
        <f>ROUND(0.689-0.0155*B113,4)</f>
        <v>0.66930000000000001</v>
      </c>
      <c r="J115" s="908">
        <f t="shared" ref="J115:M118" si="33">I115</f>
        <v>0.66930000000000001</v>
      </c>
      <c r="K115" s="908">
        <f t="shared" si="33"/>
        <v>0.66930000000000001</v>
      </c>
      <c r="L115" s="908">
        <f t="shared" si="33"/>
        <v>0.66930000000000001</v>
      </c>
      <c r="M115" s="909">
        <f t="shared" si="33"/>
        <v>0.66930000000000001</v>
      </c>
    </row>
    <row r="116" spans="1:13">
      <c r="A116" s="907" t="s">
        <v>2860</v>
      </c>
      <c r="B116" s="908">
        <f>ROUND(0.949-0.012*B113,4)</f>
        <v>0.93379999999999996</v>
      </c>
      <c r="C116" s="908">
        <f>B116</f>
        <v>0.93379999999999996</v>
      </c>
      <c r="D116" s="908">
        <f>ROUND(0.8567-0.013*B113,4)</f>
        <v>0.84019999999999995</v>
      </c>
      <c r="E116" s="908">
        <f t="shared" ref="E116:H117" si="34">D116</f>
        <v>0.84019999999999995</v>
      </c>
      <c r="F116" s="908">
        <f t="shared" si="34"/>
        <v>0.84019999999999995</v>
      </c>
      <c r="G116" s="908">
        <f t="shared" si="34"/>
        <v>0.84019999999999995</v>
      </c>
      <c r="H116" s="908">
        <f t="shared" si="34"/>
        <v>0.84019999999999995</v>
      </c>
      <c r="I116" s="908">
        <f>ROUND(0.7694-0.014*B113,4)</f>
        <v>0.75160000000000005</v>
      </c>
      <c r="J116" s="908">
        <f t="shared" si="33"/>
        <v>0.75160000000000005</v>
      </c>
      <c r="K116" s="908">
        <f t="shared" si="33"/>
        <v>0.75160000000000005</v>
      </c>
      <c r="L116" s="908">
        <f t="shared" si="33"/>
        <v>0.75160000000000005</v>
      </c>
      <c r="M116" s="909">
        <f t="shared" si="33"/>
        <v>0.75160000000000005</v>
      </c>
    </row>
    <row r="117" spans="1:13">
      <c r="A117" s="907" t="s">
        <v>2861</v>
      </c>
      <c r="B117" s="908">
        <f>ROUND(0.8808-0.006*B113,4)</f>
        <v>0.87319999999999998</v>
      </c>
      <c r="C117" s="908">
        <f>B117</f>
        <v>0.87319999999999998</v>
      </c>
      <c r="D117" s="908">
        <f>ROUND(0.8748-0.008*B113,4)</f>
        <v>0.86460000000000004</v>
      </c>
      <c r="E117" s="908">
        <f t="shared" si="34"/>
        <v>0.86460000000000004</v>
      </c>
      <c r="F117" s="908">
        <f t="shared" si="34"/>
        <v>0.86460000000000004</v>
      </c>
      <c r="G117" s="908">
        <f t="shared" si="34"/>
        <v>0.86460000000000004</v>
      </c>
      <c r="H117" s="908">
        <f t="shared" si="34"/>
        <v>0.86460000000000004</v>
      </c>
      <c r="I117" s="908">
        <f>ROUND(0.7412-0.0095*B113,4)</f>
        <v>0.72909999999999997</v>
      </c>
      <c r="J117" s="908">
        <f t="shared" si="33"/>
        <v>0.72909999999999997</v>
      </c>
      <c r="K117" s="908">
        <f t="shared" si="33"/>
        <v>0.72909999999999997</v>
      </c>
      <c r="L117" s="908">
        <f t="shared" si="33"/>
        <v>0.72909999999999997</v>
      </c>
      <c r="M117" s="909">
        <f t="shared" si="33"/>
        <v>0.72909999999999997</v>
      </c>
    </row>
    <row r="118" spans="1:13" ht="13.5" thickBot="1">
      <c r="A118" s="712" t="s">
        <v>2862</v>
      </c>
      <c r="B118" s="910">
        <f>ROUND(0.7275-0.01*B113,4)</f>
        <v>0.71479999999999999</v>
      </c>
      <c r="C118" s="910">
        <f>B118</f>
        <v>0.71479999999999999</v>
      </c>
      <c r="D118" s="910">
        <f>ROUND(0.7043-0.012*B113,4)</f>
        <v>0.68910000000000005</v>
      </c>
      <c r="E118" s="910">
        <f>D118</f>
        <v>0.68910000000000005</v>
      </c>
      <c r="F118" s="910">
        <f>E118</f>
        <v>0.68910000000000005</v>
      </c>
      <c r="G118" s="910">
        <f>ROUND(0.6299-0.0122*B113,4)</f>
        <v>0.61439999999999995</v>
      </c>
      <c r="H118" s="910">
        <f>G118</f>
        <v>0.61439999999999995</v>
      </c>
      <c r="I118" s="910">
        <f>ROUND(0.5667-0.0136*B113,4)</f>
        <v>0.5494</v>
      </c>
      <c r="J118" s="910">
        <f t="shared" si="33"/>
        <v>0.5494</v>
      </c>
      <c r="K118" s="910">
        <f t="shared" si="33"/>
        <v>0.5494</v>
      </c>
      <c r="L118" s="910">
        <f t="shared" si="33"/>
        <v>0.5494</v>
      </c>
      <c r="M118" s="911">
        <f t="shared" si="33"/>
        <v>0.5494</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3029</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453" t="s">
        <v>183</v>
      </c>
      <c r="B18" s="880" t="s">
        <v>560</v>
      </c>
      <c r="C18" s="881" t="s">
        <v>561</v>
      </c>
      <c r="D18" s="882"/>
      <c r="E18" s="880">
        <v>1</v>
      </c>
      <c r="F18" s="883" t="s">
        <v>562</v>
      </c>
      <c r="G18" s="884"/>
      <c r="H18" s="876"/>
      <c r="I18" s="876"/>
    </row>
    <row r="19" spans="1:9" s="885" customFormat="1" ht="19.5" customHeight="1">
      <c r="A19" s="3453"/>
      <c r="B19" s="3453" t="s">
        <v>563</v>
      </c>
      <c r="C19" s="881" t="s">
        <v>564</v>
      </c>
      <c r="D19" s="882"/>
      <c r="E19" s="880">
        <v>0.9</v>
      </c>
      <c r="F19" s="883" t="s">
        <v>565</v>
      </c>
      <c r="G19" s="884"/>
      <c r="H19" s="876"/>
      <c r="I19" s="876"/>
    </row>
    <row r="20" spans="1:9" s="885" customFormat="1" ht="19.5" customHeight="1">
      <c r="A20" s="3453"/>
      <c r="B20" s="3453"/>
      <c r="C20" s="881" t="s">
        <v>566</v>
      </c>
      <c r="D20" s="882"/>
      <c r="E20" s="880">
        <v>1.1000000000000001</v>
      </c>
      <c r="F20" s="883" t="s">
        <v>567</v>
      </c>
      <c r="G20" s="884"/>
      <c r="H20" s="876"/>
      <c r="I20" s="876"/>
    </row>
    <row r="21" spans="1:9" s="885" customFormat="1" ht="19.5" customHeight="1">
      <c r="A21" s="3453"/>
      <c r="B21" s="3453"/>
      <c r="C21" s="881" t="s">
        <v>568</v>
      </c>
      <c r="D21" s="882"/>
      <c r="E21" s="880">
        <v>0.8</v>
      </c>
      <c r="F21" s="883" t="s">
        <v>569</v>
      </c>
      <c r="G21" s="884"/>
      <c r="H21" s="876"/>
      <c r="I21" s="876"/>
    </row>
    <row r="22" spans="1:9" s="885" customFormat="1" ht="19.5" customHeight="1">
      <c r="A22" s="3453"/>
      <c r="B22" s="3453"/>
      <c r="C22" s="881" t="s">
        <v>570</v>
      </c>
      <c r="D22" s="882"/>
      <c r="E22" s="880">
        <v>0.5</v>
      </c>
      <c r="F22" s="883"/>
      <c r="G22" s="884"/>
      <c r="H22" s="876"/>
      <c r="I22" s="876"/>
    </row>
    <row r="23" spans="1:9" s="885" customFormat="1" ht="19.5" customHeight="1">
      <c r="A23" s="3453" t="s">
        <v>184</v>
      </c>
      <c r="B23" s="880" t="s">
        <v>560</v>
      </c>
      <c r="C23" s="881" t="s">
        <v>571</v>
      </c>
      <c r="D23" s="882"/>
      <c r="E23" s="880">
        <v>1</v>
      </c>
      <c r="F23" s="883" t="s">
        <v>572</v>
      </c>
      <c r="G23" s="884"/>
      <c r="H23" s="876"/>
      <c r="I23" s="876"/>
    </row>
    <row r="24" spans="1:9" s="885" customFormat="1" ht="19.5" customHeight="1">
      <c r="A24" s="3453"/>
      <c r="B24" s="3453" t="s">
        <v>563</v>
      </c>
      <c r="C24" s="881" t="s">
        <v>573</v>
      </c>
      <c r="D24" s="882"/>
      <c r="E24" s="880">
        <v>0.5</v>
      </c>
      <c r="F24" s="883"/>
      <c r="G24" s="884"/>
      <c r="H24" s="876"/>
      <c r="I24" s="876"/>
    </row>
    <row r="25" spans="1:9" s="885" customFormat="1" ht="19.5" customHeight="1">
      <c r="A25" s="3453"/>
      <c r="B25" s="3453"/>
      <c r="C25" s="881" t="s">
        <v>574</v>
      </c>
      <c r="D25" s="882"/>
      <c r="E25" s="880">
        <v>1.1000000000000001</v>
      </c>
      <c r="F25" s="883"/>
      <c r="G25" s="884"/>
      <c r="H25" s="876"/>
      <c r="I25" s="876"/>
    </row>
    <row r="26" spans="1:9" s="885" customFormat="1" ht="19.5" customHeight="1">
      <c r="A26" s="3453"/>
      <c r="B26" s="3453"/>
      <c r="C26" s="881" t="s">
        <v>575</v>
      </c>
      <c r="D26" s="882"/>
      <c r="E26" s="880">
        <v>1.1000000000000001</v>
      </c>
      <c r="F26" s="883"/>
      <c r="G26" s="884"/>
      <c r="H26" s="876"/>
      <c r="I26" s="876"/>
    </row>
    <row r="27" spans="1:9" s="885" customFormat="1" ht="19.5" customHeight="1">
      <c r="A27" s="3453"/>
      <c r="B27" s="3453"/>
      <c r="C27" s="881" t="s">
        <v>576</v>
      </c>
      <c r="D27" s="882"/>
      <c r="E27" s="880">
        <v>0.9</v>
      </c>
      <c r="F27" s="883" t="s">
        <v>577</v>
      </c>
      <c r="G27" s="884"/>
      <c r="H27" s="876"/>
      <c r="I27" s="876"/>
    </row>
    <row r="28" spans="1:9" s="885" customFormat="1" ht="19.5" customHeight="1">
      <c r="A28" s="3453"/>
      <c r="B28" s="3453"/>
      <c r="C28" s="881" t="s">
        <v>578</v>
      </c>
      <c r="D28" s="882"/>
      <c r="E28" s="880">
        <v>0.9</v>
      </c>
      <c r="F28" s="883" t="s">
        <v>579</v>
      </c>
      <c r="G28" s="884"/>
      <c r="H28" s="876"/>
      <c r="I28" s="876"/>
    </row>
    <row r="29" spans="1:9" s="885" customFormat="1" ht="19.5" customHeight="1">
      <c r="A29" s="3453"/>
      <c r="B29" s="3453"/>
      <c r="C29" s="881" t="s">
        <v>580</v>
      </c>
      <c r="D29" s="882"/>
      <c r="E29" s="880">
        <v>0.9</v>
      </c>
      <c r="F29" s="883" t="s">
        <v>581</v>
      </c>
      <c r="G29" s="884"/>
      <c r="H29" s="876"/>
      <c r="I29" s="876"/>
    </row>
    <row r="30" spans="1:9" s="885" customFormat="1" ht="19.5" customHeight="1">
      <c r="A30" s="3453"/>
      <c r="B30" s="3453"/>
      <c r="C30" s="881" t="s">
        <v>582</v>
      </c>
      <c r="D30" s="882"/>
      <c r="E30" s="880">
        <v>0.9</v>
      </c>
      <c r="F30" s="883" t="s">
        <v>583</v>
      </c>
      <c r="G30" s="884"/>
      <c r="H30" s="876"/>
      <c r="I30" s="876"/>
    </row>
    <row r="31" spans="1:9" s="885" customFormat="1" ht="19.5" customHeight="1">
      <c r="A31" s="3453"/>
      <c r="B31" s="3453"/>
      <c r="C31" s="881" t="s">
        <v>584</v>
      </c>
      <c r="D31" s="882"/>
      <c r="E31" s="880">
        <v>0.8</v>
      </c>
      <c r="F31" s="883" t="s">
        <v>585</v>
      </c>
      <c r="G31" s="884"/>
      <c r="H31" s="876"/>
      <c r="I31" s="876"/>
    </row>
    <row r="32" spans="1:9" s="885" customFormat="1" ht="19.5" customHeight="1">
      <c r="A32" s="3453"/>
      <c r="B32" s="3453"/>
      <c r="C32" s="881" t="s">
        <v>586</v>
      </c>
      <c r="D32" s="882"/>
      <c r="E32" s="880">
        <v>0.8</v>
      </c>
      <c r="F32" s="883" t="s">
        <v>587</v>
      </c>
      <c r="G32" s="884"/>
      <c r="H32" s="876"/>
      <c r="I32" s="876"/>
    </row>
    <row r="33" spans="1:9" s="885" customFormat="1" ht="19.5" customHeight="1">
      <c r="A33" s="3453" t="s">
        <v>185</v>
      </c>
      <c r="B33" s="880" t="s">
        <v>560</v>
      </c>
      <c r="C33" s="881" t="s">
        <v>588</v>
      </c>
      <c r="D33" s="882"/>
      <c r="E33" s="880">
        <v>1</v>
      </c>
      <c r="F33" s="883" t="s">
        <v>589</v>
      </c>
      <c r="G33" s="884"/>
      <c r="H33" s="876"/>
      <c r="I33" s="876"/>
    </row>
    <row r="34" spans="1:9" s="885" customFormat="1" ht="19.5" customHeight="1">
      <c r="A34" s="3453"/>
      <c r="B34" s="880" t="s">
        <v>563</v>
      </c>
      <c r="C34" s="881" t="s">
        <v>590</v>
      </c>
      <c r="D34" s="882"/>
      <c r="E34" s="880">
        <v>1.5</v>
      </c>
      <c r="F34" s="883" t="s">
        <v>591</v>
      </c>
      <c r="G34" s="884"/>
      <c r="H34" s="876"/>
      <c r="I34" s="876"/>
    </row>
    <row r="35" spans="1:9" s="885" customFormat="1" ht="19.5" customHeight="1">
      <c r="A35" s="3453" t="s">
        <v>186</v>
      </c>
      <c r="B35" s="880" t="s">
        <v>560</v>
      </c>
      <c r="C35" s="881" t="s">
        <v>592</v>
      </c>
      <c r="D35" s="882"/>
      <c r="E35" s="880">
        <v>1</v>
      </c>
      <c r="F35" s="883" t="s">
        <v>593</v>
      </c>
      <c r="G35" s="884"/>
      <c r="H35" s="876"/>
      <c r="I35" s="876"/>
    </row>
    <row r="36" spans="1:9" s="885" customFormat="1" ht="19.5" customHeight="1">
      <c r="A36" s="3453"/>
      <c r="B36" s="3453" t="s">
        <v>563</v>
      </c>
      <c r="C36" s="881" t="s">
        <v>594</v>
      </c>
      <c r="D36" s="882"/>
      <c r="E36" s="880">
        <v>1</v>
      </c>
      <c r="F36" s="883" t="s">
        <v>595</v>
      </c>
      <c r="G36" s="884"/>
      <c r="H36" s="876"/>
      <c r="I36" s="876"/>
    </row>
    <row r="37" spans="1:9" s="885" customFormat="1" ht="19.5" customHeight="1">
      <c r="A37" s="3453"/>
      <c r="B37" s="3453"/>
      <c r="C37" s="881" t="s">
        <v>596</v>
      </c>
      <c r="D37" s="882"/>
      <c r="E37" s="880">
        <v>1.5</v>
      </c>
      <c r="F37" s="883" t="s">
        <v>597</v>
      </c>
      <c r="G37" s="884"/>
      <c r="H37" s="876"/>
      <c r="I37" s="876"/>
    </row>
    <row r="38" spans="1:9" s="885" customFormat="1" ht="19.5" customHeight="1">
      <c r="A38" s="3453"/>
      <c r="B38" s="3453"/>
      <c r="C38" s="881" t="s">
        <v>598</v>
      </c>
      <c r="D38" s="882"/>
      <c r="E38" s="880">
        <v>1</v>
      </c>
      <c r="F38" s="883" t="s">
        <v>599</v>
      </c>
      <c r="G38" s="884"/>
      <c r="H38" s="876"/>
      <c r="I38" s="876"/>
    </row>
    <row r="39" spans="1:9" s="885" customFormat="1" ht="19.5" customHeight="1">
      <c r="A39" s="3453"/>
      <c r="B39" s="3453"/>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453" t="s">
        <v>614</v>
      </c>
      <c r="C61" s="816" t="s">
        <v>615</v>
      </c>
      <c r="D61" s="816" t="s">
        <v>616</v>
      </c>
      <c r="E61" s="893">
        <v>0.5</v>
      </c>
      <c r="F61" s="880">
        <v>80</v>
      </c>
    </row>
    <row r="62" spans="1:8" s="876" customFormat="1" ht="24">
      <c r="A62" s="880">
        <v>2</v>
      </c>
      <c r="B62" s="3453"/>
      <c r="C62" s="816" t="s">
        <v>617</v>
      </c>
      <c r="D62" s="816" t="s">
        <v>618</v>
      </c>
      <c r="E62" s="893">
        <v>0.5</v>
      </c>
      <c r="F62" s="880">
        <v>80</v>
      </c>
    </row>
    <row r="63" spans="1:8" s="876" customFormat="1" ht="36">
      <c r="A63" s="880">
        <v>3</v>
      </c>
      <c r="B63" s="3453"/>
      <c r="C63" s="816" t="s">
        <v>619</v>
      </c>
      <c r="D63" s="816" t="s">
        <v>620</v>
      </c>
      <c r="E63" s="893">
        <v>0.5</v>
      </c>
      <c r="F63" s="880">
        <v>80</v>
      </c>
    </row>
    <row r="64" spans="1:8" s="876" customFormat="1" ht="36">
      <c r="A64" s="880">
        <v>4</v>
      </c>
      <c r="B64" s="3453"/>
      <c r="C64" s="816" t="s">
        <v>621</v>
      </c>
      <c r="D64" s="816" t="s">
        <v>622</v>
      </c>
      <c r="E64" s="893">
        <v>0.4</v>
      </c>
      <c r="F64" s="880">
        <v>60</v>
      </c>
    </row>
    <row r="65" spans="1:6" s="876" customFormat="1" ht="36">
      <c r="A65" s="880">
        <v>5</v>
      </c>
      <c r="B65" s="3453"/>
      <c r="C65" s="816" t="s">
        <v>623</v>
      </c>
      <c r="D65" s="816" t="s">
        <v>624</v>
      </c>
      <c r="E65" s="893">
        <v>0.2</v>
      </c>
      <c r="F65" s="880">
        <v>30</v>
      </c>
    </row>
    <row r="66" spans="1:6" s="876" customFormat="1" ht="36">
      <c r="A66" s="880">
        <v>6</v>
      </c>
      <c r="B66" s="3453"/>
      <c r="C66" s="816" t="s">
        <v>625</v>
      </c>
      <c r="D66" s="816" t="s">
        <v>626</v>
      </c>
      <c r="E66" s="893">
        <v>0.3</v>
      </c>
      <c r="F66" s="880">
        <v>50</v>
      </c>
    </row>
    <row r="67" spans="1:6" s="876" customFormat="1" ht="36">
      <c r="A67" s="880">
        <v>7</v>
      </c>
      <c r="B67" s="3453"/>
      <c r="C67" s="816" t="s">
        <v>627</v>
      </c>
      <c r="D67" s="816" t="s">
        <v>628</v>
      </c>
      <c r="E67" s="893">
        <v>0.2</v>
      </c>
      <c r="F67" s="880">
        <v>30</v>
      </c>
    </row>
    <row r="68" spans="1:6" s="876" customFormat="1" ht="36">
      <c r="A68" s="880">
        <v>8</v>
      </c>
      <c r="B68" s="3453"/>
      <c r="C68" s="816" t="s">
        <v>629</v>
      </c>
      <c r="D68" s="816" t="s">
        <v>630</v>
      </c>
      <c r="E68" s="893">
        <v>0.2</v>
      </c>
      <c r="F68" s="880">
        <v>30</v>
      </c>
    </row>
    <row r="69" spans="1:6" s="876" customFormat="1" ht="36">
      <c r="A69" s="880">
        <v>9</v>
      </c>
      <c r="B69" s="3453"/>
      <c r="C69" s="816" t="s">
        <v>631</v>
      </c>
      <c r="D69" s="816" t="s">
        <v>632</v>
      </c>
      <c r="E69" s="893">
        <v>0.2</v>
      </c>
      <c r="F69" s="880">
        <v>30</v>
      </c>
    </row>
    <row r="70" spans="1:6" s="876" customFormat="1" ht="48">
      <c r="A70" s="880">
        <v>10</v>
      </c>
      <c r="B70" s="3453"/>
      <c r="C70" s="816" t="s">
        <v>633</v>
      </c>
      <c r="D70" s="816" t="s">
        <v>634</v>
      </c>
      <c r="E70" s="893">
        <v>0.2</v>
      </c>
      <c r="F70" s="880">
        <v>30</v>
      </c>
    </row>
    <row r="71" spans="1:6" s="876" customFormat="1" ht="48">
      <c r="A71" s="880">
        <v>11</v>
      </c>
      <c r="B71" s="3453"/>
      <c r="C71" s="816" t="s">
        <v>635</v>
      </c>
      <c r="D71" s="816" t="s">
        <v>636</v>
      </c>
      <c r="E71" s="893">
        <v>0.2</v>
      </c>
      <c r="F71" s="880">
        <v>30</v>
      </c>
    </row>
    <row r="72" spans="1:6" s="876" customFormat="1" ht="36">
      <c r="A72" s="880">
        <v>12</v>
      </c>
      <c r="B72" s="3453"/>
      <c r="C72" s="816" t="s">
        <v>637</v>
      </c>
      <c r="D72" s="816" t="s">
        <v>638</v>
      </c>
      <c r="E72" s="893">
        <v>0.5</v>
      </c>
      <c r="F72" s="880">
        <v>80</v>
      </c>
    </row>
    <row r="73" spans="1:6" s="876" customFormat="1" ht="24">
      <c r="A73" s="880">
        <v>13</v>
      </c>
      <c r="B73" s="3453"/>
      <c r="C73" s="816" t="s">
        <v>639</v>
      </c>
      <c r="D73" s="816" t="s">
        <v>640</v>
      </c>
      <c r="E73" s="893">
        <v>0.4</v>
      </c>
      <c r="F73" s="880">
        <v>60</v>
      </c>
    </row>
    <row r="74" spans="1:6" s="876" customFormat="1" ht="24">
      <c r="A74" s="880">
        <v>14</v>
      </c>
      <c r="B74" s="3453"/>
      <c r="C74" s="816" t="s">
        <v>641</v>
      </c>
      <c r="D74" s="816" t="s">
        <v>642</v>
      </c>
      <c r="E74" s="893">
        <v>0.2</v>
      </c>
      <c r="F74" s="880">
        <v>30</v>
      </c>
    </row>
    <row r="75" spans="1:6" s="876" customFormat="1" ht="24">
      <c r="A75" s="880">
        <v>15</v>
      </c>
      <c r="B75" s="3453"/>
      <c r="C75" s="816" t="s">
        <v>643</v>
      </c>
      <c r="D75" s="816" t="s">
        <v>644</v>
      </c>
      <c r="E75" s="893">
        <v>0.2</v>
      </c>
      <c r="F75" s="880">
        <v>30</v>
      </c>
    </row>
    <row r="76" spans="1:6" s="876" customFormat="1" ht="24">
      <c r="A76" s="880">
        <v>16</v>
      </c>
      <c r="B76" s="3453" t="s">
        <v>645</v>
      </c>
      <c r="C76" s="816" t="s">
        <v>646</v>
      </c>
      <c r="D76" s="816" t="s">
        <v>647</v>
      </c>
      <c r="E76" s="893">
        <v>0.5</v>
      </c>
      <c r="F76" s="880">
        <v>80</v>
      </c>
    </row>
    <row r="77" spans="1:6" s="876" customFormat="1" ht="24">
      <c r="A77" s="880">
        <v>17</v>
      </c>
      <c r="B77" s="3453"/>
      <c r="C77" s="816" t="s">
        <v>648</v>
      </c>
      <c r="D77" s="816" t="s">
        <v>649</v>
      </c>
      <c r="E77" s="893">
        <v>0.5</v>
      </c>
      <c r="F77" s="880">
        <v>80</v>
      </c>
    </row>
    <row r="78" spans="1:6" s="876" customFormat="1" ht="24">
      <c r="A78" s="880">
        <v>18</v>
      </c>
      <c r="B78" s="3453"/>
      <c r="C78" s="816" t="s">
        <v>650</v>
      </c>
      <c r="D78" s="816" t="s">
        <v>651</v>
      </c>
      <c r="E78" s="893">
        <v>0.2</v>
      </c>
      <c r="F78" s="880">
        <v>30</v>
      </c>
    </row>
    <row r="79" spans="1:6" s="876" customFormat="1" ht="24">
      <c r="A79" s="880">
        <v>19</v>
      </c>
      <c r="B79" s="3453"/>
      <c r="C79" s="816" t="s">
        <v>652</v>
      </c>
      <c r="D79" s="816" t="s">
        <v>653</v>
      </c>
      <c r="E79" s="893">
        <v>0.5</v>
      </c>
      <c r="F79" s="880">
        <v>80</v>
      </c>
    </row>
    <row r="80" spans="1:6" s="876" customFormat="1" ht="36">
      <c r="A80" s="880">
        <v>20</v>
      </c>
      <c r="B80" s="3453"/>
      <c r="C80" s="816" t="s">
        <v>654</v>
      </c>
      <c r="D80" s="816" t="s">
        <v>655</v>
      </c>
      <c r="E80" s="893">
        <v>0.2</v>
      </c>
      <c r="F80" s="880">
        <v>30</v>
      </c>
    </row>
    <row r="81" spans="1:6" s="876" customFormat="1" ht="36">
      <c r="A81" s="880">
        <v>21</v>
      </c>
      <c r="B81" s="3453"/>
      <c r="C81" s="816" t="s">
        <v>656</v>
      </c>
      <c r="D81" s="816" t="s">
        <v>657</v>
      </c>
      <c r="E81" s="893">
        <v>0.2</v>
      </c>
      <c r="F81" s="880">
        <v>30</v>
      </c>
    </row>
    <row r="82" spans="1:6" s="876" customFormat="1" ht="48">
      <c r="A82" s="880">
        <v>22</v>
      </c>
      <c r="B82" s="3453"/>
      <c r="C82" s="816" t="s">
        <v>658</v>
      </c>
      <c r="D82" s="816" t="s">
        <v>659</v>
      </c>
      <c r="E82" s="893">
        <v>0.2</v>
      </c>
      <c r="F82" s="880">
        <v>30</v>
      </c>
    </row>
    <row r="83" spans="1:6" s="876" customFormat="1" ht="48">
      <c r="A83" s="880">
        <v>23</v>
      </c>
      <c r="B83" s="3453"/>
      <c r="C83" s="816" t="s">
        <v>660</v>
      </c>
      <c r="D83" s="816" t="s">
        <v>661</v>
      </c>
      <c r="E83" s="893">
        <v>0.2</v>
      </c>
      <c r="F83" s="880">
        <v>30</v>
      </c>
    </row>
    <row r="84" spans="1:6" s="876" customFormat="1" ht="36">
      <c r="A84" s="880">
        <v>24</v>
      </c>
      <c r="B84" s="3453"/>
      <c r="C84" s="816" t="s">
        <v>662</v>
      </c>
      <c r="D84" s="816" t="s">
        <v>663</v>
      </c>
      <c r="E84" s="893">
        <v>0.2</v>
      </c>
      <c r="F84" s="880">
        <v>30</v>
      </c>
    </row>
    <row r="85" spans="1:6" s="876" customFormat="1" ht="36">
      <c r="A85" s="880">
        <v>25</v>
      </c>
      <c r="B85" s="3453"/>
      <c r="C85" s="816" t="s">
        <v>664</v>
      </c>
      <c r="D85" s="816" t="s">
        <v>665</v>
      </c>
      <c r="E85" s="893">
        <v>0.5</v>
      </c>
      <c r="F85" s="880">
        <v>80</v>
      </c>
    </row>
    <row r="86" spans="1:6" s="876" customFormat="1" ht="36">
      <c r="A86" s="880">
        <v>26</v>
      </c>
      <c r="B86" s="3453"/>
      <c r="C86" s="816" t="s">
        <v>666</v>
      </c>
      <c r="D86" s="816" t="s">
        <v>667</v>
      </c>
      <c r="E86" s="893">
        <v>0.2</v>
      </c>
      <c r="F86" s="880">
        <v>30</v>
      </c>
    </row>
    <row r="87" spans="1:6" s="876" customFormat="1" ht="36">
      <c r="A87" s="880">
        <v>27</v>
      </c>
      <c r="B87" s="3453"/>
      <c r="C87" s="816" t="s">
        <v>668</v>
      </c>
      <c r="D87" s="816" t="s">
        <v>669</v>
      </c>
      <c r="E87" s="893">
        <v>0.2</v>
      </c>
      <c r="F87" s="880">
        <v>30</v>
      </c>
    </row>
    <row r="88" spans="1:6" s="876" customFormat="1" ht="36">
      <c r="A88" s="880">
        <v>28</v>
      </c>
      <c r="B88" s="3453"/>
      <c r="C88" s="816" t="s">
        <v>670</v>
      </c>
      <c r="D88" s="816" t="s">
        <v>671</v>
      </c>
      <c r="E88" s="893">
        <v>0.2</v>
      </c>
      <c r="F88" s="880">
        <v>30</v>
      </c>
    </row>
    <row r="89" spans="1:6" s="876" customFormat="1" ht="24">
      <c r="A89" s="880">
        <v>29</v>
      </c>
      <c r="B89" s="3453"/>
      <c r="C89" s="816" t="s">
        <v>672</v>
      </c>
      <c r="D89" s="816" t="s">
        <v>673</v>
      </c>
      <c r="E89" s="893">
        <v>0.2</v>
      </c>
      <c r="F89" s="880">
        <v>30</v>
      </c>
    </row>
    <row r="90" spans="1:6" s="876" customFormat="1" ht="24">
      <c r="A90" s="880">
        <v>30</v>
      </c>
      <c r="B90" s="3453"/>
      <c r="C90" s="816" t="s">
        <v>674</v>
      </c>
      <c r="D90" s="816" t="s">
        <v>675</v>
      </c>
      <c r="E90" s="893">
        <v>0.2</v>
      </c>
      <c r="F90" s="880">
        <v>30</v>
      </c>
    </row>
    <row r="91" spans="1:6" s="876" customFormat="1" ht="36">
      <c r="A91" s="880">
        <v>31</v>
      </c>
      <c r="B91" s="3453"/>
      <c r="C91" s="816" t="s">
        <v>676</v>
      </c>
      <c r="D91" s="816" t="s">
        <v>677</v>
      </c>
      <c r="E91" s="893">
        <v>0.2</v>
      </c>
      <c r="F91" s="880">
        <v>30</v>
      </c>
    </row>
    <row r="92" spans="1:6" s="876" customFormat="1" ht="24">
      <c r="A92" s="880">
        <v>32</v>
      </c>
      <c r="B92" s="3453" t="s">
        <v>678</v>
      </c>
      <c r="C92" s="880" t="s">
        <v>679</v>
      </c>
      <c r="D92" s="816" t="s">
        <v>680</v>
      </c>
      <c r="E92" s="893">
        <v>0.2</v>
      </c>
      <c r="F92" s="880">
        <v>30</v>
      </c>
    </row>
    <row r="93" spans="1:6" s="876" customFormat="1" ht="36">
      <c r="A93" s="880">
        <v>33</v>
      </c>
      <c r="B93" s="3453"/>
      <c r="C93" s="880" t="s">
        <v>681</v>
      </c>
      <c r="D93" s="816" t="s">
        <v>682</v>
      </c>
      <c r="E93" s="893">
        <v>0.2</v>
      </c>
      <c r="F93" s="880">
        <v>30</v>
      </c>
    </row>
    <row r="94" spans="1:6" s="876" customFormat="1" ht="48">
      <c r="A94" s="880">
        <v>34</v>
      </c>
      <c r="B94" s="3453"/>
      <c r="C94" s="880" t="s">
        <v>683</v>
      </c>
      <c r="D94" s="816" t="s">
        <v>684</v>
      </c>
      <c r="E94" s="893">
        <v>0.2</v>
      </c>
      <c r="F94" s="880">
        <v>30</v>
      </c>
    </row>
    <row r="95" spans="1:6" s="876" customFormat="1" ht="36">
      <c r="A95" s="880">
        <v>35</v>
      </c>
      <c r="B95" s="3453"/>
      <c r="C95" s="880" t="s">
        <v>685</v>
      </c>
      <c r="D95" s="816" t="s">
        <v>686</v>
      </c>
      <c r="E95" s="893">
        <v>0.2</v>
      </c>
      <c r="F95" s="880">
        <v>30</v>
      </c>
    </row>
    <row r="96" spans="1:6" s="876" customFormat="1" ht="48">
      <c r="A96" s="880">
        <v>36</v>
      </c>
      <c r="B96" s="3453"/>
      <c r="C96" s="816" t="s">
        <v>687</v>
      </c>
      <c r="D96" s="816" t="s">
        <v>688</v>
      </c>
      <c r="E96" s="893">
        <v>0.2</v>
      </c>
      <c r="F96" s="880">
        <v>30</v>
      </c>
    </row>
    <row r="97" spans="1:6" s="876" customFormat="1" ht="36">
      <c r="A97" s="880">
        <v>37</v>
      </c>
      <c r="B97" s="3453"/>
      <c r="C97" s="880" t="s">
        <v>689</v>
      </c>
      <c r="D97" s="816" t="s">
        <v>690</v>
      </c>
      <c r="E97" s="893">
        <v>0.2</v>
      </c>
      <c r="F97" s="880">
        <v>30</v>
      </c>
    </row>
    <row r="98" spans="1:6" s="876" customFormat="1" ht="36">
      <c r="A98" s="880">
        <v>38</v>
      </c>
      <c r="B98" s="3453"/>
      <c r="C98" s="880" t="s">
        <v>691</v>
      </c>
      <c r="D98" s="816" t="s">
        <v>692</v>
      </c>
      <c r="E98" s="893">
        <v>0.2</v>
      </c>
      <c r="F98" s="880">
        <v>30</v>
      </c>
    </row>
    <row r="99" spans="1:6" s="876" customFormat="1" ht="36">
      <c r="A99" s="880">
        <v>39</v>
      </c>
      <c r="B99" s="3453" t="s">
        <v>693</v>
      </c>
      <c r="C99" s="880" t="s">
        <v>694</v>
      </c>
      <c r="D99" s="816" t="s">
        <v>695</v>
      </c>
      <c r="E99" s="893">
        <v>0.3</v>
      </c>
      <c r="F99" s="880">
        <v>50</v>
      </c>
    </row>
    <row r="100" spans="1:6" s="876" customFormat="1" ht="24">
      <c r="A100" s="880">
        <v>40</v>
      </c>
      <c r="B100" s="3453"/>
      <c r="C100" s="880" t="s">
        <v>696</v>
      </c>
      <c r="D100" s="816" t="s">
        <v>697</v>
      </c>
      <c r="E100" s="893">
        <v>0.2</v>
      </c>
      <c r="F100" s="880">
        <v>30</v>
      </c>
    </row>
    <row r="101" spans="1:6" s="876" customFormat="1" ht="36">
      <c r="A101" s="880">
        <v>41</v>
      </c>
      <c r="B101" s="3453"/>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453" t="s">
        <v>708</v>
      </c>
      <c r="C105" s="880" t="s">
        <v>709</v>
      </c>
      <c r="D105" s="816" t="s">
        <v>710</v>
      </c>
      <c r="E105" s="893">
        <v>0.2</v>
      </c>
      <c r="F105" s="880">
        <v>30</v>
      </c>
    </row>
    <row r="106" spans="1:6" s="876" customFormat="1" ht="36">
      <c r="A106" s="880">
        <v>46</v>
      </c>
      <c r="B106" s="3453"/>
      <c r="C106" s="880" t="s">
        <v>711</v>
      </c>
      <c r="D106" s="816" t="s">
        <v>712</v>
      </c>
      <c r="E106" s="893">
        <v>0.2</v>
      </c>
      <c r="F106" s="880">
        <v>30</v>
      </c>
    </row>
    <row r="107" spans="1:6" s="876" customFormat="1" ht="36">
      <c r="A107" s="880">
        <v>47</v>
      </c>
      <c r="B107" s="3453" t="s">
        <v>713</v>
      </c>
      <c r="C107" s="880" t="s">
        <v>714</v>
      </c>
      <c r="D107" s="816" t="s">
        <v>715</v>
      </c>
      <c r="E107" s="893">
        <v>0.3</v>
      </c>
      <c r="F107" s="880">
        <v>50</v>
      </c>
    </row>
    <row r="108" spans="1:6" s="876" customFormat="1" ht="36">
      <c r="A108" s="880">
        <v>48</v>
      </c>
      <c r="B108" s="3453"/>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453" t="s">
        <v>724</v>
      </c>
      <c r="C111" s="880" t="s">
        <v>725</v>
      </c>
      <c r="D111" s="816" t="s">
        <v>726</v>
      </c>
      <c r="E111" s="893">
        <v>0.2</v>
      </c>
      <c r="F111" s="880">
        <v>30</v>
      </c>
    </row>
    <row r="112" spans="1:6" s="876" customFormat="1" ht="24">
      <c r="A112" s="880">
        <v>52</v>
      </c>
      <c r="B112" s="3453"/>
      <c r="C112" s="880" t="s">
        <v>727</v>
      </c>
      <c r="D112" s="816" t="s">
        <v>728</v>
      </c>
      <c r="E112" s="893">
        <v>0.2</v>
      </c>
      <c r="F112" s="880">
        <v>30</v>
      </c>
    </row>
    <row r="113" spans="1:6" s="876" customFormat="1" ht="24">
      <c r="A113" s="880">
        <v>53</v>
      </c>
      <c r="B113" s="3453"/>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453" t="s">
        <v>737</v>
      </c>
      <c r="C116" s="880" t="s">
        <v>738</v>
      </c>
      <c r="D116" s="816" t="s">
        <v>739</v>
      </c>
      <c r="E116" s="893">
        <v>0.2</v>
      </c>
      <c r="F116" s="880">
        <v>30</v>
      </c>
    </row>
    <row r="117" spans="1:6" ht="36">
      <c r="A117" s="880">
        <v>57</v>
      </c>
      <c r="B117" s="3453"/>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8" customWidth="1"/>
    <col min="2" max="2" width="12.5" style="1938" customWidth="1"/>
    <col min="3" max="3" width="12.125" style="1938" customWidth="1"/>
    <col min="4" max="4" width="14.125" style="1938" customWidth="1"/>
    <col min="5" max="5" width="12.5" style="1938" customWidth="1"/>
    <col min="6" max="16384" width="9" style="1938"/>
  </cols>
  <sheetData>
    <row r="1" spans="1:5" ht="21">
      <c r="A1" s="2545" t="s">
        <v>2983</v>
      </c>
    </row>
    <row r="2" spans="1:5" ht="15.75">
      <c r="A2" s="2886" t="s">
        <v>2975</v>
      </c>
      <c r="B2" s="2887" t="e">
        <f ca="1">SUMIF(B6:B13,"&lt;&gt;#ref!",B6:B13)</f>
        <v>#DIV/0!</v>
      </c>
      <c r="C2" s="2886" t="s">
        <v>2976</v>
      </c>
      <c r="D2" s="2886" t="s">
        <v>2977</v>
      </c>
      <c r="E2" s="2887">
        <f ca="1">SUMIF(E6:E13,"&lt;&gt;#ref!",E6:E13)</f>
        <v>0</v>
      </c>
    </row>
    <row r="3" spans="1:5" ht="15.75">
      <c r="A3" s="2886" t="s">
        <v>2978</v>
      </c>
      <c r="B3" s="2887" t="e">
        <f ca="1">ROUND(B2*10000/E2,0)</f>
        <v>#DIV/0!</v>
      </c>
      <c r="C3" s="2886" t="s">
        <v>2984</v>
      </c>
      <c r="D3" s="2888"/>
      <c r="E3" s="2888"/>
    </row>
    <row r="4" spans="1:5" ht="15.75">
      <c r="A4" s="2889"/>
      <c r="B4" s="2888"/>
      <c r="C4" s="2888"/>
      <c r="D4" s="2888"/>
      <c r="E4" s="2888"/>
    </row>
    <row r="5" spans="1:5" ht="28.5">
      <c r="A5" s="2890" t="s">
        <v>2979</v>
      </c>
      <c r="B5" s="2886" t="s">
        <v>2980</v>
      </c>
      <c r="C5" s="2887"/>
      <c r="D5" s="2888"/>
      <c r="E5" s="2886" t="s">
        <v>2981</v>
      </c>
    </row>
    <row r="6" spans="1:5" ht="15.75">
      <c r="A6" s="2891" t="s">
        <v>2982</v>
      </c>
      <c r="B6" s="2887" t="e">
        <f ca="1">SUMIF(INDIRECT("'"&amp;A6&amp;"'"&amp;"!A:A"),"总价",INDIRECT("'"&amp;A6&amp;"'"&amp;"!B:B"))</f>
        <v>#DIV/0!</v>
      </c>
      <c r="C6" s="2886" t="s">
        <v>2976</v>
      </c>
      <c r="D6" s="2888"/>
      <c r="E6" s="2559">
        <f ca="1">SUMIF(INDIRECT("'"&amp;A6&amp;"'"&amp;"!C:C"),"建筑面积",INDIRECT("'"&amp;A6&amp;"'"&amp;"!D:D"))</f>
        <v>0</v>
      </c>
    </row>
    <row r="7" spans="1:5" ht="15.75">
      <c r="A7" s="2891"/>
      <c r="B7" s="2887" t="e">
        <f ca="1">SUMIF(INDIRECT("'"&amp;A7&amp;"'"&amp;"!A:A"),"总价",INDIRECT("'"&amp;A7&amp;"'"&amp;"!B:B"))</f>
        <v>#REF!</v>
      </c>
      <c r="C7" s="2886" t="s">
        <v>2976</v>
      </c>
      <c r="D7" s="2888"/>
      <c r="E7" s="2559" t="e">
        <f t="shared" ref="E7:E13" ca="1" si="0">SUMIF(INDIRECT("'"&amp;A7&amp;"'"&amp;"!C:C"),"建筑面积",INDIRECT("'"&amp;A7&amp;"'"&amp;"!D:D"))</f>
        <v>#REF!</v>
      </c>
    </row>
    <row r="8" spans="1:5" ht="15.75">
      <c r="A8" s="2891"/>
      <c r="B8" s="2887" t="e">
        <f t="shared" ref="B8:B13" ca="1" si="1">SUMIF(INDIRECT("'"&amp;A8&amp;"'"&amp;"!A:A"),"总价",INDIRECT("'"&amp;A8&amp;"'"&amp;"!B:B"))</f>
        <v>#REF!</v>
      </c>
      <c r="C8" s="2886" t="s">
        <v>2976</v>
      </c>
      <c r="D8" s="2888"/>
      <c r="E8" s="2559" t="e">
        <f t="shared" ca="1" si="0"/>
        <v>#REF!</v>
      </c>
    </row>
    <row r="9" spans="1:5" ht="15.75">
      <c r="A9" s="2891"/>
      <c r="B9" s="2887" t="e">
        <f t="shared" ca="1" si="1"/>
        <v>#REF!</v>
      </c>
      <c r="C9" s="2886" t="s">
        <v>2976</v>
      </c>
      <c r="D9" s="2888"/>
      <c r="E9" s="2559" t="e">
        <f t="shared" ca="1" si="0"/>
        <v>#REF!</v>
      </c>
    </row>
    <row r="10" spans="1:5" ht="15.75">
      <c r="A10" s="2891"/>
      <c r="B10" s="2887" t="e">
        <f t="shared" ca="1" si="1"/>
        <v>#REF!</v>
      </c>
      <c r="C10" s="2886" t="s">
        <v>2976</v>
      </c>
      <c r="D10" s="2888"/>
      <c r="E10" s="2559" t="e">
        <f t="shared" ca="1" si="0"/>
        <v>#REF!</v>
      </c>
    </row>
    <row r="11" spans="1:5" ht="15.75">
      <c r="A11" s="2891"/>
      <c r="B11" s="2887" t="e">
        <f t="shared" ca="1" si="1"/>
        <v>#REF!</v>
      </c>
      <c r="C11" s="2886" t="s">
        <v>2976</v>
      </c>
      <c r="D11" s="2888"/>
      <c r="E11" s="2559" t="e">
        <f t="shared" ca="1" si="0"/>
        <v>#REF!</v>
      </c>
    </row>
    <row r="12" spans="1:5" ht="15.75">
      <c r="A12" s="2891"/>
      <c r="B12" s="2887" t="e">
        <f t="shared" ca="1" si="1"/>
        <v>#REF!</v>
      </c>
      <c r="C12" s="2886" t="s">
        <v>2976</v>
      </c>
      <c r="D12" s="2888"/>
      <c r="E12" s="2559" t="e">
        <f t="shared" ca="1" si="0"/>
        <v>#REF!</v>
      </c>
    </row>
    <row r="13" spans="1:5" ht="15.75">
      <c r="A13" s="2891"/>
      <c r="B13" s="2887" t="e">
        <f t="shared" ca="1" si="1"/>
        <v>#REF!</v>
      </c>
      <c r="C13" s="2886" t="s">
        <v>2976</v>
      </c>
      <c r="D13" s="2888"/>
      <c r="E13" s="255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K6" sqref="K6"/>
    </sheetView>
  </sheetViews>
  <sheetFormatPr defaultColWidth="9"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459" t="s">
        <v>1145</v>
      </c>
      <c r="C1" s="3459"/>
      <c r="D1" s="3459"/>
      <c r="E1" s="3459"/>
      <c r="F1" s="3459"/>
      <c r="G1" s="3458" t="s">
        <v>1146</v>
      </c>
      <c r="H1" s="3458"/>
      <c r="I1" s="3458"/>
      <c r="J1" s="3458"/>
      <c r="K1" s="3458"/>
      <c r="L1" s="3458"/>
      <c r="N1" s="3458" t="s">
        <v>1147</v>
      </c>
      <c r="O1" s="3458"/>
      <c r="P1" s="3458"/>
      <c r="Q1" s="3458"/>
      <c r="R1" s="1441"/>
      <c r="S1" s="3458" t="s">
        <v>1148</v>
      </c>
      <c r="T1" s="3458"/>
      <c r="U1" s="3458"/>
      <c r="V1" s="3458"/>
      <c r="X1" s="3457" t="s">
        <v>1149</v>
      </c>
      <c r="Y1" s="3458"/>
      <c r="Z1" s="3458"/>
      <c r="AA1" s="3458"/>
      <c r="AB1" s="3458"/>
      <c r="AD1" s="3457" t="s">
        <v>1150</v>
      </c>
      <c r="AE1" s="3458"/>
      <c r="AF1" s="3458"/>
      <c r="AG1" s="3458"/>
      <c r="AH1" s="3458"/>
    </row>
    <row r="2" spans="1:34" s="1442" customFormat="1" ht="14.25" thickBot="1">
      <c r="B2" s="1443" t="s">
        <v>1151</v>
      </c>
      <c r="C2" s="1443" t="s">
        <v>1152</v>
      </c>
      <c r="D2" s="1444" t="s">
        <v>1153</v>
      </c>
      <c r="E2" s="1444" t="s">
        <v>1154</v>
      </c>
      <c r="F2" s="1443" t="s">
        <v>1155</v>
      </c>
      <c r="G2" s="1445"/>
      <c r="H2" s="1446"/>
      <c r="I2" s="1443" t="s">
        <v>1151</v>
      </c>
      <c r="J2" s="1444" t="s">
        <v>1379</v>
      </c>
      <c r="K2" s="1444" t="s">
        <v>751</v>
      </c>
      <c r="L2" s="1443" t="s">
        <v>1155</v>
      </c>
      <c r="N2" s="1443" t="s">
        <v>1151</v>
      </c>
      <c r="O2" s="1444" t="s">
        <v>1379</v>
      </c>
      <c r="P2" s="1444" t="s">
        <v>751</v>
      </c>
      <c r="Q2" s="1443" t="s">
        <v>1155</v>
      </c>
      <c r="R2" s="1447"/>
      <c r="S2" s="1443" t="s">
        <v>1151</v>
      </c>
      <c r="T2" s="1444" t="s">
        <v>1379</v>
      </c>
      <c r="U2" s="1444" t="s">
        <v>751</v>
      </c>
      <c r="V2" s="1443" t="s">
        <v>1155</v>
      </c>
      <c r="X2" s="1443" t="s">
        <v>1151</v>
      </c>
      <c r="Y2" s="1443" t="s">
        <v>1152</v>
      </c>
      <c r="Z2" s="1444" t="s">
        <v>1153</v>
      </c>
      <c r="AA2" s="1444" t="s">
        <v>1154</v>
      </c>
      <c r="AB2" s="1443" t="s">
        <v>1155</v>
      </c>
      <c r="AD2" s="1443" t="s">
        <v>1151</v>
      </c>
      <c r="AE2" s="1443" t="s">
        <v>1152</v>
      </c>
      <c r="AF2" s="1444" t="s">
        <v>1153</v>
      </c>
      <c r="AG2" s="1444" t="s">
        <v>1154</v>
      </c>
      <c r="AH2" s="1443" t="s">
        <v>1155</v>
      </c>
    </row>
    <row r="3" spans="1:34" s="2902" customFormat="1" ht="14.25">
      <c r="A3" s="2911" t="s">
        <v>3018</v>
      </c>
      <c r="B3" s="2903"/>
      <c r="C3" s="2903"/>
      <c r="D3" s="2904"/>
      <c r="E3" s="2904"/>
      <c r="F3" s="2903"/>
      <c r="G3" s="2905"/>
      <c r="H3" s="2906"/>
      <c r="I3" s="2907">
        <f>ROUND(AVERAGE($I4:$I29),2)</f>
        <v>1.9</v>
      </c>
      <c r="J3" s="2907">
        <f>ROUND(AVERAGE($J4:$J29),2)</f>
        <v>1.35</v>
      </c>
      <c r="K3" s="2907">
        <f>ROUND(AVERAGE($K4:$K29),2)</f>
        <v>2.08</v>
      </c>
      <c r="L3" s="2907">
        <f>ROUND(AVERAGE($L4:$L29),2)</f>
        <v>1.33</v>
      </c>
      <c r="N3" s="2905"/>
      <c r="O3" s="2908"/>
      <c r="P3" s="2908"/>
      <c r="Q3" s="2908"/>
      <c r="R3" s="2908"/>
      <c r="S3" s="2905"/>
      <c r="T3" s="2908"/>
      <c r="U3" s="2908"/>
      <c r="V3" s="2908"/>
      <c r="W3" s="2900"/>
      <c r="X3" s="2909">
        <f>ROUND(SUMPRODUCT(PRODUCT(1+N3:N$28)),4)</f>
        <v>1.5516000000000001</v>
      </c>
      <c r="Y3" s="2909">
        <f>ROUND(SUMPRODUCT(PRODUCT(1+O3:O$28)),4)</f>
        <v>1.3649</v>
      </c>
      <c r="Z3" s="2909">
        <f t="shared" ref="Z3:Z26" si="0">Y3</f>
        <v>1.3649</v>
      </c>
      <c r="AA3" s="2909">
        <f>ROUND(SUMPRODUCT(PRODUCT(1+P3:P$28)),4)</f>
        <v>1.6133999999999999</v>
      </c>
      <c r="AB3" s="2909">
        <f>ROUND(SUMPRODUCT(PRODUCT(1+Q3:Q$28)),4)</f>
        <v>1.3713</v>
      </c>
      <c r="AD3" s="2910">
        <f>ROUND(AVERAGE(I3:I$29)/100,4)</f>
        <v>1.9E-2</v>
      </c>
      <c r="AE3" s="2910">
        <f>ROUND(AVERAGE(J3:J$29)/100,4)</f>
        <v>1.35E-2</v>
      </c>
      <c r="AF3" s="2910">
        <f t="shared" ref="AF3:AF27" si="1">AE3</f>
        <v>1.35E-2</v>
      </c>
      <c r="AG3" s="2910">
        <f>ROUND(AVERAGE(K3:K$29)/100,4)</f>
        <v>2.0799999999999999E-2</v>
      </c>
      <c r="AH3" s="2910">
        <f>ROUND(AVERAGE(L3:L$29)/100,4)</f>
        <v>1.3299999999999999E-2</v>
      </c>
    </row>
    <row r="4" spans="1:34" s="1448" customFormat="1" ht="14.25">
      <c r="B4" s="1449"/>
      <c r="C4" s="1449"/>
      <c r="D4" s="1450"/>
      <c r="E4" s="1450"/>
      <c r="F4" s="1449"/>
      <c r="G4" s="1451"/>
      <c r="H4" s="1452"/>
      <c r="I4" s="2897"/>
      <c r="J4" s="2897"/>
      <c r="K4" s="2897"/>
      <c r="L4" s="2897"/>
      <c r="N4" s="1451"/>
      <c r="O4" s="1453"/>
      <c r="P4" s="1453"/>
      <c r="Q4" s="1453"/>
      <c r="R4" s="1453"/>
      <c r="S4" s="1451"/>
      <c r="T4" s="1453"/>
      <c r="U4" s="1453"/>
      <c r="V4" s="1453"/>
      <c r="X4" s="1454"/>
      <c r="Y4" s="1454"/>
      <c r="Z4" s="1454"/>
      <c r="AA4" s="1454"/>
      <c r="AB4" s="1454"/>
      <c r="AD4" s="1455"/>
      <c r="AE4" s="1455"/>
      <c r="AF4" s="1455"/>
      <c r="AG4" s="1455"/>
      <c r="AH4" s="1455"/>
    </row>
    <row r="5" spans="1:34" s="1725" customFormat="1">
      <c r="A5" s="1723" t="s">
        <v>3037</v>
      </c>
      <c r="B5" s="1785">
        <f t="shared" ref="B5" si="2">B6*(1+N5)</f>
        <v>477.19997390765138</v>
      </c>
      <c r="C5" s="1785">
        <f t="shared" ref="C5" si="3">C6*(1+O5)</f>
        <v>351.84874729536665</v>
      </c>
      <c r="D5" s="1785">
        <f t="shared" ref="D5" si="4">C5</f>
        <v>351.84874729536665</v>
      </c>
      <c r="E5" s="1785">
        <f t="shared" ref="E5" si="5">E6*(1+P5)</f>
        <v>682.29768951465201</v>
      </c>
      <c r="F5" s="1785">
        <f t="shared" ref="F5" si="6">F6*(1+Q5)</f>
        <v>315.26985675409043</v>
      </c>
      <c r="G5" s="2936">
        <v>2020</v>
      </c>
      <c r="H5" s="1724">
        <v>1</v>
      </c>
      <c r="I5" s="2898">
        <v>0</v>
      </c>
      <c r="J5" s="2898">
        <v>0</v>
      </c>
      <c r="K5" s="2898">
        <v>0</v>
      </c>
      <c r="L5" s="2898">
        <v>0</v>
      </c>
      <c r="N5" s="1462">
        <f t="shared" ref="N5" si="7">I5/100</f>
        <v>0</v>
      </c>
      <c r="O5" s="1462">
        <f t="shared" ref="O5" si="8">J5/100</f>
        <v>0</v>
      </c>
      <c r="P5" s="1462">
        <f t="shared" ref="P5" si="9">K5/100</f>
        <v>0</v>
      </c>
      <c r="Q5" s="1462">
        <f t="shared" ref="Q5" si="10">L5/100</f>
        <v>0</v>
      </c>
      <c r="R5" s="1726"/>
      <c r="S5" s="1727"/>
      <c r="T5" s="1726"/>
      <c r="U5" s="1726"/>
      <c r="V5" s="1726"/>
      <c r="W5" s="2901" t="s">
        <v>3019</v>
      </c>
      <c r="X5" s="1720">
        <f>ROUND(IF(项目基本情况!B8="出让",SUMPRODUCT(PRODUCT(1+N5:N$29)),SUMPRODUCT(PRODUCT(1+N5:N$28))),4)</f>
        <v>1.5516000000000001</v>
      </c>
      <c r="Y5" s="1720">
        <f>ROUND(IF(项目基本情况!B8="出让",SUMPRODUCT(PRODUCT(1+O5:O$29)),SUMPRODUCT(PRODUCT(1+O5:O$28))),4)</f>
        <v>1.3649</v>
      </c>
      <c r="Z5" s="1720">
        <f t="shared" ref="Z5" si="11">Y5</f>
        <v>1.3649</v>
      </c>
      <c r="AA5" s="1720">
        <f>ROUND(IF(项目基本情况!B8="出让",SUMPRODUCT(PRODUCT(1+P5:P$29)),SUMPRODUCT(PRODUCT(1+P5:P$28))),4)</f>
        <v>1.6133999999999999</v>
      </c>
      <c r="AB5" s="1720">
        <f>ROUND(IF(项目基本情况!B8="出让",SUMPRODUCT(PRODUCT(1+Q5:Q$29)),SUMPRODUCT(PRODUCT(1+Q5:Q$28))),4)</f>
        <v>1.3713</v>
      </c>
      <c r="AD5" s="1463">
        <f>ROUND(AVERAGE(I5:I$29)/100,4)</f>
        <v>1.9E-2</v>
      </c>
      <c r="AE5" s="1463">
        <f>ROUND(AVERAGE(J5:J$29)/100,4)</f>
        <v>1.35E-2</v>
      </c>
      <c r="AF5" s="1463">
        <f t="shared" ref="AF5" si="12">AE5</f>
        <v>1.35E-2</v>
      </c>
      <c r="AG5" s="1463">
        <f>ROUND(AVERAGE(K5:K$29)/100,4)</f>
        <v>2.0799999999999999E-2</v>
      </c>
      <c r="AH5" s="1463">
        <f>ROUND(AVERAGE(L5:L$29)/100,4)</f>
        <v>1.3299999999999999E-2</v>
      </c>
    </row>
    <row r="6" spans="1:34" s="1461" customFormat="1">
      <c r="A6" s="1456" t="s">
        <v>3036</v>
      </c>
      <c r="B6" s="1472">
        <f t="shared" ref="B6" si="13">B7*(1+N6)</f>
        <v>477.19997390765138</v>
      </c>
      <c r="C6" s="1472">
        <f t="shared" ref="C6" si="14">C7*(1+O6)</f>
        <v>351.84874729536665</v>
      </c>
      <c r="D6" s="1472">
        <f t="shared" ref="D6" si="15">C6</f>
        <v>351.84874729536665</v>
      </c>
      <c r="E6" s="1472">
        <f t="shared" ref="E6" si="16">E7*(1+P6)</f>
        <v>682.29768951465201</v>
      </c>
      <c r="F6" s="1472">
        <f t="shared" ref="F6" si="17">F7*(1+Q6)</f>
        <v>315.26985675409043</v>
      </c>
      <c r="G6" s="2936">
        <v>2019</v>
      </c>
      <c r="H6" s="1459">
        <v>4</v>
      </c>
      <c r="I6" s="1459">
        <v>0</v>
      </c>
      <c r="J6" s="1459">
        <v>0</v>
      </c>
      <c r="K6" s="1459">
        <v>0</v>
      </c>
      <c r="L6" s="1473">
        <v>0</v>
      </c>
      <c r="M6" s="1466"/>
      <c r="N6" s="1467">
        <f t="shared" ref="N6:N11" si="18">I6/100</f>
        <v>0</v>
      </c>
      <c r="O6" s="1468">
        <f t="shared" ref="O6" si="19">J6/100</f>
        <v>0</v>
      </c>
      <c r="P6" s="1468">
        <f t="shared" ref="P6" si="20">K6/100</f>
        <v>0</v>
      </c>
      <c r="Q6" s="1468">
        <f t="shared" ref="Q6" si="21">L6/100</f>
        <v>0</v>
      </c>
      <c r="R6" s="1469"/>
      <c r="S6" s="1467"/>
      <c r="T6" s="1468"/>
      <c r="U6" s="1468"/>
      <c r="V6" s="1468"/>
      <c r="W6" s="1784"/>
      <c r="X6" s="1782">
        <f>ROUND(IF(项目基本情况!B8="出让",SUMPRODUCT(PRODUCT(1+N6:N$29)),SUMPRODUCT(PRODUCT(1+N6:N$28))),4)</f>
        <v>1.5516000000000001</v>
      </c>
      <c r="Y6" s="1782">
        <f>ROUND(IF(项目基本情况!B8="出让",SUMPRODUCT(PRODUCT(1+O6:O$29)),SUMPRODUCT(PRODUCT(1+O6:O$28))),4)</f>
        <v>1.3649</v>
      </c>
      <c r="Z6" s="1782">
        <f t="shared" ref="Z6" si="22">Y6</f>
        <v>1.3649</v>
      </c>
      <c r="AA6" s="1782">
        <f>ROUND(IF(项目基本情况!B8="出让",SUMPRODUCT(PRODUCT(1+P6:P$29)),SUMPRODUCT(PRODUCT(1+P6:P$28))),4)</f>
        <v>1.6133999999999999</v>
      </c>
      <c r="AB6" s="1782">
        <f>ROUND(IF(项目基本情况!B8="出让",SUMPRODUCT(PRODUCT(1+Q6:Q$29)),SUMPRODUCT(PRODUCT(1+Q6:Q$28))),4)</f>
        <v>1.3713</v>
      </c>
      <c r="AC6" s="1784"/>
      <c r="AD6" s="1783">
        <f>ROUND(AVERAGE(I6:I$29)/100,4)</f>
        <v>1.9800000000000002E-2</v>
      </c>
      <c r="AE6" s="1783">
        <f>ROUND(AVERAGE(J6:J$29)/100,4)</f>
        <v>1.41E-2</v>
      </c>
      <c r="AF6" s="1783">
        <f t="shared" ref="AF6" si="23">AE6</f>
        <v>1.41E-2</v>
      </c>
      <c r="AG6" s="1783">
        <f>ROUND(AVERAGE(K6:K$29)/100,4)</f>
        <v>2.1600000000000001E-2</v>
      </c>
      <c r="AH6" s="1783">
        <f>ROUND(AVERAGE(L6:L$29)/100,4)</f>
        <v>1.38E-2</v>
      </c>
    </row>
    <row r="7" spans="1:34" s="1461" customFormat="1" ht="13.5" thickBot="1">
      <c r="A7" s="1456" t="s">
        <v>3032</v>
      </c>
      <c r="B7" s="1472">
        <f t="shared" ref="B7" si="24">B8*(1+N7)</f>
        <v>477.19997390765138</v>
      </c>
      <c r="C7" s="1472">
        <f t="shared" ref="C7" si="25">C8*(1+O7)</f>
        <v>351.84874729536665</v>
      </c>
      <c r="D7" s="1472">
        <f t="shared" ref="D7" si="26">C7</f>
        <v>351.84874729536665</v>
      </c>
      <c r="E7" s="1472">
        <f t="shared" ref="E7" si="27">E8*(1+P7)</f>
        <v>682.29768951465201</v>
      </c>
      <c r="F7" s="1472">
        <f t="shared" ref="F7" si="28">F8*(1+Q7)</f>
        <v>315.26985675409043</v>
      </c>
      <c r="G7" s="2935">
        <v>2019</v>
      </c>
      <c r="H7" s="1459">
        <v>3</v>
      </c>
      <c r="I7" s="1459">
        <v>0.61</v>
      </c>
      <c r="J7" s="1459">
        <v>0.67</v>
      </c>
      <c r="K7" s="1459">
        <v>0.6</v>
      </c>
      <c r="L7" s="1473">
        <v>1.03</v>
      </c>
      <c r="M7" s="1466"/>
      <c r="N7" s="1467">
        <f t="shared" si="18"/>
        <v>6.0999999999999995E-3</v>
      </c>
      <c r="O7" s="1468">
        <f t="shared" ref="O7" si="29">J7/100</f>
        <v>6.7000000000000002E-3</v>
      </c>
      <c r="P7" s="1468">
        <f t="shared" ref="P7" si="30">K7/100</f>
        <v>6.0000000000000001E-3</v>
      </c>
      <c r="Q7" s="1468">
        <f t="shared" ref="Q7" si="31">L7/100</f>
        <v>1.03E-2</v>
      </c>
      <c r="R7" s="1469"/>
      <c r="S7" s="1467"/>
      <c r="T7" s="1468"/>
      <c r="U7" s="1468"/>
      <c r="V7" s="1468"/>
      <c r="W7" s="1784"/>
      <c r="X7" s="1782">
        <f>ROUND(IF(项目基本情况!B8="出让",SUMPRODUCT(PRODUCT(1+N7:N$29)),SUMPRODUCT(PRODUCT(1+N7:N$28))),4)</f>
        <v>1.5516000000000001</v>
      </c>
      <c r="Y7" s="1782">
        <f>ROUND(IF(项目基本情况!B8="出让",SUMPRODUCT(PRODUCT(1+O7:O$29)),SUMPRODUCT(PRODUCT(1+O7:O$28))),4)</f>
        <v>1.3649</v>
      </c>
      <c r="Z7" s="1782">
        <f t="shared" ref="Z7" si="32">Y7</f>
        <v>1.3649</v>
      </c>
      <c r="AA7" s="1782">
        <f>ROUND(IF(项目基本情况!B8="出让",SUMPRODUCT(PRODUCT(1+P7:P$29)),SUMPRODUCT(PRODUCT(1+P7:P$28))),4)</f>
        <v>1.6133999999999999</v>
      </c>
      <c r="AB7" s="1782">
        <f>ROUND(IF(项目基本情况!B8="出让",SUMPRODUCT(PRODUCT(1+Q7:Q$29)),SUMPRODUCT(PRODUCT(1+Q7:Q$28))),4)</f>
        <v>1.3713</v>
      </c>
      <c r="AC7" s="1784"/>
      <c r="AD7" s="1783">
        <f>ROUND(AVERAGE(I7:I$29)/100,4)</f>
        <v>2.07E-2</v>
      </c>
      <c r="AE7" s="1783">
        <f>ROUND(AVERAGE(J7:J$29)/100,4)</f>
        <v>1.47E-2</v>
      </c>
      <c r="AF7" s="1783">
        <f t="shared" ref="AF7" si="33">AE7</f>
        <v>1.47E-2</v>
      </c>
      <c r="AG7" s="1783">
        <f>ROUND(AVERAGE(K7:K$29)/100,4)</f>
        <v>2.2599999999999999E-2</v>
      </c>
      <c r="AH7" s="1783">
        <f>ROUND(AVERAGE(L7:L$29)/100,4)</f>
        <v>1.44E-2</v>
      </c>
    </row>
    <row r="8" spans="1:34" s="1461" customFormat="1">
      <c r="A8" s="1456" t="s">
        <v>3030</v>
      </c>
      <c r="B8" s="1472">
        <f t="shared" ref="B8" si="34">B9*(1+N8)</f>
        <v>474.30670301923408</v>
      </c>
      <c r="C8" s="1472">
        <f t="shared" ref="C8" si="35">C9*(1+O8)</f>
        <v>349.50705005996491</v>
      </c>
      <c r="D8" s="1472">
        <f t="shared" ref="D8" si="36">C8</f>
        <v>349.50705005996491</v>
      </c>
      <c r="E8" s="1472">
        <f t="shared" ref="E8" si="37">E9*(1+P8)</f>
        <v>678.22831959706957</v>
      </c>
      <c r="F8" s="1472">
        <f t="shared" ref="F8" si="38">F9*(1+Q8)</f>
        <v>312.0556832169558</v>
      </c>
      <c r="G8" s="2931">
        <v>2019</v>
      </c>
      <c r="H8" s="1457">
        <v>2</v>
      </c>
      <c r="I8" s="1457">
        <v>1.53</v>
      </c>
      <c r="J8" s="1457">
        <v>1.01</v>
      </c>
      <c r="K8" s="1457">
        <v>1.62</v>
      </c>
      <c r="L8" s="1458">
        <v>1.25</v>
      </c>
      <c r="M8" s="1466"/>
      <c r="N8" s="1467">
        <f t="shared" si="18"/>
        <v>1.5300000000000001E-2</v>
      </c>
      <c r="O8" s="1468">
        <f t="shared" ref="O8" si="39">J8/100</f>
        <v>1.01E-2</v>
      </c>
      <c r="P8" s="1468">
        <f t="shared" ref="P8" si="40">K8/100</f>
        <v>1.6200000000000003E-2</v>
      </c>
      <c r="Q8" s="1468">
        <f t="shared" ref="Q8" si="41">L8/100</f>
        <v>1.2500000000000001E-2</v>
      </c>
      <c r="R8" s="1469"/>
      <c r="S8" s="1467"/>
      <c r="T8" s="1468"/>
      <c r="U8" s="1468"/>
      <c r="V8" s="1468"/>
      <c r="W8" s="1784"/>
      <c r="X8" s="1782">
        <f>ROUND(IF(项目基本情况!B8="出让",SUMPRODUCT(PRODUCT(1+N8:N$29)),SUMPRODUCT(PRODUCT(1+N8:N$28))),4)</f>
        <v>1.5422</v>
      </c>
      <c r="Y8" s="1782">
        <f>ROUND(IF(项目基本情况!B8="出让",SUMPRODUCT(PRODUCT(1+O8:O$29)),SUMPRODUCT(PRODUCT(1+O8:O$28))),4)</f>
        <v>1.3557999999999999</v>
      </c>
      <c r="Z8" s="1782">
        <f t="shared" ref="Z8" si="42">Y8</f>
        <v>1.3557999999999999</v>
      </c>
      <c r="AA8" s="1782">
        <f>ROUND(IF(项目基本情况!B8="出让",SUMPRODUCT(PRODUCT(1+P8:P$29)),SUMPRODUCT(PRODUCT(1+P8:P$28))),4)</f>
        <v>1.6036999999999999</v>
      </c>
      <c r="AB8" s="1782">
        <f>ROUND(IF(项目基本情况!B8="出让",SUMPRODUCT(PRODUCT(1+Q8:Q$29)),SUMPRODUCT(PRODUCT(1+Q8:Q$28))),4)</f>
        <v>1.3573</v>
      </c>
      <c r="AC8" s="1784"/>
      <c r="AD8" s="1783">
        <f>ROUND(AVERAGE(I8:I$29)/100,4)</f>
        <v>2.1299999999999999E-2</v>
      </c>
      <c r="AE8" s="1783">
        <f>ROUND(AVERAGE(J8:J$29)/100,4)</f>
        <v>1.4999999999999999E-2</v>
      </c>
      <c r="AF8" s="1783">
        <f t="shared" ref="AF8" si="43">AE8</f>
        <v>1.4999999999999999E-2</v>
      </c>
      <c r="AG8" s="1783">
        <f>ROUND(AVERAGE(K8:K$29)/100,4)</f>
        <v>2.3300000000000001E-2</v>
      </c>
      <c r="AH8" s="1783">
        <f>ROUND(AVERAGE(L8:L$29)/100,4)</f>
        <v>1.46E-2</v>
      </c>
    </row>
    <row r="9" spans="1:34" s="1461" customFormat="1" ht="13.5" thickBot="1">
      <c r="A9" s="1456" t="s">
        <v>3028</v>
      </c>
      <c r="B9" s="1472">
        <f t="shared" ref="B9" si="44">B10*(1+N9)</f>
        <v>467.15916775261894</v>
      </c>
      <c r="C9" s="1472">
        <f t="shared" ref="C9" si="45">C10*(1+O9)</f>
        <v>346.01232557169084</v>
      </c>
      <c r="D9" s="1472">
        <f t="shared" ref="D9" si="46">C9</f>
        <v>346.01232557169084</v>
      </c>
      <c r="E9" s="1472">
        <f t="shared" ref="E9" si="47">E10*(1+P9)</f>
        <v>667.41617752122568</v>
      </c>
      <c r="F9" s="1472">
        <f t="shared" ref="F9" si="48">F10*(1+Q9)</f>
        <v>308.20314391798104</v>
      </c>
      <c r="G9" s="2915">
        <v>2019</v>
      </c>
      <c r="H9" s="1459">
        <v>1</v>
      </c>
      <c r="I9" s="1459">
        <v>0.6</v>
      </c>
      <c r="J9" s="1459">
        <v>0.37</v>
      </c>
      <c r="K9" s="1459">
        <v>0.63</v>
      </c>
      <c r="L9" s="1473">
        <v>1.1299999999999999</v>
      </c>
      <c r="M9" s="1466"/>
      <c r="N9" s="1467">
        <f t="shared" si="18"/>
        <v>6.0000000000000001E-3</v>
      </c>
      <c r="O9" s="1468">
        <f t="shared" ref="O9" si="49">J9/100</f>
        <v>3.7000000000000002E-3</v>
      </c>
      <c r="P9" s="1468">
        <f t="shared" ref="P9" si="50">K9/100</f>
        <v>6.3E-3</v>
      </c>
      <c r="Q9" s="1468">
        <f t="shared" ref="Q9" si="51">L9/100</f>
        <v>1.1299999999999999E-2</v>
      </c>
      <c r="R9" s="1469"/>
      <c r="S9" s="1467">
        <f>B9/B10-1</f>
        <v>6.0000000000000053E-3</v>
      </c>
      <c r="T9" s="1468">
        <f t="shared" ref="T9" si="52">C9/C10-1</f>
        <v>3.7000000000000366E-3</v>
      </c>
      <c r="U9" s="1468">
        <f t="shared" ref="U9" si="53">D9/D10-1</f>
        <v>3.7000000000000366E-3</v>
      </c>
      <c r="V9" s="1468">
        <f t="shared" ref="V9" si="54">E9/E10-1</f>
        <v>6.2999999999999723E-3</v>
      </c>
      <c r="W9" s="1784"/>
      <c r="X9" s="1782">
        <f>ROUND(IF(项目基本情况!B8="出让",SUMPRODUCT(PRODUCT(1+N9:N$29)),SUMPRODUCT(PRODUCT(1+N9:N$28))),4)</f>
        <v>1.5189999999999999</v>
      </c>
      <c r="Y9" s="1782">
        <f>ROUND(IF(项目基本情况!B8="出让",SUMPRODUCT(PRODUCT(1+O9:O$29)),SUMPRODUCT(PRODUCT(1+O9:O$28))),4)</f>
        <v>1.3423</v>
      </c>
      <c r="Z9" s="1782">
        <f t="shared" ref="Z9" si="55">Y9</f>
        <v>1.3423</v>
      </c>
      <c r="AA9" s="1782">
        <f>ROUND(IF(项目基本情况!B8="出让",SUMPRODUCT(PRODUCT(1+P9:P$29)),SUMPRODUCT(PRODUCT(1+P9:P$28))),4)</f>
        <v>1.5782</v>
      </c>
      <c r="AB9" s="1782">
        <f>ROUND(IF(项目基本情况!B8="出让",SUMPRODUCT(PRODUCT(1+Q9:Q$29)),SUMPRODUCT(PRODUCT(1+Q9:Q$28))),4)</f>
        <v>1.3405</v>
      </c>
      <c r="AC9" s="1784"/>
      <c r="AD9" s="1783">
        <f>ROUND(AVERAGE(I9:I$29)/100,4)</f>
        <v>2.1600000000000001E-2</v>
      </c>
      <c r="AE9" s="1783">
        <f>ROUND(AVERAGE(J9:J$29)/100,4)</f>
        <v>1.5299999999999999E-2</v>
      </c>
      <c r="AF9" s="1783">
        <f t="shared" ref="AF9" si="56">AE9</f>
        <v>1.5299999999999999E-2</v>
      </c>
      <c r="AG9" s="1783">
        <f>ROUND(AVERAGE(K9:K$29)/100,4)</f>
        <v>2.3699999999999999E-2</v>
      </c>
      <c r="AH9" s="1783">
        <f>ROUND(AVERAGE(L9:L$29)/100,4)</f>
        <v>1.47E-2</v>
      </c>
    </row>
    <row r="10" spans="1:34" s="1461" customFormat="1">
      <c r="A10" s="1456" t="s">
        <v>3031</v>
      </c>
      <c r="B10" s="2932">
        <f t="shared" ref="B10" si="57">B11*(1+N10)</f>
        <v>464.37293017158942</v>
      </c>
      <c r="C10" s="2932">
        <f t="shared" ref="C10" si="58">C11*(1+O10)</f>
        <v>344.73679941385956</v>
      </c>
      <c r="D10" s="2932">
        <f t="shared" ref="D10" si="59">C10</f>
        <v>344.73679941385956</v>
      </c>
      <c r="E10" s="2932">
        <f t="shared" ref="E10" si="60">E11*(1+P10)</f>
        <v>663.2377795103107</v>
      </c>
      <c r="F10" s="2933">
        <f t="shared" ref="F10" si="61">F11*(1+Q10)</f>
        <v>304.75936311478398</v>
      </c>
      <c r="G10" s="3455">
        <v>2018</v>
      </c>
      <c r="H10" s="1457">
        <v>4</v>
      </c>
      <c r="I10" s="1457">
        <v>0.96</v>
      </c>
      <c r="J10" s="1457">
        <v>1.03</v>
      </c>
      <c r="K10" s="1457">
        <v>0.92</v>
      </c>
      <c r="L10" s="1458">
        <v>1.29</v>
      </c>
      <c r="M10" s="1466"/>
      <c r="N10" s="1467">
        <f t="shared" si="18"/>
        <v>9.5999999999999992E-3</v>
      </c>
      <c r="O10" s="1468">
        <f t="shared" ref="O10" si="62">J10/100</f>
        <v>1.03E-2</v>
      </c>
      <c r="P10" s="1468">
        <f t="shared" ref="P10" si="63">K10/100</f>
        <v>9.1999999999999998E-3</v>
      </c>
      <c r="Q10" s="1468">
        <f t="shared" ref="Q10" si="64">L10/100</f>
        <v>1.29E-2</v>
      </c>
      <c r="R10" s="1469"/>
      <c r="S10" s="1467"/>
      <c r="T10" s="1468"/>
      <c r="U10" s="1468"/>
      <c r="V10" s="1468"/>
      <c r="W10" s="1784"/>
      <c r="X10" s="1782">
        <f>ROUND(SUMPRODUCT(PRODUCT(1+N10:N$28)),4)</f>
        <v>1.5099</v>
      </c>
      <c r="Y10" s="1782">
        <f>ROUND(SUMPRODUCT(PRODUCT(1+O10:O$28)),4)</f>
        <v>1.3372999999999999</v>
      </c>
      <c r="Z10" s="1782">
        <f t="shared" ref="Z10" si="65">Y10</f>
        <v>1.3372999999999999</v>
      </c>
      <c r="AA10" s="1782">
        <f>ROUND(SUMPRODUCT(PRODUCT(1+P10:P$28)),4)</f>
        <v>1.5683</v>
      </c>
      <c r="AB10" s="1782">
        <f>ROUND(SUMPRODUCT(PRODUCT(1+Q10:Q$28)),4)</f>
        <v>1.3255999999999999</v>
      </c>
      <c r="AC10" s="1784"/>
      <c r="AD10" s="1783">
        <f>ROUND(AVERAGE(I10:I$29)/100,4)</f>
        <v>2.24E-2</v>
      </c>
      <c r="AE10" s="1783">
        <f>ROUND(AVERAGE(J10:J$29)/100,4)</f>
        <v>1.5800000000000002E-2</v>
      </c>
      <c r="AF10" s="1783">
        <f t="shared" ref="AF10" si="66">AE10</f>
        <v>1.5800000000000002E-2</v>
      </c>
      <c r="AG10" s="1783">
        <f>ROUND(AVERAGE(K10:K$29)/100,4)</f>
        <v>2.4500000000000001E-2</v>
      </c>
      <c r="AH10" s="1783">
        <f>ROUND(AVERAGE(L10:L$29)/100,4)</f>
        <v>1.49E-2</v>
      </c>
    </row>
    <row r="11" spans="1:34" s="1461" customFormat="1" ht="14.45" customHeight="1">
      <c r="A11" s="1456" t="s">
        <v>3025</v>
      </c>
      <c r="B11" s="1472">
        <f t="shared" ref="B11" si="67">B12*(1+N11)</f>
        <v>459.95733971036987</v>
      </c>
      <c r="C11" s="1472">
        <f t="shared" ref="C11" si="68">C12*(1+O11)</f>
        <v>341.22221064422405</v>
      </c>
      <c r="D11" s="1472">
        <f t="shared" ref="D11" si="69">C11</f>
        <v>341.22221064422405</v>
      </c>
      <c r="E11" s="1472">
        <f t="shared" ref="E11" si="70">E12*(1+P11)</f>
        <v>657.19161663724799</v>
      </c>
      <c r="F11" s="1472">
        <f t="shared" ref="F11" si="71">F12*(1+Q11)</f>
        <v>300.87803644464805</v>
      </c>
      <c r="G11" s="3455"/>
      <c r="H11" s="1459">
        <v>3</v>
      </c>
      <c r="I11" s="1459">
        <v>1.51</v>
      </c>
      <c r="J11" s="1459">
        <v>1.41</v>
      </c>
      <c r="K11" s="1459">
        <v>1.52</v>
      </c>
      <c r="L11" s="1473">
        <v>1.74</v>
      </c>
      <c r="M11" s="1466"/>
      <c r="N11" s="1467">
        <f t="shared" si="18"/>
        <v>1.5100000000000001E-2</v>
      </c>
      <c r="O11" s="1468">
        <f t="shared" ref="O11" si="72">J11/100</f>
        <v>1.41E-2</v>
      </c>
      <c r="P11" s="1468">
        <f t="shared" ref="P11" si="73">K11/100</f>
        <v>1.52E-2</v>
      </c>
      <c r="Q11" s="1468">
        <f t="shared" ref="Q11" si="74">L11/100</f>
        <v>1.7399999999999999E-2</v>
      </c>
      <c r="R11" s="1469"/>
      <c r="S11" s="1467"/>
      <c r="T11" s="1468"/>
      <c r="U11" s="1468"/>
      <c r="V11" s="1468"/>
      <c r="W11" s="1784"/>
      <c r="X11" s="1782">
        <f>ROUND(SUMPRODUCT(PRODUCT(1+N11:N$28)),4)</f>
        <v>1.4956</v>
      </c>
      <c r="Y11" s="1782">
        <f>ROUND(SUMPRODUCT(PRODUCT(1+O11:O$28)),4)</f>
        <v>1.3237000000000001</v>
      </c>
      <c r="Z11" s="1782">
        <f t="shared" ref="Z11" si="75">Y11</f>
        <v>1.3237000000000001</v>
      </c>
      <c r="AA11" s="1782">
        <f>ROUND(SUMPRODUCT(PRODUCT(1+P11:P$28)),4)</f>
        <v>1.554</v>
      </c>
      <c r="AB11" s="1782">
        <f>ROUND(SUMPRODUCT(PRODUCT(1+Q11:Q$28)),4)</f>
        <v>1.3087</v>
      </c>
      <c r="AC11" s="1784"/>
      <c r="AD11" s="1783">
        <f>ROUND(AVERAGE(I11:I$29)/100,4)</f>
        <v>2.3099999999999999E-2</v>
      </c>
      <c r="AE11" s="1783">
        <f>ROUND(AVERAGE(J11:J$29)/100,4)</f>
        <v>1.61E-2</v>
      </c>
      <c r="AF11" s="1783">
        <f t="shared" ref="AF11" si="76">AE11</f>
        <v>1.61E-2</v>
      </c>
      <c r="AG11" s="1783">
        <f>ROUND(AVERAGE(K11:K$29)/100,4)</f>
        <v>2.53E-2</v>
      </c>
      <c r="AH11" s="1783">
        <f>ROUND(AVERAGE(L11:L$29)/100,4)</f>
        <v>1.4999999999999999E-2</v>
      </c>
    </row>
    <row r="12" spans="1:34" s="1461" customFormat="1" ht="14.45" customHeight="1">
      <c r="A12" s="1456" t="s">
        <v>3024</v>
      </c>
      <c r="B12" s="1472">
        <f t="shared" ref="B12" si="77">B13*(1+N12)</f>
        <v>453.11529869999993</v>
      </c>
      <c r="C12" s="1472">
        <f t="shared" ref="C12" si="78">C13*(1+O12)</f>
        <v>336.47787264000004</v>
      </c>
      <c r="D12" s="1472">
        <f t="shared" ref="D12" si="79">C12</f>
        <v>336.47787264000004</v>
      </c>
      <c r="E12" s="1472">
        <f t="shared" ref="E12" si="80">E13*(1+P12)</f>
        <v>647.35186823999993</v>
      </c>
      <c r="F12" s="1472">
        <f t="shared" ref="F12" si="81">F13*(1+Q12)</f>
        <v>295.73229452000004</v>
      </c>
      <c r="G12" s="3455"/>
      <c r="H12" s="1460">
        <v>2</v>
      </c>
      <c r="I12" s="1460">
        <v>1.49</v>
      </c>
      <c r="J12" s="1460">
        <v>0.96</v>
      </c>
      <c r="K12" s="1460">
        <v>1.58</v>
      </c>
      <c r="L12" s="1474">
        <v>2.44</v>
      </c>
      <c r="M12" s="1466"/>
      <c r="N12" s="1467">
        <f t="shared" ref="N12" si="82">I12/100</f>
        <v>1.49E-2</v>
      </c>
      <c r="O12" s="1468">
        <f t="shared" ref="O12" si="83">J12/100</f>
        <v>9.5999999999999992E-3</v>
      </c>
      <c r="P12" s="1468">
        <f t="shared" ref="P12" si="84">K12/100</f>
        <v>1.5800000000000002E-2</v>
      </c>
      <c r="Q12" s="1468">
        <f t="shared" ref="Q12" si="85">L12/100</f>
        <v>2.4399999999999998E-2</v>
      </c>
      <c r="R12" s="1469"/>
      <c r="S12" s="1467"/>
      <c r="T12" s="1468"/>
      <c r="U12" s="1468"/>
      <c r="V12" s="1468"/>
      <c r="W12" s="1784"/>
      <c r="X12" s="1782">
        <f>ROUND(SUMPRODUCT(PRODUCT(1+N12:N$28)),4)</f>
        <v>1.4733000000000001</v>
      </c>
      <c r="Y12" s="1782">
        <f>ROUND(SUMPRODUCT(PRODUCT(1+O12:O$28)),4)</f>
        <v>1.3052999999999999</v>
      </c>
      <c r="Z12" s="1782">
        <f t="shared" ref="Z12" si="86">Y12</f>
        <v>1.3052999999999999</v>
      </c>
      <c r="AA12" s="1782">
        <f>ROUND(SUMPRODUCT(PRODUCT(1+P12:P$28)),4)</f>
        <v>1.5306999999999999</v>
      </c>
      <c r="AB12" s="1782">
        <f>ROUND(SUMPRODUCT(PRODUCT(1+Q12:Q$28)),4)</f>
        <v>1.2863</v>
      </c>
      <c r="AC12" s="1784"/>
      <c r="AD12" s="1783">
        <f>ROUND(AVERAGE(I12:I$29)/100,4)</f>
        <v>2.35E-2</v>
      </c>
      <c r="AE12" s="1783">
        <f>ROUND(AVERAGE(J12:J$29)/100,4)</f>
        <v>1.6199999999999999E-2</v>
      </c>
      <c r="AF12" s="1783">
        <f t="shared" ref="AF12" si="87">AE12</f>
        <v>1.6199999999999999E-2</v>
      </c>
      <c r="AG12" s="1783">
        <f>ROUND(AVERAGE(K12:K$29)/100,4)</f>
        <v>2.5899999999999999E-2</v>
      </c>
      <c r="AH12" s="1783">
        <f>ROUND(AVERAGE(L12:L$29)/100,4)</f>
        <v>1.49E-2</v>
      </c>
    </row>
    <row r="13" spans="1:34" s="1461" customFormat="1" ht="15" customHeight="1" thickBot="1">
      <c r="A13" s="1456" t="s">
        <v>3017</v>
      </c>
      <c r="B13" s="1472">
        <f t="shared" ref="B13" si="88">B14*(1+N13)</f>
        <v>446.46299999999997</v>
      </c>
      <c r="C13" s="1472">
        <f t="shared" ref="C13" si="89">C14*(1+O13)</f>
        <v>333.27840000000003</v>
      </c>
      <c r="D13" s="1472">
        <f t="shared" ref="D13" si="90">C13</f>
        <v>333.27840000000003</v>
      </c>
      <c r="E13" s="1472">
        <f t="shared" ref="E13" si="91">E14*(1+P13)</f>
        <v>637.28279999999995</v>
      </c>
      <c r="F13" s="1472">
        <f t="shared" ref="F13" si="92">F14*(1+Q13)</f>
        <v>288.68830000000003</v>
      </c>
      <c r="G13" s="3464"/>
      <c r="H13" s="1459">
        <v>1</v>
      </c>
      <c r="I13" s="1459">
        <v>1.7</v>
      </c>
      <c r="J13" s="1459">
        <v>1.92</v>
      </c>
      <c r="K13" s="1459">
        <v>1.64</v>
      </c>
      <c r="L13" s="1473">
        <v>2.0099999999999998</v>
      </c>
      <c r="M13" s="1466"/>
      <c r="N13" s="1467">
        <f t="shared" ref="N13:N18" si="93">I13/100</f>
        <v>1.7000000000000001E-2</v>
      </c>
      <c r="O13" s="1468">
        <f t="shared" ref="O13" si="94">J13/100</f>
        <v>1.9199999999999998E-2</v>
      </c>
      <c r="P13" s="1468">
        <f t="shared" ref="P13" si="95">K13/100</f>
        <v>1.6399999999999998E-2</v>
      </c>
      <c r="Q13" s="1468">
        <f t="shared" ref="Q13" si="96">L13/100</f>
        <v>2.0099999999999996E-2</v>
      </c>
      <c r="R13" s="1469"/>
      <c r="S13" s="1467">
        <f>B13/B14-1</f>
        <v>1.6999999999999904E-2</v>
      </c>
      <c r="T13" s="1468">
        <f t="shared" ref="T13" si="97">C13/C14-1</f>
        <v>1.9200000000000106E-2</v>
      </c>
      <c r="U13" s="1468">
        <f t="shared" ref="U13" si="98">D13/D14-1</f>
        <v>1.9200000000000106E-2</v>
      </c>
      <c r="V13" s="1468">
        <f t="shared" ref="V13" si="99">E13/E14-1</f>
        <v>1.639999999999997E-2</v>
      </c>
      <c r="W13" s="1784"/>
      <c r="X13" s="1782">
        <f>ROUND(SUMPRODUCT(PRODUCT(1+N13:N$28)),4)</f>
        <v>1.4517</v>
      </c>
      <c r="Y13" s="1782">
        <f>ROUND(SUMPRODUCT(PRODUCT(1+O13:O$28)),4)</f>
        <v>1.2928999999999999</v>
      </c>
      <c r="Z13" s="1782">
        <f t="shared" ref="Z13" si="100">Y13</f>
        <v>1.2928999999999999</v>
      </c>
      <c r="AA13" s="1782">
        <f>ROUND(SUMPRODUCT(PRODUCT(1+P13:P$28)),4)</f>
        <v>1.5068999999999999</v>
      </c>
      <c r="AB13" s="1782">
        <f>ROUND(SUMPRODUCT(PRODUCT(1+Q13:Q$28)),4)</f>
        <v>1.2557</v>
      </c>
      <c r="AC13" s="1784"/>
      <c r="AD13" s="1783">
        <f>ROUND(AVERAGE(I13:I$29)/100,4)</f>
        <v>2.4E-2</v>
      </c>
      <c r="AE13" s="1783">
        <f>ROUND(AVERAGE(J13:J$29)/100,4)</f>
        <v>1.66E-2</v>
      </c>
      <c r="AF13" s="1783">
        <f t="shared" ref="AF13" si="101">AE13</f>
        <v>1.66E-2</v>
      </c>
      <c r="AG13" s="1783">
        <f>ROUND(AVERAGE(K13:K$29)/100,4)</f>
        <v>2.6499999999999999E-2</v>
      </c>
      <c r="AH13" s="1783">
        <f>ROUND(AVERAGE(L13:L$29)/100,4)</f>
        <v>1.43E-2</v>
      </c>
    </row>
    <row r="14" spans="1:34">
      <c r="A14" s="1456" t="s">
        <v>3014</v>
      </c>
      <c r="B14" s="1464">
        <v>439</v>
      </c>
      <c r="C14" s="1464">
        <v>327</v>
      </c>
      <c r="D14" s="1464">
        <f>C14</f>
        <v>327</v>
      </c>
      <c r="E14" s="1464">
        <v>627</v>
      </c>
      <c r="F14" s="1465">
        <v>283</v>
      </c>
      <c r="G14" s="3460">
        <v>2017</v>
      </c>
      <c r="H14" s="1457">
        <v>4</v>
      </c>
      <c r="I14" s="1457">
        <v>1.71</v>
      </c>
      <c r="J14" s="1457">
        <v>1.78</v>
      </c>
      <c r="K14" s="1457">
        <v>1.71</v>
      </c>
      <c r="L14" s="1458">
        <v>1.43</v>
      </c>
      <c r="N14" s="1467">
        <f t="shared" si="93"/>
        <v>1.7100000000000001E-2</v>
      </c>
      <c r="O14" s="1468">
        <f t="shared" ref="O14" si="102">J14/100</f>
        <v>1.78E-2</v>
      </c>
      <c r="P14" s="1468">
        <f t="shared" ref="P14" si="103">K14/100</f>
        <v>1.7100000000000001E-2</v>
      </c>
      <c r="Q14" s="1468">
        <f t="shared" ref="Q14" si="104">L14/100</f>
        <v>1.43E-2</v>
      </c>
      <c r="R14" s="1469"/>
      <c r="S14" s="1470"/>
      <c r="T14" s="1471"/>
      <c r="U14" s="1471"/>
      <c r="V14" s="1471"/>
      <c r="X14" s="1454">
        <f>ROUND(SUMPRODUCT(PRODUCT(1+N14:N$28)),4)</f>
        <v>1.4274</v>
      </c>
      <c r="Y14" s="1454">
        <f>ROUND(SUMPRODUCT(PRODUCT(1+O14:O$28)),4)</f>
        <v>1.2685</v>
      </c>
      <c r="Z14" s="1454">
        <f t="shared" si="0"/>
        <v>1.2685</v>
      </c>
      <c r="AA14" s="1454">
        <f>ROUND(SUMPRODUCT(PRODUCT(1+P14:P$28)),4)</f>
        <v>1.4825999999999999</v>
      </c>
      <c r="AB14" s="1454">
        <f>ROUND(SUMPRODUCT(PRODUCT(1+Q14:Q$28)),4)</f>
        <v>1.2309000000000001</v>
      </c>
      <c r="AD14" s="1455">
        <f>ROUND(AVERAGE(I14:I$29)/100,4)</f>
        <v>2.4500000000000001E-2</v>
      </c>
      <c r="AE14" s="1455">
        <f>ROUND(AVERAGE(J14:J$29)/100,4)</f>
        <v>1.6500000000000001E-2</v>
      </c>
      <c r="AF14" s="1455">
        <f t="shared" si="1"/>
        <v>1.6500000000000001E-2</v>
      </c>
      <c r="AG14" s="1455">
        <f>ROUND(AVERAGE(K14:K$29)/100,4)</f>
        <v>2.7099999999999999E-2</v>
      </c>
      <c r="AH14" s="1455">
        <f>ROUND(AVERAGE(L14:L$29)/100,4)</f>
        <v>1.3899999999999999E-2</v>
      </c>
    </row>
    <row r="15" spans="1:34" s="1461" customFormat="1" ht="14.45" customHeight="1">
      <c r="A15" s="1456" t="s">
        <v>3015</v>
      </c>
      <c r="B15" s="1472">
        <f t="shared" ref="B15:B16" si="105">B16*(1+N15)</f>
        <v>431.80730811680002</v>
      </c>
      <c r="C15" s="1472">
        <f t="shared" ref="C15:C16" si="106">C16*(1+O15)</f>
        <v>320.57880516480003</v>
      </c>
      <c r="D15" s="1472">
        <f t="shared" ref="D15:D16" si="107">C15</f>
        <v>320.57880516480003</v>
      </c>
      <c r="E15" s="1472">
        <f t="shared" ref="E15:E16" si="108">E16*(1+P15)</f>
        <v>615.96110553196797</v>
      </c>
      <c r="F15" s="1472">
        <f t="shared" ref="F15:F16" si="109">F16*(1+Q15)</f>
        <v>279.46777300108801</v>
      </c>
      <c r="G15" s="3455"/>
      <c r="H15" s="1459">
        <v>3</v>
      </c>
      <c r="I15" s="1459">
        <v>2.98</v>
      </c>
      <c r="J15" s="1459">
        <v>2.11</v>
      </c>
      <c r="K15" s="1459">
        <v>3.24</v>
      </c>
      <c r="L15" s="1473">
        <v>1.72</v>
      </c>
      <c r="M15" s="1466"/>
      <c r="N15" s="1467">
        <f t="shared" si="93"/>
        <v>2.98E-2</v>
      </c>
      <c r="O15" s="1468">
        <f t="shared" ref="O15" si="110">J15/100</f>
        <v>2.1099999999999997E-2</v>
      </c>
      <c r="P15" s="1468">
        <f t="shared" ref="P15" si="111">K15/100</f>
        <v>3.2400000000000005E-2</v>
      </c>
      <c r="Q15" s="1468">
        <f t="shared" ref="Q15" si="112">L15/100</f>
        <v>1.72E-2</v>
      </c>
      <c r="R15" s="1469"/>
      <c r="S15" s="1467"/>
      <c r="T15" s="1468"/>
      <c r="U15" s="1468"/>
      <c r="V15" s="1468"/>
      <c r="W15" s="1784"/>
      <c r="X15" s="1782">
        <f>ROUND(SUMPRODUCT(PRODUCT(1+N15:N$28)),4)</f>
        <v>1.4034</v>
      </c>
      <c r="Y15" s="1782">
        <f>ROUND(SUMPRODUCT(PRODUCT(1+O15:O$28)),4)</f>
        <v>1.2463</v>
      </c>
      <c r="Z15" s="1782">
        <f t="shared" si="0"/>
        <v>1.2463</v>
      </c>
      <c r="AA15" s="1782">
        <f>ROUND(SUMPRODUCT(PRODUCT(1+P15:P$28)),4)</f>
        <v>1.4577</v>
      </c>
      <c r="AB15" s="1782">
        <f>ROUND(SUMPRODUCT(PRODUCT(1+Q15:Q$28)),4)</f>
        <v>1.2136</v>
      </c>
      <c r="AC15" s="1784"/>
      <c r="AD15" s="1783">
        <f>ROUND(AVERAGE(I15:I$29)/100,4)</f>
        <v>2.4899999999999999E-2</v>
      </c>
      <c r="AE15" s="1783">
        <f>ROUND(AVERAGE(J15:J$29)/100,4)</f>
        <v>1.6400000000000001E-2</v>
      </c>
      <c r="AF15" s="1783">
        <f t="shared" si="1"/>
        <v>1.6400000000000001E-2</v>
      </c>
      <c r="AG15" s="1783">
        <f>ROUND(AVERAGE(K15:K$29)/100,4)</f>
        <v>2.7799999999999998E-2</v>
      </c>
      <c r="AH15" s="1783">
        <f>ROUND(AVERAGE(L15:L$29)/100,4)</f>
        <v>1.3899999999999999E-2</v>
      </c>
    </row>
    <row r="16" spans="1:34" s="1725" customFormat="1" ht="14.45" customHeight="1">
      <c r="A16" s="1456" t="s">
        <v>1380</v>
      </c>
      <c r="B16" s="1472">
        <f t="shared" si="105"/>
        <v>419.31181600000002</v>
      </c>
      <c r="C16" s="1472">
        <f t="shared" si="106"/>
        <v>313.95436800000004</v>
      </c>
      <c r="D16" s="1472">
        <f t="shared" si="107"/>
        <v>313.95436800000004</v>
      </c>
      <c r="E16" s="1472">
        <f t="shared" si="108"/>
        <v>596.63028431999999</v>
      </c>
      <c r="F16" s="1472">
        <f t="shared" si="109"/>
        <v>274.74220703999998</v>
      </c>
      <c r="G16" s="3455"/>
      <c r="H16" s="1460">
        <v>2</v>
      </c>
      <c r="I16" s="1460">
        <v>3.4</v>
      </c>
      <c r="J16" s="1460">
        <v>2</v>
      </c>
      <c r="K16" s="1460">
        <v>3.82</v>
      </c>
      <c r="L16" s="1474">
        <v>1.68</v>
      </c>
      <c r="M16" s="1466"/>
      <c r="N16" s="1467">
        <f t="shared" si="93"/>
        <v>3.4000000000000002E-2</v>
      </c>
      <c r="O16" s="1468">
        <f t="shared" ref="O16" si="113">J16/100</f>
        <v>0.02</v>
      </c>
      <c r="P16" s="1468">
        <f t="shared" ref="P16" si="114">K16/100</f>
        <v>3.8199999999999998E-2</v>
      </c>
      <c r="Q16" s="1468">
        <f t="shared" ref="Q16" si="115">L16/100</f>
        <v>1.6799999999999999E-2</v>
      </c>
      <c r="R16" s="1469"/>
      <c r="S16" s="1470"/>
      <c r="T16" s="1471"/>
      <c r="U16" s="1471"/>
      <c r="V16" s="1471"/>
      <c r="W16" s="1448"/>
      <c r="X16" s="1782">
        <f>ROUND(SUMPRODUCT(PRODUCT(1+N16:N$28)),4)</f>
        <v>1.3628</v>
      </c>
      <c r="Y16" s="1782">
        <f>ROUND(SUMPRODUCT(PRODUCT(1+O16:O$28)),4)</f>
        <v>1.2205999999999999</v>
      </c>
      <c r="Z16" s="1782">
        <f t="shared" si="0"/>
        <v>1.2205999999999999</v>
      </c>
      <c r="AA16" s="1782">
        <f>ROUND(SUMPRODUCT(PRODUCT(1+P16:P$28)),4)</f>
        <v>1.4118999999999999</v>
      </c>
      <c r="AB16" s="1782">
        <f>ROUND(SUMPRODUCT(PRODUCT(1+Q16:Q$28)),4)</f>
        <v>1.1930000000000001</v>
      </c>
      <c r="AC16" s="1448"/>
      <c r="AD16" s="1783">
        <f>ROUND(AVERAGE(I16:I$29)/100,4)</f>
        <v>2.46E-2</v>
      </c>
      <c r="AE16" s="1783">
        <f>ROUND(AVERAGE(J16:J$29)/100,4)</f>
        <v>1.6E-2</v>
      </c>
      <c r="AF16" s="1783">
        <f t="shared" si="1"/>
        <v>1.6E-2</v>
      </c>
      <c r="AG16" s="1783">
        <f>ROUND(AVERAGE(K16:K$29)/100,4)</f>
        <v>2.75E-2</v>
      </c>
      <c r="AH16" s="1783">
        <f>ROUND(AVERAGE(L16:L$29)/100,4)</f>
        <v>1.37E-2</v>
      </c>
    </row>
    <row r="17" spans="1:34" s="1461" customFormat="1" ht="15" customHeight="1" thickBot="1">
      <c r="A17" s="1456" t="s">
        <v>1156</v>
      </c>
      <c r="B17" s="1472">
        <f>B18*(1+N17)</f>
        <v>405.524</v>
      </c>
      <c r="C17" s="1472">
        <f>C18*(1+O17)</f>
        <v>307.79840000000002</v>
      </c>
      <c r="D17" s="1472">
        <f>C17</f>
        <v>307.79840000000002</v>
      </c>
      <c r="E17" s="1472">
        <f>E18*(1+P17)</f>
        <v>574.67759999999998</v>
      </c>
      <c r="F17" s="1472">
        <f>F18*(1+Q17)</f>
        <v>270.20280000000002</v>
      </c>
      <c r="G17" s="3464"/>
      <c r="H17" s="1459">
        <v>1</v>
      </c>
      <c r="I17" s="1459">
        <v>3.45</v>
      </c>
      <c r="J17" s="1459">
        <v>1.92</v>
      </c>
      <c r="K17" s="1459">
        <v>3.92</v>
      </c>
      <c r="L17" s="1473">
        <v>1.58</v>
      </c>
      <c r="M17" s="1466"/>
      <c r="N17" s="1467">
        <f t="shared" si="93"/>
        <v>3.4500000000000003E-2</v>
      </c>
      <c r="O17" s="1468">
        <f t="shared" ref="O17:Q32" si="116">J17/100</f>
        <v>1.9199999999999998E-2</v>
      </c>
      <c r="P17" s="1468">
        <f t="shared" si="116"/>
        <v>3.9199999999999999E-2</v>
      </c>
      <c r="Q17" s="1468">
        <f t="shared" si="116"/>
        <v>1.5800000000000002E-2</v>
      </c>
      <c r="R17" s="1469"/>
      <c r="S17" s="1467">
        <f>B17/B18-1</f>
        <v>3.4499999999999975E-2</v>
      </c>
      <c r="T17" s="1468">
        <f t="shared" ref="T17:V17" si="117">C17/C18-1</f>
        <v>1.9200000000000106E-2</v>
      </c>
      <c r="U17" s="1468">
        <f t="shared" si="117"/>
        <v>1.9200000000000106E-2</v>
      </c>
      <c r="V17" s="1468">
        <f t="shared" si="117"/>
        <v>3.9199999999999902E-2</v>
      </c>
      <c r="W17" s="1784"/>
      <c r="X17" s="1782">
        <f>ROUND(SUMPRODUCT(PRODUCT(1+N17:N$28)),4)</f>
        <v>1.3180000000000001</v>
      </c>
      <c r="Y17" s="1782">
        <f>ROUND(SUMPRODUCT(PRODUCT(1+O17:O$28)),4)</f>
        <v>1.1966000000000001</v>
      </c>
      <c r="Z17" s="1782">
        <f t="shared" si="0"/>
        <v>1.1966000000000001</v>
      </c>
      <c r="AA17" s="1782">
        <f>ROUND(SUMPRODUCT(PRODUCT(1+P17:P$28)),4)</f>
        <v>1.36</v>
      </c>
      <c r="AB17" s="1782">
        <f>ROUND(SUMPRODUCT(PRODUCT(1+Q17:Q$28)),4)</f>
        <v>1.1733</v>
      </c>
      <c r="AC17" s="1784"/>
      <c r="AD17" s="1783">
        <f>ROUND(AVERAGE(I17:I$29)/100,4)</f>
        <v>2.3900000000000001E-2</v>
      </c>
      <c r="AE17" s="1783">
        <f>ROUND(AVERAGE(J17:J$29)/100,4)</f>
        <v>1.5699999999999999E-2</v>
      </c>
      <c r="AF17" s="1783">
        <f t="shared" si="1"/>
        <v>1.5699999999999999E-2</v>
      </c>
      <c r="AG17" s="1783">
        <f>ROUND(AVERAGE(K17:K$29)/100,4)</f>
        <v>2.6599999999999999E-2</v>
      </c>
      <c r="AH17" s="1783">
        <f>ROUND(AVERAGE(L17:L$29)/100,4)</f>
        <v>1.34E-2</v>
      </c>
    </row>
    <row r="18" spans="1:34">
      <c r="A18" s="1456" t="s">
        <v>154</v>
      </c>
      <c r="B18" s="1464">
        <v>392</v>
      </c>
      <c r="C18" s="1464">
        <v>302</v>
      </c>
      <c r="D18" s="1464">
        <f>C18</f>
        <v>302</v>
      </c>
      <c r="E18" s="1464">
        <v>553</v>
      </c>
      <c r="F18" s="1465">
        <v>266</v>
      </c>
      <c r="G18" s="3460">
        <v>2016</v>
      </c>
      <c r="H18" s="1457">
        <v>4</v>
      </c>
      <c r="I18" s="1457">
        <v>4.5599999999999996</v>
      </c>
      <c r="J18" s="1457">
        <v>2.15</v>
      </c>
      <c r="K18" s="1457">
        <v>5.32</v>
      </c>
      <c r="L18" s="1458">
        <v>1.57</v>
      </c>
      <c r="N18" s="1467">
        <f t="shared" si="93"/>
        <v>4.5599999999999995E-2</v>
      </c>
      <c r="O18" s="1468">
        <f t="shared" si="116"/>
        <v>2.1499999999999998E-2</v>
      </c>
      <c r="P18" s="1468">
        <f t="shared" si="116"/>
        <v>5.3200000000000004E-2</v>
      </c>
      <c r="Q18" s="1468">
        <f t="shared" si="116"/>
        <v>1.5700000000000002E-2</v>
      </c>
      <c r="R18" s="1469"/>
      <c r="S18" s="1470"/>
      <c r="T18" s="1471"/>
      <c r="U18" s="1471"/>
      <c r="V18" s="1471"/>
      <c r="X18" s="1454">
        <f>ROUND(SUMPRODUCT(PRODUCT(1+N18:N$28)),4)</f>
        <v>1.274</v>
      </c>
      <c r="Y18" s="1454">
        <f>ROUND(SUMPRODUCT(PRODUCT(1+O18:O$28)),4)</f>
        <v>1.1740999999999999</v>
      </c>
      <c r="Z18" s="1454">
        <f t="shared" si="0"/>
        <v>1.1740999999999999</v>
      </c>
      <c r="AA18" s="1454">
        <f>ROUND(SUMPRODUCT(PRODUCT(1+P18:P$28)),4)</f>
        <v>1.3087</v>
      </c>
      <c r="AB18" s="1454">
        <f>ROUND(SUMPRODUCT(PRODUCT(1+Q18:Q$28)),4)</f>
        <v>1.1551</v>
      </c>
      <c r="AD18" s="1455">
        <f>ROUND(AVERAGE(I18:I$29)/100,4)</f>
        <v>2.3E-2</v>
      </c>
      <c r="AE18" s="1455">
        <f>ROUND(AVERAGE(J18:J$29)/100,4)</f>
        <v>1.55E-2</v>
      </c>
      <c r="AF18" s="1455">
        <f t="shared" si="1"/>
        <v>1.55E-2</v>
      </c>
      <c r="AG18" s="1455">
        <f>ROUND(AVERAGE(K18:K$29)/100,4)</f>
        <v>2.5600000000000001E-2</v>
      </c>
      <c r="AH18" s="1455">
        <f>ROUND(AVERAGE(L18:L$29)/100,4)</f>
        <v>1.32E-2</v>
      </c>
    </row>
    <row r="19" spans="1:34">
      <c r="A19" s="1456" t="s">
        <v>153</v>
      </c>
      <c r="B19" s="1472">
        <f t="shared" ref="B19:C21" si="118">B18/(1+N18)</f>
        <v>374.90436113236416</v>
      </c>
      <c r="C19" s="1472">
        <f t="shared" si="118"/>
        <v>295.64366128242779</v>
      </c>
      <c r="D19" s="1472">
        <f t="shared" ref="D19:D78" si="119">C19</f>
        <v>295.64366128242779</v>
      </c>
      <c r="E19" s="1472">
        <f t="shared" ref="E19:F21" si="120">E18/(1+P18)</f>
        <v>525.06646410938095</v>
      </c>
      <c r="F19" s="1472">
        <f t="shared" si="120"/>
        <v>261.88835286009646</v>
      </c>
      <c r="G19" s="3455"/>
      <c r="H19" s="1459">
        <v>3</v>
      </c>
      <c r="I19" s="1459">
        <v>4.12</v>
      </c>
      <c r="J19" s="1459">
        <v>2</v>
      </c>
      <c r="K19" s="1459">
        <v>4.79</v>
      </c>
      <c r="L19" s="1473">
        <v>1.97</v>
      </c>
      <c r="N19" s="1467">
        <f t="shared" ref="N19:Q53" si="121">I19/100</f>
        <v>4.1200000000000001E-2</v>
      </c>
      <c r="O19" s="1468">
        <f t="shared" si="116"/>
        <v>0.02</v>
      </c>
      <c r="P19" s="1468">
        <f t="shared" si="116"/>
        <v>4.7899999999999998E-2</v>
      </c>
      <c r="Q19" s="1468">
        <f t="shared" si="116"/>
        <v>1.9699999999999999E-2</v>
      </c>
      <c r="R19" s="1469"/>
      <c r="S19" s="1467"/>
      <c r="T19" s="1468"/>
      <c r="U19" s="1468"/>
      <c r="V19" s="1468"/>
      <c r="X19" s="1454">
        <f>ROUND(SUMPRODUCT(PRODUCT(1+N19:N$28)),4)</f>
        <v>1.2184999999999999</v>
      </c>
      <c r="Y19" s="1454">
        <f>ROUND(SUMPRODUCT(PRODUCT(1+O19:O$28)),4)</f>
        <v>1.1494</v>
      </c>
      <c r="Z19" s="1454">
        <f t="shared" si="0"/>
        <v>1.1494</v>
      </c>
      <c r="AA19" s="1454">
        <f>ROUND(SUMPRODUCT(PRODUCT(1+P19:P$28)),4)</f>
        <v>1.2425999999999999</v>
      </c>
      <c r="AB19" s="1454">
        <f>ROUND(SUMPRODUCT(PRODUCT(1+Q19:Q$28)),4)</f>
        <v>1.1372</v>
      </c>
      <c r="AD19" s="1455">
        <f>ROUND(AVERAGE(I19:I$29)/100,4)</f>
        <v>2.0899999999999998E-2</v>
      </c>
      <c r="AE19" s="1455">
        <f>ROUND(AVERAGE(J19:J$29)/100,4)</f>
        <v>1.49E-2</v>
      </c>
      <c r="AF19" s="1455">
        <f t="shared" si="1"/>
        <v>1.49E-2</v>
      </c>
      <c r="AG19" s="1455">
        <f>ROUND(AVERAGE(K19:K$29)/100,4)</f>
        <v>2.3099999999999999E-2</v>
      </c>
      <c r="AH19" s="1455">
        <f>ROUND(AVERAGE(L19:L$29)/100,4)</f>
        <v>1.2999999999999999E-2</v>
      </c>
    </row>
    <row r="20" spans="1:34">
      <c r="A20" s="1456" t="s">
        <v>143</v>
      </c>
      <c r="B20" s="1472">
        <f t="shared" si="118"/>
        <v>360.06949782209392</v>
      </c>
      <c r="C20" s="1472">
        <f t="shared" si="118"/>
        <v>289.84672674747821</v>
      </c>
      <c r="D20" s="1472">
        <f t="shared" si="119"/>
        <v>289.84672674747821</v>
      </c>
      <c r="E20" s="1472">
        <f t="shared" si="120"/>
        <v>501.06543001181495</v>
      </c>
      <c r="F20" s="1472">
        <f t="shared" si="120"/>
        <v>256.82882500744967</v>
      </c>
      <c r="G20" s="3455"/>
      <c r="H20" s="1460">
        <v>2</v>
      </c>
      <c r="I20" s="1460">
        <v>3.85</v>
      </c>
      <c r="J20" s="1460">
        <v>1.95</v>
      </c>
      <c r="K20" s="1460">
        <v>4.4800000000000004</v>
      </c>
      <c r="L20" s="1474">
        <v>1.41</v>
      </c>
      <c r="N20" s="1467">
        <f t="shared" si="121"/>
        <v>3.85E-2</v>
      </c>
      <c r="O20" s="1468">
        <f t="shared" si="116"/>
        <v>1.95E-2</v>
      </c>
      <c r="P20" s="1468">
        <f t="shared" si="116"/>
        <v>4.4800000000000006E-2</v>
      </c>
      <c r="Q20" s="1468">
        <f t="shared" si="116"/>
        <v>1.41E-2</v>
      </c>
      <c r="R20" s="1469"/>
      <c r="S20" s="1467"/>
      <c r="T20" s="1468"/>
      <c r="U20" s="1468"/>
      <c r="V20" s="1468"/>
      <c r="X20" s="1454">
        <f>ROUND(SUMPRODUCT(PRODUCT(1+N20:N$28)),4)</f>
        <v>1.1702999999999999</v>
      </c>
      <c r="Y20" s="1454">
        <f>ROUND(SUMPRODUCT(PRODUCT(1+O20:O$28)),4)</f>
        <v>1.1269</v>
      </c>
      <c r="Z20" s="1454">
        <f t="shared" si="0"/>
        <v>1.1269</v>
      </c>
      <c r="AA20" s="1454">
        <f>ROUND(SUMPRODUCT(PRODUCT(1+P20:P$28)),4)</f>
        <v>1.1858</v>
      </c>
      <c r="AB20" s="1454">
        <f>ROUND(SUMPRODUCT(PRODUCT(1+Q20:Q$28)),4)</f>
        <v>1.1152</v>
      </c>
      <c r="AD20" s="1455">
        <f>ROUND(AVERAGE(I20:I$29)/100,4)</f>
        <v>1.89E-2</v>
      </c>
      <c r="AE20" s="1455">
        <f>ROUND(AVERAGE(J20:J$29)/100,4)</f>
        <v>1.44E-2</v>
      </c>
      <c r="AF20" s="1455">
        <f t="shared" si="1"/>
        <v>1.44E-2</v>
      </c>
      <c r="AG20" s="1455">
        <f>ROUND(AVERAGE(K20:K$29)/100,4)</f>
        <v>2.06E-2</v>
      </c>
      <c r="AH20" s="1455">
        <f>ROUND(AVERAGE(L20:L$29)/100,4)</f>
        <v>1.23E-2</v>
      </c>
    </row>
    <row r="21" spans="1:34" ht="13.5" thickBot="1">
      <c r="A21" s="1456" t="s">
        <v>152</v>
      </c>
      <c r="B21" s="1472">
        <f t="shared" si="118"/>
        <v>346.720748986128</v>
      </c>
      <c r="C21" s="1472">
        <f t="shared" si="118"/>
        <v>284.30282172386285</v>
      </c>
      <c r="D21" s="1472">
        <f t="shared" si="119"/>
        <v>284.30282172386285</v>
      </c>
      <c r="E21" s="1472">
        <f t="shared" si="120"/>
        <v>479.58023546306947</v>
      </c>
      <c r="F21" s="1472">
        <f t="shared" si="120"/>
        <v>253.25788877571213</v>
      </c>
      <c r="G21" s="3456"/>
      <c r="H21" s="1459">
        <v>1</v>
      </c>
      <c r="I21" s="1459">
        <v>4.09</v>
      </c>
      <c r="J21" s="1459">
        <v>2.93</v>
      </c>
      <c r="K21" s="1459">
        <v>4.54</v>
      </c>
      <c r="L21" s="1473">
        <v>1.48</v>
      </c>
      <c r="N21" s="1467">
        <f t="shared" si="121"/>
        <v>4.0899999999999999E-2</v>
      </c>
      <c r="O21" s="1468">
        <f t="shared" si="116"/>
        <v>2.9300000000000003E-2</v>
      </c>
      <c r="P21" s="1468">
        <f t="shared" si="116"/>
        <v>4.5400000000000003E-2</v>
      </c>
      <c r="Q21" s="1468">
        <f t="shared" si="116"/>
        <v>1.4800000000000001E-2</v>
      </c>
      <c r="R21" s="1469"/>
      <c r="S21" s="1475">
        <f>B21/B22-1</f>
        <v>4.1203450408792808E-2</v>
      </c>
      <c r="T21" s="1476">
        <f>C21/C22-1</f>
        <v>2.6363977342465095E-2</v>
      </c>
      <c r="U21" s="1476">
        <f>E21/E22-1</f>
        <v>4.4837114298626357E-2</v>
      </c>
      <c r="V21" s="1476">
        <f>F21/F22-1</f>
        <v>1.7099954922538574E-2</v>
      </c>
      <c r="X21" s="1454">
        <f>ROUND(SUMPRODUCT(PRODUCT(1+N21:N$28)),4)</f>
        <v>1.1269</v>
      </c>
      <c r="Y21" s="1454">
        <f>ROUND(SUMPRODUCT(PRODUCT(1+O21:O$28)),4)</f>
        <v>1.1052999999999999</v>
      </c>
      <c r="Z21" s="1454">
        <f t="shared" si="0"/>
        <v>1.1052999999999999</v>
      </c>
      <c r="AA21" s="1454">
        <f>ROUND(SUMPRODUCT(PRODUCT(1+P21:P$28)),4)</f>
        <v>1.1349</v>
      </c>
      <c r="AB21" s="1454">
        <f>ROUND(SUMPRODUCT(PRODUCT(1+Q21:Q$28)),4)</f>
        <v>1.0996999999999999</v>
      </c>
      <c r="AD21" s="1455">
        <f>ROUND(AVERAGE(I21:I$29)/100,4)</f>
        <v>1.67E-2</v>
      </c>
      <c r="AE21" s="1455">
        <f>ROUND(AVERAGE(J21:J$29)/100,4)</f>
        <v>1.38E-2</v>
      </c>
      <c r="AF21" s="1455">
        <f t="shared" si="1"/>
        <v>1.38E-2</v>
      </c>
      <c r="AG21" s="1455">
        <f>ROUND(AVERAGE(K21:K$29)/100,4)</f>
        <v>1.7899999999999999E-2</v>
      </c>
      <c r="AH21" s="1455">
        <f>ROUND(AVERAGE(L21:L$29)/100,4)</f>
        <v>1.21E-2</v>
      </c>
    </row>
    <row r="22" spans="1:34" ht="13.5" thickBot="1">
      <c r="A22" s="1456" t="s">
        <v>151</v>
      </c>
      <c r="B22" s="1464">
        <v>333</v>
      </c>
      <c r="C22" s="1464">
        <v>277</v>
      </c>
      <c r="D22" s="1464">
        <f t="shared" si="119"/>
        <v>277</v>
      </c>
      <c r="E22" s="1464">
        <v>459</v>
      </c>
      <c r="F22" s="1465">
        <v>249</v>
      </c>
      <c r="G22" s="3454">
        <v>2015</v>
      </c>
      <c r="H22" s="1477">
        <v>4</v>
      </c>
      <c r="I22" s="1477">
        <v>1.63</v>
      </c>
      <c r="J22" s="1477">
        <v>1.1100000000000001</v>
      </c>
      <c r="K22" s="1477">
        <v>1.77</v>
      </c>
      <c r="L22" s="1478">
        <v>1.89</v>
      </c>
      <c r="N22" s="1479">
        <f t="shared" si="121"/>
        <v>1.6299999999999999E-2</v>
      </c>
      <c r="O22" s="1480">
        <f t="shared" si="116"/>
        <v>1.11E-2</v>
      </c>
      <c r="P22" s="1480">
        <f t="shared" si="116"/>
        <v>1.77E-2</v>
      </c>
      <c r="Q22" s="1480">
        <f t="shared" si="116"/>
        <v>1.89E-2</v>
      </c>
      <c r="R22" s="1469"/>
      <c r="X22" s="1454">
        <f>ROUND(SUMPRODUCT(PRODUCT(1+N22:N$28)),4)</f>
        <v>1.0826</v>
      </c>
      <c r="Y22" s="1454">
        <f>ROUND(SUMPRODUCT(PRODUCT(1+O22:O$28)),4)</f>
        <v>1.0738000000000001</v>
      </c>
      <c r="Z22" s="1454">
        <f t="shared" si="0"/>
        <v>1.0738000000000001</v>
      </c>
      <c r="AA22" s="1454">
        <f>ROUND(SUMPRODUCT(PRODUCT(1+P22:P$28)),4)</f>
        <v>1.0855999999999999</v>
      </c>
      <c r="AB22" s="1454">
        <f>ROUND(SUMPRODUCT(PRODUCT(1+Q22:Q$28)),4)</f>
        <v>1.0837000000000001</v>
      </c>
      <c r="AD22" s="1455">
        <f>ROUND(AVERAGE(I22:I$29)/100,4)</f>
        <v>1.37E-2</v>
      </c>
      <c r="AE22" s="1455">
        <f>ROUND(AVERAGE(J22:J$29)/100,4)</f>
        <v>1.1900000000000001E-2</v>
      </c>
      <c r="AF22" s="1455">
        <f t="shared" si="1"/>
        <v>1.1900000000000001E-2</v>
      </c>
      <c r="AG22" s="1455">
        <f>ROUND(AVERAGE(K22:K$29)/100,4)</f>
        <v>1.4500000000000001E-2</v>
      </c>
      <c r="AH22" s="1455">
        <f>ROUND(AVERAGE(L22:L$29)/100,4)</f>
        <v>1.18E-2</v>
      </c>
    </row>
    <row r="23" spans="1:34">
      <c r="A23" s="1456" t="s">
        <v>150</v>
      </c>
      <c r="B23" s="1472">
        <f t="shared" ref="B23:C25" si="122">B22/(1+N22)</f>
        <v>327.65915576109415</v>
      </c>
      <c r="C23" s="1472">
        <f t="shared" si="122"/>
        <v>273.95905449510434</v>
      </c>
      <c r="D23" s="1472">
        <f t="shared" si="119"/>
        <v>273.95905449510434</v>
      </c>
      <c r="E23" s="1472">
        <f t="shared" ref="E23:F25" si="123">E22/(1+P22)</f>
        <v>451.01699911565294</v>
      </c>
      <c r="F23" s="1472">
        <f t="shared" si="123"/>
        <v>244.38119540681129</v>
      </c>
      <c r="G23" s="3455"/>
      <c r="H23" s="1482">
        <v>3</v>
      </c>
      <c r="I23" s="1482">
        <v>1.65</v>
      </c>
      <c r="J23" s="1482">
        <v>0.92</v>
      </c>
      <c r="K23" s="1482">
        <v>1.88</v>
      </c>
      <c r="L23" s="1483">
        <v>1.26</v>
      </c>
      <c r="N23" s="1467">
        <f t="shared" si="121"/>
        <v>1.6500000000000001E-2</v>
      </c>
      <c r="O23" s="1484">
        <f t="shared" si="116"/>
        <v>9.1999999999999998E-3</v>
      </c>
      <c r="P23" s="1484">
        <f t="shared" si="116"/>
        <v>1.8799999999999997E-2</v>
      </c>
      <c r="Q23" s="1484">
        <f t="shared" si="116"/>
        <v>1.26E-2</v>
      </c>
      <c r="R23" s="1469"/>
      <c r="S23" s="1467"/>
      <c r="T23" s="1468"/>
      <c r="U23" s="1468"/>
      <c r="V23" s="1468"/>
      <c r="X23" s="1454">
        <f>ROUND(SUMPRODUCT(PRODUCT(1+N23:N$28)),4)</f>
        <v>1.0651999999999999</v>
      </c>
      <c r="Y23" s="1454">
        <f>ROUND(SUMPRODUCT(PRODUCT(1+O23:O$28)),4)</f>
        <v>1.0621</v>
      </c>
      <c r="Z23" s="1454">
        <f t="shared" si="0"/>
        <v>1.0621</v>
      </c>
      <c r="AA23" s="1454">
        <f>ROUND(SUMPRODUCT(PRODUCT(1+P23:P$28)),4)</f>
        <v>1.0668</v>
      </c>
      <c r="AB23" s="1454">
        <f>ROUND(SUMPRODUCT(PRODUCT(1+Q23:Q$28)),4)</f>
        <v>1.0636000000000001</v>
      </c>
      <c r="AD23" s="1455">
        <f>ROUND(AVERAGE(I23:I$29)/100,4)</f>
        <v>1.3299999999999999E-2</v>
      </c>
      <c r="AE23" s="1455">
        <f>ROUND(AVERAGE(J23:J$29)/100,4)</f>
        <v>1.2E-2</v>
      </c>
      <c r="AF23" s="1455">
        <f t="shared" si="1"/>
        <v>1.2E-2</v>
      </c>
      <c r="AG23" s="1455">
        <f>ROUND(AVERAGE(K23:K$29)/100,4)</f>
        <v>1.4E-2</v>
      </c>
      <c r="AH23" s="1455">
        <f>ROUND(AVERAGE(L23:L$29)/100,4)</f>
        <v>1.0800000000000001E-2</v>
      </c>
    </row>
    <row r="24" spans="1:34">
      <c r="A24" s="1456" t="s">
        <v>149</v>
      </c>
      <c r="B24" s="1472">
        <f t="shared" si="122"/>
        <v>322.34053690220776</v>
      </c>
      <c r="C24" s="1472">
        <f t="shared" si="122"/>
        <v>271.46160770422546</v>
      </c>
      <c r="D24" s="1472">
        <f t="shared" si="119"/>
        <v>271.46160770422546</v>
      </c>
      <c r="E24" s="1472">
        <f t="shared" si="123"/>
        <v>442.69434542172456</v>
      </c>
      <c r="F24" s="1472">
        <f t="shared" si="123"/>
        <v>241.34030753190925</v>
      </c>
      <c r="G24" s="3455"/>
      <c r="H24" s="1460">
        <v>2</v>
      </c>
      <c r="I24" s="1460">
        <v>0.77</v>
      </c>
      <c r="J24" s="1460">
        <v>0.69</v>
      </c>
      <c r="K24" s="1460">
        <v>0.8</v>
      </c>
      <c r="L24" s="1474">
        <v>0.88</v>
      </c>
      <c r="N24" s="1467">
        <f t="shared" si="121"/>
        <v>7.7000000000000002E-3</v>
      </c>
      <c r="O24" s="1484">
        <f t="shared" si="116"/>
        <v>6.8999999999999999E-3</v>
      </c>
      <c r="P24" s="1484">
        <f t="shared" si="116"/>
        <v>8.0000000000000002E-3</v>
      </c>
      <c r="Q24" s="1484">
        <f t="shared" si="116"/>
        <v>8.8000000000000005E-3</v>
      </c>
      <c r="R24" s="1469"/>
      <c r="S24" s="1467"/>
      <c r="T24" s="1468"/>
      <c r="U24" s="1468"/>
      <c r="V24" s="1468"/>
      <c r="X24" s="1454">
        <f>ROUND(SUMPRODUCT(PRODUCT(1+N24:N$28)),4)</f>
        <v>1.048</v>
      </c>
      <c r="Y24" s="1454">
        <f>ROUND(SUMPRODUCT(PRODUCT(1+O24:O$28)),4)</f>
        <v>1.0524</v>
      </c>
      <c r="Z24" s="1454">
        <f t="shared" si="0"/>
        <v>1.0524</v>
      </c>
      <c r="AA24" s="1454">
        <f>ROUND(SUMPRODUCT(PRODUCT(1+P24:P$28)),4)</f>
        <v>1.0470999999999999</v>
      </c>
      <c r="AB24" s="1454">
        <f>ROUND(SUMPRODUCT(PRODUCT(1+Q24:Q$28)),4)</f>
        <v>1.0504</v>
      </c>
      <c r="AD24" s="1455">
        <f>ROUND(AVERAGE(I24:I$29)/100,4)</f>
        <v>1.2800000000000001E-2</v>
      </c>
      <c r="AE24" s="1455">
        <f>ROUND(AVERAGE(J24:J$29)/100,4)</f>
        <v>1.2500000000000001E-2</v>
      </c>
      <c r="AF24" s="1455">
        <f t="shared" si="1"/>
        <v>1.2500000000000001E-2</v>
      </c>
      <c r="AG24" s="1455">
        <f>ROUND(AVERAGE(K24:K$29)/100,4)</f>
        <v>1.32E-2</v>
      </c>
      <c r="AH24" s="1455">
        <f>ROUND(AVERAGE(L24:L$29)/100,4)</f>
        <v>1.0500000000000001E-2</v>
      </c>
    </row>
    <row r="25" spans="1:34">
      <c r="A25" s="1456" t="s">
        <v>148</v>
      </c>
      <c r="B25" s="1472">
        <f t="shared" si="122"/>
        <v>319.87748030386797</v>
      </c>
      <c r="C25" s="1472">
        <f t="shared" si="122"/>
        <v>269.60135833173649</v>
      </c>
      <c r="D25" s="1472">
        <f t="shared" si="119"/>
        <v>269.60135833173649</v>
      </c>
      <c r="E25" s="1472">
        <f t="shared" si="123"/>
        <v>439.18089823583784</v>
      </c>
      <c r="F25" s="1472">
        <f t="shared" si="123"/>
        <v>239.23503918706311</v>
      </c>
      <c r="G25" s="3456"/>
      <c r="H25" s="1459">
        <v>1</v>
      </c>
      <c r="I25" s="1459">
        <v>0.51</v>
      </c>
      <c r="J25" s="1459">
        <v>0.54</v>
      </c>
      <c r="K25" s="1459">
        <v>0.48</v>
      </c>
      <c r="L25" s="1473">
        <v>0.93</v>
      </c>
      <c r="N25" s="1475">
        <f t="shared" si="121"/>
        <v>5.1000000000000004E-3</v>
      </c>
      <c r="O25" s="1476">
        <f t="shared" si="116"/>
        <v>5.4000000000000003E-3</v>
      </c>
      <c r="P25" s="1476">
        <f t="shared" si="116"/>
        <v>4.7999999999999996E-3</v>
      </c>
      <c r="Q25" s="1476">
        <f t="shared" si="116"/>
        <v>9.300000000000001E-3</v>
      </c>
      <c r="R25" s="1469"/>
      <c r="S25" s="1475">
        <f>B25/B26-1</f>
        <v>5.9040261127922822E-3</v>
      </c>
      <c r="T25" s="1476">
        <f>C25/C26-1</f>
        <v>5.9752176557332781E-3</v>
      </c>
      <c r="U25" s="1476">
        <f>E25/E26-1</f>
        <v>4.9906138119859556E-3</v>
      </c>
      <c r="V25" s="1476">
        <f>F25/F26-1</f>
        <v>9.4305450930933787E-3</v>
      </c>
      <c r="X25" s="1454">
        <f>ROUND(SUMPRODUCT(PRODUCT(1+N25:N$28)),4)</f>
        <v>1.0399</v>
      </c>
      <c r="Y25" s="1454">
        <f>ROUND(SUMPRODUCT(PRODUCT(1+O25:O$28)),4)</f>
        <v>1.0451999999999999</v>
      </c>
      <c r="Z25" s="1454">
        <f t="shared" si="0"/>
        <v>1.0451999999999999</v>
      </c>
      <c r="AA25" s="1454">
        <f>ROUND(SUMPRODUCT(PRODUCT(1+P25:P$28)),4)</f>
        <v>1.0387999999999999</v>
      </c>
      <c r="AB25" s="1454">
        <f>ROUND(SUMPRODUCT(PRODUCT(1+Q25:Q$28)),4)</f>
        <v>1.0411999999999999</v>
      </c>
      <c r="AD25" s="1455">
        <f>ROUND(AVERAGE(I25:I$29)/100,4)</f>
        <v>1.38E-2</v>
      </c>
      <c r="AE25" s="1455">
        <f>ROUND(AVERAGE(J25:J$29)/100,4)</f>
        <v>1.3599999999999999E-2</v>
      </c>
      <c r="AF25" s="1455">
        <f t="shared" si="1"/>
        <v>1.3599999999999999E-2</v>
      </c>
      <c r="AG25" s="1455">
        <f>ROUND(AVERAGE(K25:K$29)/100,4)</f>
        <v>1.4200000000000001E-2</v>
      </c>
      <c r="AH25" s="1455">
        <f>ROUND(AVERAGE(L25:L$29)/100,4)</f>
        <v>1.0800000000000001E-2</v>
      </c>
    </row>
    <row r="26" spans="1:34" ht="13.5" thickBot="1">
      <c r="A26" s="1456" t="s">
        <v>147</v>
      </c>
      <c r="B26" s="1485">
        <v>318</v>
      </c>
      <c r="C26" s="1485">
        <v>268</v>
      </c>
      <c r="D26" s="1485">
        <f t="shared" si="119"/>
        <v>268</v>
      </c>
      <c r="E26" s="1485">
        <v>437</v>
      </c>
      <c r="F26" s="1486">
        <v>237</v>
      </c>
      <c r="G26" s="3454">
        <v>2014</v>
      </c>
      <c r="H26" s="1477">
        <v>4</v>
      </c>
      <c r="I26" s="1477">
        <v>0.21</v>
      </c>
      <c r="J26" s="1477">
        <v>0.41</v>
      </c>
      <c r="K26" s="1477">
        <v>0.12</v>
      </c>
      <c r="L26" s="1478">
        <v>0.89</v>
      </c>
      <c r="N26" s="1467">
        <f t="shared" si="121"/>
        <v>2.0999999999999999E-3</v>
      </c>
      <c r="O26" s="1468">
        <f t="shared" si="116"/>
        <v>4.0999999999999995E-3</v>
      </c>
      <c r="P26" s="1468">
        <f t="shared" si="116"/>
        <v>1.1999999999999999E-3</v>
      </c>
      <c r="Q26" s="1468">
        <f t="shared" si="116"/>
        <v>8.8999999999999999E-3</v>
      </c>
      <c r="R26" s="1469"/>
      <c r="S26" s="1470"/>
      <c r="T26" s="1471"/>
      <c r="U26" s="1471"/>
      <c r="V26" s="1471"/>
      <c r="X26" s="1454">
        <f>ROUND(SUMPRODUCT(PRODUCT(1+N26:N$28)),4)</f>
        <v>1.0347</v>
      </c>
      <c r="Y26" s="1454">
        <f>ROUND(SUMPRODUCT(PRODUCT(1+O26:O$28)),4)</f>
        <v>1.0395000000000001</v>
      </c>
      <c r="Z26" s="1454">
        <f t="shared" si="0"/>
        <v>1.0395000000000001</v>
      </c>
      <c r="AA26" s="1454">
        <f>ROUND(SUMPRODUCT(PRODUCT(1+P26:P$28)),4)</f>
        <v>1.0338000000000001</v>
      </c>
      <c r="AB26" s="1454">
        <f>ROUND(SUMPRODUCT(PRODUCT(1+Q26:Q$28)),4)</f>
        <v>1.0316000000000001</v>
      </c>
      <c r="AD26" s="1455">
        <f>ROUND(AVERAGE(I26:I$29)/100,4)</f>
        <v>1.6E-2</v>
      </c>
      <c r="AE26" s="1455">
        <f>ROUND(AVERAGE(J26:J$29)/100,4)</f>
        <v>1.5599999999999999E-2</v>
      </c>
      <c r="AF26" s="1455">
        <f t="shared" si="1"/>
        <v>1.5599999999999999E-2</v>
      </c>
      <c r="AG26" s="1455">
        <f>ROUND(AVERAGE(K26:K$29)/100,4)</f>
        <v>1.66E-2</v>
      </c>
      <c r="AH26" s="1455">
        <f>ROUND(AVERAGE(L26:L$29)/100,4)</f>
        <v>1.12E-2</v>
      </c>
    </row>
    <row r="27" spans="1:34">
      <c r="A27" s="1456" t="s">
        <v>146</v>
      </c>
      <c r="B27" s="1472">
        <f t="shared" ref="B27:C29" si="124">B26/(1+N26)</f>
        <v>317.33359944117353</v>
      </c>
      <c r="C27" s="1472">
        <f t="shared" si="124"/>
        <v>266.90568668459315</v>
      </c>
      <c r="D27" s="1472">
        <f t="shared" si="119"/>
        <v>266.90568668459315</v>
      </c>
      <c r="E27" s="1472">
        <f t="shared" ref="E27:F29" si="125">E26/(1+P26)</f>
        <v>436.47622852576905</v>
      </c>
      <c r="F27" s="1472">
        <f t="shared" si="125"/>
        <v>234.90930716622066</v>
      </c>
      <c r="G27" s="3455"/>
      <c r="H27" s="1487">
        <v>3</v>
      </c>
      <c r="I27" s="1487">
        <v>0.83</v>
      </c>
      <c r="J27" s="1487">
        <v>1.47</v>
      </c>
      <c r="K27" s="1487">
        <v>0.65</v>
      </c>
      <c r="L27" s="1488">
        <v>0.72</v>
      </c>
      <c r="N27" s="1467">
        <f t="shared" si="121"/>
        <v>8.3000000000000001E-3</v>
      </c>
      <c r="O27" s="1468">
        <f t="shared" si="116"/>
        <v>1.47E-2</v>
      </c>
      <c r="P27" s="1468">
        <f t="shared" si="116"/>
        <v>6.5000000000000006E-3</v>
      </c>
      <c r="Q27" s="1468">
        <f t="shared" si="116"/>
        <v>7.1999999999999998E-3</v>
      </c>
      <c r="R27" s="1469"/>
      <c r="S27" s="1467"/>
      <c r="T27" s="1468"/>
      <c r="U27" s="1468"/>
      <c r="V27" s="1468"/>
      <c r="X27" s="1454">
        <f>ROUND(SUMPRODUCT(PRODUCT(1+N27:N$28)),4)</f>
        <v>1.0325</v>
      </c>
      <c r="Y27" s="1454">
        <f>ROUND(SUMPRODUCT(PRODUCT(1+O27:O$28)),4)</f>
        <v>1.0353000000000001</v>
      </c>
      <c r="Z27" s="1454">
        <f t="shared" ref="Z27:Z28" si="126">Y27</f>
        <v>1.0353000000000001</v>
      </c>
      <c r="AA27" s="1454">
        <f>ROUND(SUMPRODUCT(PRODUCT(1+P27:P$28)),4)</f>
        <v>1.0326</v>
      </c>
      <c r="AB27" s="1454">
        <f>ROUND(SUMPRODUCT(PRODUCT(1+Q27:Q$28)),4)</f>
        <v>1.0225</v>
      </c>
      <c r="AD27" s="1455">
        <f>ROUND(AVERAGE(I27:I$29)/100,4)</f>
        <v>2.07E-2</v>
      </c>
      <c r="AE27" s="1455">
        <f>ROUND(AVERAGE(J27:J$29)/100,4)</f>
        <v>1.95E-2</v>
      </c>
      <c r="AF27" s="1455">
        <f t="shared" si="1"/>
        <v>1.95E-2</v>
      </c>
      <c r="AG27" s="1455">
        <f>ROUND(AVERAGE(K27:K$29)/100,4)</f>
        <v>2.1700000000000001E-2</v>
      </c>
      <c r="AH27" s="1455">
        <f>ROUND(AVERAGE(L27:L$29)/100,4)</f>
        <v>1.2E-2</v>
      </c>
    </row>
    <row r="28" spans="1:34" ht="13.5" thickBot="1">
      <c r="A28" s="1456" t="s">
        <v>145</v>
      </c>
      <c r="B28" s="1472">
        <f t="shared" si="124"/>
        <v>314.72141172386546</v>
      </c>
      <c r="C28" s="1472">
        <f t="shared" si="124"/>
        <v>263.03901319069001</v>
      </c>
      <c r="D28" s="1472">
        <f t="shared" si="119"/>
        <v>263.03901319069001</v>
      </c>
      <c r="E28" s="1472">
        <f t="shared" si="125"/>
        <v>433.65745506782821</v>
      </c>
      <c r="F28" s="1472">
        <f t="shared" si="125"/>
        <v>233.23005080045735</v>
      </c>
      <c r="G28" s="3455"/>
      <c r="H28" s="1477">
        <v>2</v>
      </c>
      <c r="I28" s="1477">
        <v>2.4</v>
      </c>
      <c r="J28" s="1477">
        <v>2.0299999999999998</v>
      </c>
      <c r="K28" s="1477">
        <v>2.59</v>
      </c>
      <c r="L28" s="1478">
        <v>1.52</v>
      </c>
      <c r="N28" s="1467">
        <f t="shared" si="121"/>
        <v>2.4E-2</v>
      </c>
      <c r="O28" s="1468">
        <f t="shared" si="116"/>
        <v>2.0299999999999999E-2</v>
      </c>
      <c r="P28" s="1468">
        <f t="shared" si="116"/>
        <v>2.5899999999999999E-2</v>
      </c>
      <c r="Q28" s="1468">
        <f t="shared" si="116"/>
        <v>1.52E-2</v>
      </c>
      <c r="R28" s="1469"/>
      <c r="S28" s="1467"/>
      <c r="T28" s="1468"/>
      <c r="U28" s="1468"/>
      <c r="V28" s="1468"/>
      <c r="X28" s="1454">
        <f>1+N28</f>
        <v>1.024</v>
      </c>
      <c r="Y28" s="1454">
        <f>1+O28</f>
        <v>1.0203</v>
      </c>
      <c r="Z28" s="1454">
        <f t="shared" si="126"/>
        <v>1.0203</v>
      </c>
      <c r="AA28" s="1454">
        <f>1+P28</f>
        <v>1.0259</v>
      </c>
      <c r="AB28" s="1454">
        <f>1+Q28</f>
        <v>1.0152000000000001</v>
      </c>
      <c r="AD28" s="1455">
        <f>ROUND(AVERAGE(I28:I$29)/100,4)</f>
        <v>2.69E-2</v>
      </c>
      <c r="AE28" s="1455">
        <f>ROUND(AVERAGE(J28:J$29)/100,4)</f>
        <v>2.1899999999999999E-2</v>
      </c>
      <c r="AF28" s="1455">
        <f t="shared" ref="AF28" si="127">AE28</f>
        <v>2.1899999999999999E-2</v>
      </c>
      <c r="AG28" s="1455">
        <f>ROUND(AVERAGE(K28:K$29)/100,4)</f>
        <v>2.9399999999999999E-2</v>
      </c>
      <c r="AH28" s="1455">
        <f>ROUND(AVERAGE(L28:L$29)/100,4)</f>
        <v>1.44E-2</v>
      </c>
    </row>
    <row r="29" spans="1:34" s="1493" customFormat="1" ht="13.5" thickBot="1">
      <c r="A29" s="1489" t="s">
        <v>144</v>
      </c>
      <c r="B29" s="1490">
        <f t="shared" si="124"/>
        <v>307.34512863658733</v>
      </c>
      <c r="C29" s="1490">
        <f t="shared" si="124"/>
        <v>257.80556031626975</v>
      </c>
      <c r="D29" s="1490">
        <f t="shared" si="119"/>
        <v>257.80556031626975</v>
      </c>
      <c r="E29" s="1490">
        <f t="shared" si="125"/>
        <v>422.70928459677179</v>
      </c>
      <c r="F29" s="1490">
        <f t="shared" si="125"/>
        <v>229.73803270336617</v>
      </c>
      <c r="G29" s="3456"/>
      <c r="H29" s="1491">
        <v>1</v>
      </c>
      <c r="I29" s="1491">
        <v>2.97</v>
      </c>
      <c r="J29" s="1491">
        <v>2.34</v>
      </c>
      <c r="K29" s="1491">
        <v>3.28</v>
      </c>
      <c r="L29" s="1492">
        <v>1.36</v>
      </c>
      <c r="N29" s="1494">
        <f t="shared" si="121"/>
        <v>2.9700000000000001E-2</v>
      </c>
      <c r="O29" s="1495">
        <f t="shared" si="116"/>
        <v>2.3399999999999997E-2</v>
      </c>
      <c r="P29" s="1495">
        <f t="shared" si="116"/>
        <v>3.2799999999999996E-2</v>
      </c>
      <c r="Q29" s="1495">
        <f t="shared" si="116"/>
        <v>1.3600000000000001E-2</v>
      </c>
      <c r="R29" s="1496"/>
      <c r="S29" s="1497">
        <f>B29/B30-1</f>
        <v>2.7910129219355539E-2</v>
      </c>
      <c r="T29" s="1498">
        <f>C29/C30-1</f>
        <v>2.3037937762975247E-2</v>
      </c>
      <c r="U29" s="1498">
        <f>E29/E30-1</f>
        <v>3.3519033243940788E-2</v>
      </c>
      <c r="V29" s="1498">
        <f>F29/F30-1</f>
        <v>1.2061818076502862E-2</v>
      </c>
      <c r="W29" s="1499" t="s">
        <v>1157</v>
      </c>
      <c r="X29" s="1500">
        <v>1</v>
      </c>
      <c r="Y29" s="1500">
        <v>1</v>
      </c>
      <c r="Z29" s="1500">
        <v>1</v>
      </c>
      <c r="AA29" s="1500">
        <v>1</v>
      </c>
      <c r="AB29" s="1500">
        <v>1</v>
      </c>
      <c r="AD29" s="1721">
        <f>I29/100</f>
        <v>2.9700000000000001E-2</v>
      </c>
      <c r="AE29" s="1721">
        <f>J29/100</f>
        <v>2.3399999999999997E-2</v>
      </c>
      <c r="AF29" s="1721">
        <f>AE29</f>
        <v>2.3399999999999997E-2</v>
      </c>
      <c r="AG29" s="1721">
        <f>K29/100</f>
        <v>3.2799999999999996E-2</v>
      </c>
      <c r="AH29" s="1721">
        <f>L29/100</f>
        <v>1.3600000000000001E-2</v>
      </c>
    </row>
    <row r="30" spans="1:34" ht="13.5" thickBot="1">
      <c r="A30" s="1456" t="s">
        <v>1158</v>
      </c>
      <c r="B30" s="1464">
        <v>299</v>
      </c>
      <c r="C30" s="1464">
        <v>252</v>
      </c>
      <c r="D30" s="1464">
        <f t="shared" si="119"/>
        <v>252</v>
      </c>
      <c r="E30" s="1464">
        <v>409</v>
      </c>
      <c r="F30" s="1465">
        <v>227</v>
      </c>
      <c r="G30" s="3461">
        <v>2013</v>
      </c>
      <c r="H30" s="1501">
        <v>4</v>
      </c>
      <c r="I30" s="1501">
        <v>1.83</v>
      </c>
      <c r="J30" s="1501">
        <v>1.68</v>
      </c>
      <c r="K30" s="1501">
        <v>1.97</v>
      </c>
      <c r="L30" s="1502">
        <v>0.87</v>
      </c>
      <c r="N30" s="1479">
        <f t="shared" si="121"/>
        <v>1.83E-2</v>
      </c>
      <c r="O30" s="1480">
        <f t="shared" si="116"/>
        <v>1.6799999999999999E-2</v>
      </c>
      <c r="P30" s="1480">
        <f t="shared" si="116"/>
        <v>1.9699999999999999E-2</v>
      </c>
      <c r="Q30" s="1480">
        <f t="shared" si="116"/>
        <v>8.6999999999999994E-3</v>
      </c>
      <c r="R30" s="1469"/>
      <c r="S30" s="1470"/>
      <c r="T30" s="1471"/>
      <c r="U30" s="1471"/>
      <c r="V30" s="1471"/>
      <c r="X30" s="1471"/>
      <c r="Y30" s="1471"/>
      <c r="Z30" s="1471"/>
    </row>
    <row r="31" spans="1:34">
      <c r="A31" s="1456" t="s">
        <v>1159</v>
      </c>
      <c r="B31" s="1472">
        <f t="shared" ref="B31:C33" si="128">B30/(1+N30)</f>
        <v>293.62663262299913</v>
      </c>
      <c r="C31" s="1472">
        <f t="shared" si="128"/>
        <v>247.83634933123525</v>
      </c>
      <c r="D31" s="1472">
        <f t="shared" si="119"/>
        <v>247.83634933123525</v>
      </c>
      <c r="E31" s="1472">
        <f t="shared" ref="E31:F33" si="129">E30/(1+P30)</f>
        <v>401.09836226341076</v>
      </c>
      <c r="F31" s="1472">
        <f t="shared" si="129"/>
        <v>225.04213343908003</v>
      </c>
      <c r="G31" s="3462"/>
      <c r="H31" s="1482">
        <v>3</v>
      </c>
      <c r="I31" s="1482">
        <v>1.86</v>
      </c>
      <c r="J31" s="1482">
        <v>1.72</v>
      </c>
      <c r="K31" s="1482">
        <v>1.98</v>
      </c>
      <c r="L31" s="1483">
        <v>0.88</v>
      </c>
      <c r="N31" s="1467">
        <f t="shared" si="121"/>
        <v>1.8600000000000002E-2</v>
      </c>
      <c r="O31" s="1484">
        <f t="shared" si="116"/>
        <v>1.72E-2</v>
      </c>
      <c r="P31" s="1484">
        <f t="shared" si="116"/>
        <v>1.9799999999999998E-2</v>
      </c>
      <c r="Q31" s="1484">
        <f t="shared" si="116"/>
        <v>8.8000000000000005E-3</v>
      </c>
      <c r="R31" s="1469"/>
      <c r="S31" s="1467"/>
      <c r="T31" s="1468"/>
      <c r="U31" s="1468"/>
      <c r="V31" s="1468"/>
    </row>
    <row r="32" spans="1:34">
      <c r="A32" s="1456" t="s">
        <v>1160</v>
      </c>
      <c r="B32" s="1472">
        <f t="shared" si="128"/>
        <v>288.2649053828776</v>
      </c>
      <c r="C32" s="1472">
        <f t="shared" si="128"/>
        <v>243.64564425013293</v>
      </c>
      <c r="D32" s="1472">
        <f t="shared" si="119"/>
        <v>243.64564425013293</v>
      </c>
      <c r="E32" s="1472">
        <f t="shared" si="129"/>
        <v>393.31080825986544</v>
      </c>
      <c r="F32" s="1472">
        <f t="shared" si="129"/>
        <v>223.07903790551154</v>
      </c>
      <c r="G32" s="3462"/>
      <c r="H32" s="1460">
        <v>2</v>
      </c>
      <c r="I32" s="1460">
        <v>2.04</v>
      </c>
      <c r="J32" s="1460">
        <v>2.33</v>
      </c>
      <c r="K32" s="1460">
        <v>2.0699999999999998</v>
      </c>
      <c r="L32" s="1474">
        <v>0.69</v>
      </c>
      <c r="N32" s="1467">
        <f t="shared" si="121"/>
        <v>2.0400000000000001E-2</v>
      </c>
      <c r="O32" s="1484">
        <f t="shared" si="116"/>
        <v>2.3300000000000001E-2</v>
      </c>
      <c r="P32" s="1484">
        <f t="shared" si="116"/>
        <v>2.07E-2</v>
      </c>
      <c r="Q32" s="1484">
        <f t="shared" si="116"/>
        <v>6.8999999999999999E-3</v>
      </c>
      <c r="R32" s="1469"/>
      <c r="S32" s="1467"/>
      <c r="T32" s="1468"/>
      <c r="U32" s="1468"/>
      <c r="V32" s="1468"/>
      <c r="X32" s="1503"/>
      <c r="Y32" s="1504"/>
    </row>
    <row r="33" spans="1:26">
      <c r="A33" s="1456" t="s">
        <v>1161</v>
      </c>
      <c r="B33" s="1472">
        <f t="shared" si="128"/>
        <v>282.50186729015837</v>
      </c>
      <c r="C33" s="1472">
        <f t="shared" si="128"/>
        <v>238.09796174155468</v>
      </c>
      <c r="D33" s="1472">
        <f t="shared" si="119"/>
        <v>238.09796174155468</v>
      </c>
      <c r="E33" s="1472">
        <f t="shared" si="129"/>
        <v>385.33438646014054</v>
      </c>
      <c r="F33" s="1472">
        <f t="shared" si="129"/>
        <v>221.55034055567739</v>
      </c>
      <c r="G33" s="3463"/>
      <c r="H33" s="1459">
        <v>1</v>
      </c>
      <c r="I33" s="1459">
        <v>1.67</v>
      </c>
      <c r="J33" s="1459">
        <v>1.31</v>
      </c>
      <c r="K33" s="1459">
        <v>1.85</v>
      </c>
      <c r="L33" s="1473">
        <v>0.96</v>
      </c>
      <c r="N33" s="1475">
        <f t="shared" si="121"/>
        <v>1.67E-2</v>
      </c>
      <c r="O33" s="1476">
        <f t="shared" si="121"/>
        <v>1.3100000000000001E-2</v>
      </c>
      <c r="P33" s="1476">
        <f t="shared" si="121"/>
        <v>1.8500000000000003E-2</v>
      </c>
      <c r="Q33" s="1476">
        <f t="shared" si="121"/>
        <v>9.5999999999999992E-3</v>
      </c>
      <c r="R33" s="1469"/>
      <c r="S33" s="1475">
        <f>B33/B34-1</f>
        <v>1.6193767230785472E-2</v>
      </c>
      <c r="T33" s="1476">
        <f>C33/C34-1</f>
        <v>1.7512657015190891E-2</v>
      </c>
      <c r="U33" s="1476">
        <f>E33/E34-1</f>
        <v>1.6713420739157048E-2</v>
      </c>
      <c r="V33" s="1476">
        <f>F33/F34-1</f>
        <v>7.0470025258062563E-3</v>
      </c>
      <c r="X33" s="1505"/>
      <c r="Y33" s="1455"/>
      <c r="Z33" s="1455"/>
    </row>
    <row r="34" spans="1:26" ht="13.5" thickBot="1">
      <c r="A34" s="1456" t="s">
        <v>1162</v>
      </c>
      <c r="B34" s="1506">
        <v>278</v>
      </c>
      <c r="C34" s="1506">
        <v>234</v>
      </c>
      <c r="D34" s="1506">
        <f t="shared" si="119"/>
        <v>234</v>
      </c>
      <c r="E34" s="1506">
        <v>379</v>
      </c>
      <c r="F34" s="1507">
        <v>220</v>
      </c>
      <c r="G34" s="3454">
        <v>2012</v>
      </c>
      <c r="H34" s="1477">
        <v>4</v>
      </c>
      <c r="I34" s="1477">
        <v>0.91</v>
      </c>
      <c r="J34" s="1477">
        <v>0.68</v>
      </c>
      <c r="K34" s="1477">
        <v>0.98</v>
      </c>
      <c r="L34" s="1478">
        <v>0.9</v>
      </c>
      <c r="N34" s="1467">
        <f t="shared" si="121"/>
        <v>9.1000000000000004E-3</v>
      </c>
      <c r="O34" s="1468">
        <f t="shared" si="121"/>
        <v>6.8000000000000005E-3</v>
      </c>
      <c r="P34" s="1468">
        <f t="shared" si="121"/>
        <v>9.7999999999999997E-3</v>
      </c>
      <c r="Q34" s="1468">
        <f t="shared" si="121"/>
        <v>9.0000000000000011E-3</v>
      </c>
      <c r="R34" s="1469"/>
      <c r="S34" s="1470"/>
      <c r="T34" s="1471"/>
      <c r="U34" s="1471"/>
      <c r="V34" s="1471"/>
      <c r="X34" s="1471"/>
      <c r="Y34" s="1471"/>
      <c r="Z34" s="1471"/>
    </row>
    <row r="35" spans="1:26">
      <c r="A35" s="1456" t="s">
        <v>1163</v>
      </c>
      <c r="B35" s="1472">
        <f>B34/(1+N34)</f>
        <v>275.49301357645425</v>
      </c>
      <c r="C35" s="1472">
        <f>C34/(1+O34)</f>
        <v>232.41954707985698</v>
      </c>
      <c r="D35" s="1472">
        <f t="shared" si="119"/>
        <v>232.41954707985698</v>
      </c>
      <c r="E35" s="1472">
        <f t="shared" ref="E35:F37" si="130">E34/(1+P34)</f>
        <v>375.32184591008121</v>
      </c>
      <c r="F35" s="1472">
        <f t="shared" si="130"/>
        <v>218.03766105054513</v>
      </c>
      <c r="G35" s="3455"/>
      <c r="H35" s="1482">
        <v>3</v>
      </c>
      <c r="I35" s="1482">
        <v>0.09</v>
      </c>
      <c r="J35" s="1482">
        <v>0.28999999999999998</v>
      </c>
      <c r="K35" s="1482">
        <v>-0.01</v>
      </c>
      <c r="L35" s="1483">
        <v>0.57999999999999996</v>
      </c>
      <c r="N35" s="1467">
        <f t="shared" si="121"/>
        <v>8.9999999999999998E-4</v>
      </c>
      <c r="O35" s="1468">
        <f t="shared" si="121"/>
        <v>2.8999999999999998E-3</v>
      </c>
      <c r="P35" s="1468">
        <f t="shared" si="121"/>
        <v>-1E-4</v>
      </c>
      <c r="Q35" s="1468">
        <f t="shared" si="121"/>
        <v>5.7999999999999996E-3</v>
      </c>
      <c r="R35" s="1469"/>
      <c r="S35" s="1467"/>
      <c r="T35" s="1468"/>
      <c r="U35" s="1468"/>
      <c r="V35" s="1468"/>
    </row>
    <row r="36" spans="1:26">
      <c r="A36" s="1456" t="s">
        <v>1164</v>
      </c>
      <c r="B36" s="1472">
        <f>B35/(1+N35)</f>
        <v>275.24529281292263</v>
      </c>
      <c r="C36" s="1472">
        <f>C35/(1+O35)</f>
        <v>231.74747938962707</v>
      </c>
      <c r="D36" s="1472">
        <f t="shared" si="119"/>
        <v>231.74747938962707</v>
      </c>
      <c r="E36" s="1472">
        <f t="shared" si="130"/>
        <v>375.35938184826603</v>
      </c>
      <c r="F36" s="1472">
        <f t="shared" si="130"/>
        <v>216.78033510692495</v>
      </c>
      <c r="G36" s="3455"/>
      <c r="H36" s="1460">
        <v>2</v>
      </c>
      <c r="I36" s="1460">
        <v>0.02</v>
      </c>
      <c r="J36" s="1460">
        <v>0.12</v>
      </c>
      <c r="K36" s="1460">
        <v>-0.08</v>
      </c>
      <c r="L36" s="1474">
        <v>1.24</v>
      </c>
      <c r="N36" s="1467">
        <f t="shared" si="121"/>
        <v>2.0000000000000001E-4</v>
      </c>
      <c r="O36" s="1468">
        <f t="shared" si="121"/>
        <v>1.1999999999999999E-3</v>
      </c>
      <c r="P36" s="1468">
        <f t="shared" si="121"/>
        <v>-8.0000000000000004E-4</v>
      </c>
      <c r="Q36" s="1468">
        <f t="shared" si="121"/>
        <v>1.24E-2</v>
      </c>
      <c r="R36" s="1469"/>
      <c r="S36" s="1467"/>
      <c r="T36" s="1468"/>
      <c r="U36" s="1468"/>
      <c r="V36" s="1468"/>
    </row>
    <row r="37" spans="1:26" ht="13.5" thickBot="1">
      <c r="A37" s="1456" t="s">
        <v>1165</v>
      </c>
      <c r="B37" s="1472">
        <f>B36/(1+N36)</f>
        <v>275.19025476197027</v>
      </c>
      <c r="C37" s="1508">
        <v>232</v>
      </c>
      <c r="D37" s="1508">
        <f t="shared" si="119"/>
        <v>232</v>
      </c>
      <c r="E37" s="1472">
        <f t="shared" si="130"/>
        <v>375.65990977608692</v>
      </c>
      <c r="F37" s="1472">
        <f t="shared" si="130"/>
        <v>214.12518283971252</v>
      </c>
      <c r="G37" s="3456"/>
      <c r="H37" s="1459">
        <v>1</v>
      </c>
      <c r="I37" s="1459">
        <v>0.02</v>
      </c>
      <c r="J37" s="1459">
        <v>0.13</v>
      </c>
      <c r="K37" s="1459">
        <v>-0.04</v>
      </c>
      <c r="L37" s="1473">
        <v>0.46</v>
      </c>
      <c r="N37" s="1467">
        <f t="shared" si="121"/>
        <v>2.0000000000000001E-4</v>
      </c>
      <c r="O37" s="1468">
        <f t="shared" si="121"/>
        <v>1.2999999999999999E-3</v>
      </c>
      <c r="P37" s="1468">
        <f t="shared" si="121"/>
        <v>-4.0000000000000002E-4</v>
      </c>
      <c r="Q37" s="1468">
        <f t="shared" si="121"/>
        <v>4.5999999999999999E-3</v>
      </c>
      <c r="R37" s="1469"/>
      <c r="S37" s="1475">
        <f>B37/B38-1</f>
        <v>6.9183549807361189E-4</v>
      </c>
      <c r="T37" s="1476">
        <f>C37/C38-1</f>
        <v>0</v>
      </c>
      <c r="U37" s="1476">
        <f>E37/E38-1</f>
        <v>-9.0449527636460303E-4</v>
      </c>
      <c r="V37" s="1476">
        <f>F37/F38-1</f>
        <v>5.2825485432512753E-3</v>
      </c>
      <c r="X37" s="1455"/>
      <c r="Y37" s="1455"/>
      <c r="Z37" s="1455"/>
    </row>
    <row r="38" spans="1:26" ht="13.5" thickBot="1">
      <c r="A38" s="1456" t="s">
        <v>1166</v>
      </c>
      <c r="B38" s="1464">
        <v>275</v>
      </c>
      <c r="C38" s="1464">
        <v>232</v>
      </c>
      <c r="D38" s="1464">
        <f t="shared" si="119"/>
        <v>232</v>
      </c>
      <c r="E38" s="1464">
        <v>376</v>
      </c>
      <c r="F38" s="1465">
        <v>213</v>
      </c>
      <c r="G38" s="3454">
        <v>2011</v>
      </c>
      <c r="H38" s="1477">
        <v>4</v>
      </c>
      <c r="I38" s="1477">
        <v>-0.2</v>
      </c>
      <c r="J38" s="1477">
        <v>0.04</v>
      </c>
      <c r="K38" s="1477">
        <v>-0.34</v>
      </c>
      <c r="L38" s="1478">
        <v>0.46</v>
      </c>
      <c r="N38" s="1479">
        <f t="shared" si="121"/>
        <v>-2E-3</v>
      </c>
      <c r="O38" s="1480">
        <f t="shared" si="121"/>
        <v>4.0000000000000002E-4</v>
      </c>
      <c r="P38" s="1480">
        <f t="shared" si="121"/>
        <v>-3.4000000000000002E-3</v>
      </c>
      <c r="Q38" s="1480">
        <f t="shared" si="121"/>
        <v>4.5999999999999999E-3</v>
      </c>
      <c r="R38" s="1469"/>
      <c r="S38" s="1470"/>
      <c r="T38" s="1471"/>
      <c r="U38" s="1471"/>
      <c r="V38" s="1471"/>
      <c r="X38" s="1471"/>
      <c r="Y38" s="1471"/>
      <c r="Z38" s="1471"/>
    </row>
    <row r="39" spans="1:26">
      <c r="A39" s="1456" t="s">
        <v>1167</v>
      </c>
      <c r="B39" s="1472">
        <f t="shared" ref="B39:C41" si="131">B38/(1+N38)</f>
        <v>275.55110220440883</v>
      </c>
      <c r="C39" s="1472">
        <f t="shared" si="131"/>
        <v>231.90723710515795</v>
      </c>
      <c r="D39" s="1472">
        <f t="shared" si="119"/>
        <v>231.90723710515795</v>
      </c>
      <c r="E39" s="1472">
        <f t="shared" ref="E39:F41" si="132">E38/(1+P38)</f>
        <v>377.28276138872161</v>
      </c>
      <c r="F39" s="1472">
        <f t="shared" si="132"/>
        <v>212.02468644236512</v>
      </c>
      <c r="G39" s="3455">
        <v>2011</v>
      </c>
      <c r="H39" s="1482">
        <v>3</v>
      </c>
      <c r="I39" s="1482">
        <v>0.13</v>
      </c>
      <c r="J39" s="1482">
        <v>0.75</v>
      </c>
      <c r="K39" s="1482">
        <v>-0.08</v>
      </c>
      <c r="L39" s="1483">
        <v>0.53</v>
      </c>
      <c r="N39" s="1467">
        <f t="shared" si="121"/>
        <v>1.2999999999999999E-3</v>
      </c>
      <c r="O39" s="1484">
        <f t="shared" si="121"/>
        <v>7.4999999999999997E-3</v>
      </c>
      <c r="P39" s="1484">
        <f t="shared" si="121"/>
        <v>-8.0000000000000004E-4</v>
      </c>
      <c r="Q39" s="1484">
        <f t="shared" si="121"/>
        <v>5.3E-3</v>
      </c>
      <c r="R39" s="1469"/>
      <c r="S39" s="1467"/>
      <c r="T39" s="1468"/>
      <c r="U39" s="1468"/>
      <c r="V39" s="1468"/>
    </row>
    <row r="40" spans="1:26">
      <c r="A40" s="1456" t="s">
        <v>1168</v>
      </c>
      <c r="B40" s="1472">
        <f t="shared" si="131"/>
        <v>275.19335084830601</v>
      </c>
      <c r="C40" s="1472">
        <f t="shared" si="131"/>
        <v>230.18088050139744</v>
      </c>
      <c r="D40" s="1472">
        <f t="shared" si="119"/>
        <v>230.18088050139744</v>
      </c>
      <c r="E40" s="1472">
        <f t="shared" si="132"/>
        <v>377.58482925212331</v>
      </c>
      <c r="F40" s="1472">
        <f t="shared" si="132"/>
        <v>210.90687997847917</v>
      </c>
      <c r="G40" s="3455">
        <v>2011</v>
      </c>
      <c r="H40" s="1460">
        <v>2</v>
      </c>
      <c r="I40" s="1460">
        <v>-0.4</v>
      </c>
      <c r="J40" s="1460">
        <v>0.17</v>
      </c>
      <c r="K40" s="1460">
        <v>-0.57999999999999996</v>
      </c>
      <c r="L40" s="1474">
        <v>-0.2</v>
      </c>
      <c r="N40" s="1467">
        <f t="shared" si="121"/>
        <v>-4.0000000000000001E-3</v>
      </c>
      <c r="O40" s="1484">
        <f t="shared" si="121"/>
        <v>1.7000000000000001E-3</v>
      </c>
      <c r="P40" s="1484">
        <f t="shared" si="121"/>
        <v>-5.7999999999999996E-3</v>
      </c>
      <c r="Q40" s="1484">
        <f t="shared" si="121"/>
        <v>-2E-3</v>
      </c>
      <c r="R40" s="1469"/>
      <c r="S40" s="1467"/>
      <c r="T40" s="1468"/>
      <c r="U40" s="1468"/>
      <c r="V40" s="1468"/>
    </row>
    <row r="41" spans="1:26" ht="13.5" thickBot="1">
      <c r="A41" s="1456" t="s">
        <v>1169</v>
      </c>
      <c r="B41" s="1472">
        <f t="shared" si="131"/>
        <v>276.29854502841971</v>
      </c>
      <c r="C41" s="1472">
        <f t="shared" si="131"/>
        <v>229.79023709833027</v>
      </c>
      <c r="D41" s="1472">
        <f t="shared" si="119"/>
        <v>229.79023709833027</v>
      </c>
      <c r="E41" s="1472">
        <f t="shared" si="132"/>
        <v>379.78759731655936</v>
      </c>
      <c r="F41" s="1472">
        <f t="shared" si="132"/>
        <v>211.32953905659235</v>
      </c>
      <c r="G41" s="3456">
        <v>2011</v>
      </c>
      <c r="H41" s="1459">
        <v>1</v>
      </c>
      <c r="I41" s="1459">
        <v>2.65</v>
      </c>
      <c r="J41" s="1459">
        <v>3.76</v>
      </c>
      <c r="K41" s="1459">
        <v>1.89</v>
      </c>
      <c r="L41" s="1473">
        <v>7.95</v>
      </c>
      <c r="N41" s="1475">
        <f t="shared" si="121"/>
        <v>2.6499999999999999E-2</v>
      </c>
      <c r="O41" s="1476">
        <f t="shared" si="121"/>
        <v>3.7599999999999995E-2</v>
      </c>
      <c r="P41" s="1476">
        <f t="shared" si="121"/>
        <v>1.89E-2</v>
      </c>
      <c r="Q41" s="1476">
        <f t="shared" si="121"/>
        <v>7.9500000000000001E-2</v>
      </c>
      <c r="R41" s="1469"/>
      <c r="S41" s="1475">
        <f>B41/B42-1</f>
        <v>2.713213765211786E-2</v>
      </c>
      <c r="T41" s="1476">
        <f>C41/C42-1</f>
        <v>3.9774828499231862E-2</v>
      </c>
      <c r="U41" s="1476">
        <f>E41/E42-1</f>
        <v>1.8197311840641772E-2</v>
      </c>
      <c r="V41" s="1476">
        <f>F41/F42-1</f>
        <v>7.8211933962205826E-2</v>
      </c>
      <c r="X41" s="1455"/>
      <c r="Y41" s="1455"/>
      <c r="Z41" s="1455"/>
    </row>
    <row r="42" spans="1:26" ht="13.5" thickBot="1">
      <c r="A42" s="1456" t="s">
        <v>1170</v>
      </c>
      <c r="B42" s="1464">
        <v>269</v>
      </c>
      <c r="C42" s="1464">
        <v>221</v>
      </c>
      <c r="D42" s="1464">
        <f t="shared" si="119"/>
        <v>221</v>
      </c>
      <c r="E42" s="1464">
        <v>373</v>
      </c>
      <c r="F42" s="1465">
        <v>196</v>
      </c>
      <c r="G42" s="3454">
        <v>2010</v>
      </c>
      <c r="H42" s="1477">
        <v>4</v>
      </c>
      <c r="I42" s="1477">
        <v>5.72</v>
      </c>
      <c r="J42" s="1477">
        <v>6.57</v>
      </c>
      <c r="K42" s="1477">
        <v>5.72</v>
      </c>
      <c r="L42" s="1478">
        <v>2.72</v>
      </c>
      <c r="N42" s="1467">
        <f t="shared" si="121"/>
        <v>5.7200000000000001E-2</v>
      </c>
      <c r="O42" s="1468">
        <f t="shared" si="121"/>
        <v>6.5700000000000008E-2</v>
      </c>
      <c r="P42" s="1468">
        <f t="shared" si="121"/>
        <v>5.7200000000000001E-2</v>
      </c>
      <c r="Q42" s="1468">
        <f t="shared" si="121"/>
        <v>2.7200000000000002E-2</v>
      </c>
      <c r="R42" s="1469"/>
      <c r="S42" s="1470"/>
      <c r="T42" s="1471"/>
      <c r="U42" s="1471"/>
      <c r="V42" s="1471"/>
      <c r="X42" s="1471"/>
      <c r="Y42" s="1471"/>
      <c r="Z42" s="1471"/>
    </row>
    <row r="43" spans="1:26">
      <c r="A43" s="1456" t="s">
        <v>1171</v>
      </c>
      <c r="B43" s="1472">
        <f t="shared" ref="B43:C45" si="133">B42/(1+N42)</f>
        <v>254.44570563753314</v>
      </c>
      <c r="C43" s="1472">
        <f t="shared" si="133"/>
        <v>207.37543398705074</v>
      </c>
      <c r="D43" s="1472">
        <f t="shared" si="119"/>
        <v>207.37543398705074</v>
      </c>
      <c r="E43" s="1472">
        <f t="shared" ref="E43:F45" si="134">E42/(1+P42)</f>
        <v>352.81876655315932</v>
      </c>
      <c r="F43" s="1472">
        <f t="shared" si="134"/>
        <v>190.809968847352</v>
      </c>
      <c r="G43" s="3455">
        <v>2010</v>
      </c>
      <c r="H43" s="1482">
        <v>3</v>
      </c>
      <c r="I43" s="1482">
        <v>4.7300000000000004</v>
      </c>
      <c r="J43" s="1482">
        <v>3.9</v>
      </c>
      <c r="K43" s="1482">
        <v>5.03</v>
      </c>
      <c r="L43" s="1483">
        <v>4.21</v>
      </c>
      <c r="N43" s="1467">
        <f t="shared" si="121"/>
        <v>4.7300000000000002E-2</v>
      </c>
      <c r="O43" s="1468">
        <f t="shared" si="121"/>
        <v>3.9E-2</v>
      </c>
      <c r="P43" s="1468">
        <f t="shared" si="121"/>
        <v>5.0300000000000004E-2</v>
      </c>
      <c r="Q43" s="1468">
        <f t="shared" si="121"/>
        <v>4.2099999999999999E-2</v>
      </c>
      <c r="R43" s="1469"/>
      <c r="S43" s="1467"/>
      <c r="T43" s="1468"/>
      <c r="U43" s="1468"/>
      <c r="V43" s="1468"/>
    </row>
    <row r="44" spans="1:26">
      <c r="A44" s="1456" t="s">
        <v>1172</v>
      </c>
      <c r="B44" s="1472">
        <f t="shared" si="133"/>
        <v>242.95398227588385</v>
      </c>
      <c r="C44" s="1472">
        <f t="shared" si="133"/>
        <v>199.59137053614126</v>
      </c>
      <c r="D44" s="1472">
        <f t="shared" si="119"/>
        <v>199.59137053614126</v>
      </c>
      <c r="E44" s="1472">
        <f t="shared" si="134"/>
        <v>335.92189522342125</v>
      </c>
      <c r="F44" s="1472">
        <f t="shared" si="134"/>
        <v>183.10139991109489</v>
      </c>
      <c r="G44" s="3455">
        <v>2010</v>
      </c>
      <c r="H44" s="1460">
        <v>2</v>
      </c>
      <c r="I44" s="1460">
        <v>4.6900000000000004</v>
      </c>
      <c r="J44" s="1460">
        <v>3.55</v>
      </c>
      <c r="K44" s="1460">
        <v>5.07</v>
      </c>
      <c r="L44" s="1474">
        <v>4.2300000000000004</v>
      </c>
      <c r="N44" s="1467">
        <f t="shared" si="121"/>
        <v>4.6900000000000004E-2</v>
      </c>
      <c r="O44" s="1468">
        <f t="shared" si="121"/>
        <v>3.5499999999999997E-2</v>
      </c>
      <c r="P44" s="1468">
        <f t="shared" si="121"/>
        <v>5.0700000000000002E-2</v>
      </c>
      <c r="Q44" s="1468">
        <f t="shared" si="121"/>
        <v>4.2300000000000004E-2</v>
      </c>
      <c r="R44" s="1469"/>
      <c r="S44" s="1467"/>
      <c r="T44" s="1468"/>
      <c r="U44" s="1468"/>
      <c r="V44" s="1468"/>
    </row>
    <row r="45" spans="1:26" ht="13.5" thickBot="1">
      <c r="A45" s="1456" t="s">
        <v>1173</v>
      </c>
      <c r="B45" s="1472">
        <f t="shared" si="133"/>
        <v>232.06990378821649</v>
      </c>
      <c r="C45" s="1472">
        <f t="shared" si="133"/>
        <v>192.74878854286936</v>
      </c>
      <c r="D45" s="1472">
        <f t="shared" si="119"/>
        <v>192.74878854286936</v>
      </c>
      <c r="E45" s="1472">
        <f t="shared" si="134"/>
        <v>319.71247284992984</v>
      </c>
      <c r="F45" s="1472">
        <f t="shared" si="134"/>
        <v>175.67053622862409</v>
      </c>
      <c r="G45" s="3456">
        <v>2010</v>
      </c>
      <c r="H45" s="1459">
        <v>1</v>
      </c>
      <c r="I45" s="1459">
        <v>5.4</v>
      </c>
      <c r="J45" s="1459">
        <v>3.2</v>
      </c>
      <c r="K45" s="1459">
        <v>6.16</v>
      </c>
      <c r="L45" s="1473">
        <v>4.51</v>
      </c>
      <c r="N45" s="1467">
        <f t="shared" si="121"/>
        <v>5.4000000000000006E-2</v>
      </c>
      <c r="O45" s="1468">
        <f t="shared" si="121"/>
        <v>3.2000000000000001E-2</v>
      </c>
      <c r="P45" s="1468">
        <f t="shared" si="121"/>
        <v>6.1600000000000002E-2</v>
      </c>
      <c r="Q45" s="1468">
        <f t="shared" si="121"/>
        <v>4.5100000000000001E-2</v>
      </c>
      <c r="R45" s="1469"/>
      <c r="S45" s="1475">
        <f>B45/B46-1</f>
        <v>5.4863199037347599E-2</v>
      </c>
      <c r="T45" s="1476">
        <f>C45/C46-1</f>
        <v>3.0742184721226584E-2</v>
      </c>
      <c r="U45" s="1476">
        <f>E45/E46-1</f>
        <v>6.2167683886810154E-2</v>
      </c>
      <c r="V45" s="1476">
        <f>F45/F46-1</f>
        <v>4.5657953741810031E-2</v>
      </c>
      <c r="X45" s="1455"/>
      <c r="Y45" s="1455"/>
      <c r="Z45" s="1455"/>
    </row>
    <row r="46" spans="1:26" ht="13.5" thickBot="1">
      <c r="A46" s="1456" t="s">
        <v>1174</v>
      </c>
      <c r="B46" s="1464">
        <v>220</v>
      </c>
      <c r="C46" s="1464">
        <v>187</v>
      </c>
      <c r="D46" s="1464">
        <f t="shared" si="119"/>
        <v>187</v>
      </c>
      <c r="E46" s="1464">
        <v>301</v>
      </c>
      <c r="F46" s="1465">
        <v>168</v>
      </c>
      <c r="G46" s="3454">
        <v>2009</v>
      </c>
      <c r="H46" s="1477">
        <v>4</v>
      </c>
      <c r="I46" s="1477">
        <v>2.2999999999999998</v>
      </c>
      <c r="J46" s="1477">
        <v>1.04</v>
      </c>
      <c r="K46" s="1477">
        <v>2.84</v>
      </c>
      <c r="L46" s="1478">
        <v>0.67</v>
      </c>
      <c r="N46" s="1479">
        <f t="shared" si="121"/>
        <v>2.3E-2</v>
      </c>
      <c r="O46" s="1480">
        <f t="shared" si="121"/>
        <v>1.04E-2</v>
      </c>
      <c r="P46" s="1480">
        <f t="shared" si="121"/>
        <v>2.8399999999999998E-2</v>
      </c>
      <c r="Q46" s="1480">
        <f t="shared" si="121"/>
        <v>6.7000000000000002E-3</v>
      </c>
      <c r="R46" s="1469"/>
      <c r="S46" s="1470"/>
      <c r="T46" s="1471"/>
      <c r="U46" s="1471"/>
      <c r="V46" s="1471"/>
      <c r="X46" s="1471"/>
      <c r="Y46" s="1471"/>
      <c r="Z46" s="1471"/>
    </row>
    <row r="47" spans="1:26">
      <c r="A47" s="1456" t="s">
        <v>1175</v>
      </c>
      <c r="B47" s="1472">
        <f t="shared" ref="B47:C49" si="135">B46/(1+N46)</f>
        <v>215.05376344086022</v>
      </c>
      <c r="C47" s="1472">
        <f t="shared" si="135"/>
        <v>185.0752177355503</v>
      </c>
      <c r="D47" s="1472">
        <f t="shared" si="119"/>
        <v>185.0752177355503</v>
      </c>
      <c r="E47" s="1472">
        <f t="shared" ref="E47:F49" si="136">E46/(1+P46)</f>
        <v>292.68767016725008</v>
      </c>
      <c r="F47" s="1472">
        <f t="shared" si="136"/>
        <v>166.88189132810174</v>
      </c>
      <c r="G47" s="3455">
        <v>2009</v>
      </c>
      <c r="H47" s="1482">
        <v>3</v>
      </c>
      <c r="I47" s="1482">
        <v>2.1</v>
      </c>
      <c r="J47" s="1482">
        <v>1.86</v>
      </c>
      <c r="K47" s="1482">
        <v>2.29</v>
      </c>
      <c r="L47" s="1483">
        <v>0.85</v>
      </c>
      <c r="N47" s="1467">
        <f t="shared" si="121"/>
        <v>2.1000000000000001E-2</v>
      </c>
      <c r="O47" s="1484">
        <f t="shared" si="121"/>
        <v>1.8600000000000002E-2</v>
      </c>
      <c r="P47" s="1484">
        <f t="shared" si="121"/>
        <v>2.29E-2</v>
      </c>
      <c r="Q47" s="1484">
        <f t="shared" si="121"/>
        <v>8.5000000000000006E-3</v>
      </c>
      <c r="R47" s="1469"/>
      <c r="S47" s="1467"/>
      <c r="T47" s="1468"/>
      <c r="U47" s="1468"/>
      <c r="V47" s="1468"/>
    </row>
    <row r="48" spans="1:26">
      <c r="A48" s="1456" t="s">
        <v>1176</v>
      </c>
      <c r="B48" s="1472">
        <f t="shared" si="135"/>
        <v>210.630522469011</v>
      </c>
      <c r="C48" s="1472">
        <f t="shared" si="135"/>
        <v>181.69567812247232</v>
      </c>
      <c r="D48" s="1472">
        <f t="shared" si="119"/>
        <v>181.69567812247232</v>
      </c>
      <c r="E48" s="1472">
        <f t="shared" si="136"/>
        <v>286.13517466736738</v>
      </c>
      <c r="F48" s="1472">
        <f t="shared" si="136"/>
        <v>165.47535084591149</v>
      </c>
      <c r="G48" s="3455">
        <v>2009</v>
      </c>
      <c r="H48" s="1460">
        <v>2</v>
      </c>
      <c r="I48" s="1460">
        <v>0.86</v>
      </c>
      <c r="J48" s="1460">
        <v>-1.1299999999999999</v>
      </c>
      <c r="K48" s="1460">
        <v>1.79</v>
      </c>
      <c r="L48" s="1474">
        <v>-2.0699999999999998</v>
      </c>
      <c r="N48" s="1467">
        <f t="shared" si="121"/>
        <v>8.6E-3</v>
      </c>
      <c r="O48" s="1484">
        <f t="shared" si="121"/>
        <v>-1.1299999999999999E-2</v>
      </c>
      <c r="P48" s="1484">
        <f t="shared" si="121"/>
        <v>1.7899999999999999E-2</v>
      </c>
      <c r="Q48" s="1484">
        <f t="shared" si="121"/>
        <v>-2.07E-2</v>
      </c>
      <c r="R48" s="1469"/>
      <c r="S48" s="1467"/>
      <c r="T48" s="1468"/>
      <c r="U48" s="1468"/>
      <c r="V48" s="1468"/>
    </row>
    <row r="49" spans="1:26">
      <c r="A49" s="1456" t="s">
        <v>1177</v>
      </c>
      <c r="B49" s="1472">
        <f t="shared" si="135"/>
        <v>208.83454537875372</v>
      </c>
      <c r="C49" s="1472">
        <f t="shared" si="135"/>
        <v>183.77230517090351</v>
      </c>
      <c r="D49" s="1472">
        <f t="shared" si="119"/>
        <v>183.77230517090351</v>
      </c>
      <c r="E49" s="1472">
        <f t="shared" si="136"/>
        <v>281.10342338870947</v>
      </c>
      <c r="F49" s="1472">
        <f t="shared" si="136"/>
        <v>168.97309388942256</v>
      </c>
      <c r="G49" s="3456">
        <v>2009</v>
      </c>
      <c r="H49" s="1459">
        <v>1</v>
      </c>
      <c r="I49" s="1459">
        <v>-2.64</v>
      </c>
      <c r="J49" s="1459">
        <v>-2.5299999999999998</v>
      </c>
      <c r="K49" s="1459">
        <v>-3.02</v>
      </c>
      <c r="L49" s="1473">
        <v>1.52</v>
      </c>
      <c r="N49" s="1475">
        <f t="shared" si="121"/>
        <v>-2.64E-2</v>
      </c>
      <c r="O49" s="1476">
        <f t="shared" si="121"/>
        <v>-2.53E-2</v>
      </c>
      <c r="P49" s="1476">
        <f t="shared" si="121"/>
        <v>-3.0200000000000001E-2</v>
      </c>
      <c r="Q49" s="1476">
        <f t="shared" si="121"/>
        <v>1.52E-2</v>
      </c>
      <c r="R49" s="1469"/>
      <c r="S49" s="1475">
        <f>B49/B50-1</f>
        <v>-2.4137638417038754E-2</v>
      </c>
      <c r="T49" s="1476">
        <f>C49/C50-1</f>
        <v>-2.248773845264096E-2</v>
      </c>
      <c r="U49" s="1476">
        <f>E49/E50-1</f>
        <v>-2.7323794502735366E-2</v>
      </c>
      <c r="V49" s="1476">
        <f>F49/F50-1</f>
        <v>1.7910204153148035E-2</v>
      </c>
      <c r="X49" s="1455"/>
      <c r="Y49" s="1455"/>
      <c r="Z49" s="1455"/>
    </row>
    <row r="50" spans="1:26" ht="13.5" thickBot="1">
      <c r="A50" s="1456" t="s">
        <v>1178</v>
      </c>
      <c r="B50" s="1506">
        <v>214</v>
      </c>
      <c r="C50" s="1506">
        <v>188</v>
      </c>
      <c r="D50" s="1506">
        <f t="shared" si="119"/>
        <v>188</v>
      </c>
      <c r="E50" s="1506">
        <v>289</v>
      </c>
      <c r="F50" s="1507">
        <v>166</v>
      </c>
      <c r="G50" s="3454">
        <v>2008</v>
      </c>
      <c r="H50" s="1477">
        <v>4</v>
      </c>
      <c r="I50" s="1477">
        <v>1.73</v>
      </c>
      <c r="J50" s="1477">
        <v>0.03</v>
      </c>
      <c r="K50" s="1477">
        <v>2.59</v>
      </c>
      <c r="L50" s="1478">
        <v>-1.66</v>
      </c>
      <c r="N50" s="1467">
        <f t="shared" si="121"/>
        <v>1.7299999999999999E-2</v>
      </c>
      <c r="O50" s="1468">
        <f t="shared" si="121"/>
        <v>2.9999999999999997E-4</v>
      </c>
      <c r="P50" s="1468">
        <f t="shared" si="121"/>
        <v>2.5899999999999999E-2</v>
      </c>
      <c r="Q50" s="1468">
        <f t="shared" si="121"/>
        <v>-1.66E-2</v>
      </c>
      <c r="R50" s="1469"/>
      <c r="S50" s="1470"/>
      <c r="T50" s="1471"/>
      <c r="U50" s="1471"/>
      <c r="V50" s="1471"/>
      <c r="X50" s="1471"/>
      <c r="Y50" s="1471"/>
      <c r="Z50" s="1471"/>
    </row>
    <row r="51" spans="1:26">
      <c r="A51" s="1456" t="s">
        <v>1179</v>
      </c>
      <c r="B51" s="1472">
        <f t="shared" ref="B51:C53" si="137">B50/(1+N50)</f>
        <v>210.36075887152265</v>
      </c>
      <c r="C51" s="1472">
        <f t="shared" si="137"/>
        <v>187.94361691492554</v>
      </c>
      <c r="D51" s="1472">
        <f t="shared" si="119"/>
        <v>187.94361691492554</v>
      </c>
      <c r="E51" s="1472">
        <f t="shared" ref="E51:F53" si="138">E50/(1+P50)</f>
        <v>281.70386977288234</v>
      </c>
      <c r="F51" s="1472">
        <f t="shared" si="138"/>
        <v>168.80211511083994</v>
      </c>
      <c r="G51" s="3455">
        <v>2008</v>
      </c>
      <c r="H51" s="1482">
        <v>3</v>
      </c>
      <c r="I51" s="1482">
        <v>1.96</v>
      </c>
      <c r="J51" s="1482">
        <v>2.36</v>
      </c>
      <c r="K51" s="1482">
        <v>1.82</v>
      </c>
      <c r="L51" s="1483">
        <v>2.2200000000000002</v>
      </c>
      <c r="N51" s="1467">
        <f t="shared" si="121"/>
        <v>1.9599999999999999E-2</v>
      </c>
      <c r="O51" s="1468">
        <f t="shared" si="121"/>
        <v>2.3599999999999999E-2</v>
      </c>
      <c r="P51" s="1468">
        <f t="shared" si="121"/>
        <v>1.8200000000000001E-2</v>
      </c>
      <c r="Q51" s="1468">
        <f t="shared" si="121"/>
        <v>2.2200000000000001E-2</v>
      </c>
      <c r="R51" s="1469"/>
      <c r="S51" s="1467"/>
      <c r="T51" s="1468"/>
      <c r="U51" s="1468"/>
      <c r="V51" s="1468"/>
    </row>
    <row r="52" spans="1:26">
      <c r="A52" s="1456" t="s">
        <v>1180</v>
      </c>
      <c r="B52" s="1472">
        <f t="shared" si="137"/>
        <v>206.31694671589116</v>
      </c>
      <c r="C52" s="1472">
        <f t="shared" si="137"/>
        <v>183.61041121036101</v>
      </c>
      <c r="D52" s="1472">
        <f t="shared" si="119"/>
        <v>183.61041121036101</v>
      </c>
      <c r="E52" s="1472">
        <f t="shared" si="138"/>
        <v>276.66850301795557</v>
      </c>
      <c r="F52" s="1472">
        <f t="shared" si="138"/>
        <v>165.1360938278614</v>
      </c>
      <c r="G52" s="3455">
        <v>2008</v>
      </c>
      <c r="H52" s="1460">
        <v>2</v>
      </c>
      <c r="I52" s="1460">
        <v>4.93</v>
      </c>
      <c r="J52" s="1460">
        <v>7.38</v>
      </c>
      <c r="K52" s="1460">
        <v>3.98</v>
      </c>
      <c r="L52" s="1474">
        <v>6.86</v>
      </c>
      <c r="N52" s="1467">
        <f t="shared" si="121"/>
        <v>4.9299999999999997E-2</v>
      </c>
      <c r="O52" s="1468">
        <f t="shared" si="121"/>
        <v>7.3800000000000004E-2</v>
      </c>
      <c r="P52" s="1468">
        <f t="shared" si="121"/>
        <v>3.9800000000000002E-2</v>
      </c>
      <c r="Q52" s="1468">
        <f t="shared" si="121"/>
        <v>6.8600000000000008E-2</v>
      </c>
      <c r="R52" s="1469"/>
      <c r="S52" s="1467"/>
      <c r="T52" s="1468"/>
      <c r="U52" s="1468"/>
      <c r="V52" s="1468"/>
    </row>
    <row r="53" spans="1:26" s="1512" customFormat="1" ht="13.5" thickBot="1">
      <c r="A53" s="1456" t="s">
        <v>1181</v>
      </c>
      <c r="B53" s="1509">
        <f t="shared" si="137"/>
        <v>196.62341248059772</v>
      </c>
      <c r="C53" s="1509">
        <f t="shared" si="137"/>
        <v>170.99125648199012</v>
      </c>
      <c r="D53" s="1509">
        <f t="shared" si="119"/>
        <v>170.99125648199012</v>
      </c>
      <c r="E53" s="1509">
        <f t="shared" si="138"/>
        <v>266.07857570490052</v>
      </c>
      <c r="F53" s="1509">
        <f t="shared" si="138"/>
        <v>154.53499328828505</v>
      </c>
      <c r="G53" s="3456">
        <v>2008</v>
      </c>
      <c r="H53" s="1510">
        <v>1</v>
      </c>
      <c r="I53" s="1510">
        <v>4.1399999999999997</v>
      </c>
      <c r="J53" s="1510">
        <v>3.45</v>
      </c>
      <c r="K53" s="1510">
        <v>4.95</v>
      </c>
      <c r="L53" s="1511">
        <v>4.82</v>
      </c>
      <c r="N53" s="1513">
        <f t="shared" si="121"/>
        <v>4.1399999999999999E-2</v>
      </c>
      <c r="O53" s="1514">
        <f t="shared" si="121"/>
        <v>3.4500000000000003E-2</v>
      </c>
      <c r="P53" s="1514">
        <f t="shared" si="121"/>
        <v>4.9500000000000002E-2</v>
      </c>
      <c r="Q53" s="1514">
        <f t="shared" si="121"/>
        <v>4.82E-2</v>
      </c>
      <c r="R53" s="1515"/>
      <c r="S53" s="1513">
        <f>B53/B54-1</f>
        <v>4.5869215322328349E-2</v>
      </c>
      <c r="T53" s="1514">
        <f>C53/C54-1</f>
        <v>3.6310645345394743E-2</v>
      </c>
      <c r="U53" s="1514">
        <f>E53/E54-1</f>
        <v>4.7553447657088688E-2</v>
      </c>
      <c r="V53" s="1514">
        <f>F53/F54-1</f>
        <v>4.4155360055980086E-2</v>
      </c>
      <c r="X53" s="1516"/>
      <c r="Y53" s="1516"/>
      <c r="Z53" s="1516"/>
    </row>
    <row r="54" spans="1:26" ht="13.5" thickBot="1">
      <c r="A54" s="1456" t="s">
        <v>1182</v>
      </c>
      <c r="B54" s="1464">
        <v>188</v>
      </c>
      <c r="C54" s="1464">
        <v>165</v>
      </c>
      <c r="D54" s="1464">
        <f t="shared" si="119"/>
        <v>165</v>
      </c>
      <c r="E54" s="1464">
        <v>254</v>
      </c>
      <c r="F54" s="1465">
        <v>148</v>
      </c>
      <c r="G54" s="3454">
        <v>2007</v>
      </c>
      <c r="H54" s="1517">
        <v>4</v>
      </c>
      <c r="I54" s="1517">
        <v>5.51</v>
      </c>
      <c r="J54" s="1517">
        <v>4.8899999999999997</v>
      </c>
      <c r="K54" s="1517">
        <v>6.43</v>
      </c>
      <c r="L54" s="1518">
        <v>5.36</v>
      </c>
      <c r="N54" s="1519">
        <f t="shared" ref="N54:O57" si="139">B54/B55-1</f>
        <v>4.1339718365245526E-2</v>
      </c>
      <c r="O54" s="1520">
        <f t="shared" si="139"/>
        <v>4.0324492593776018E-2</v>
      </c>
      <c r="P54" s="1520">
        <f t="shared" ref="P54:Q57" si="140">E54/E55-1</f>
        <v>6.1625555347990968E-2</v>
      </c>
      <c r="Q54" s="1520">
        <f t="shared" si="140"/>
        <v>4.6757569250590603E-2</v>
      </c>
      <c r="R54" s="1469"/>
      <c r="S54" s="1470"/>
      <c r="T54" s="1471"/>
      <c r="U54" s="1471"/>
      <c r="V54" s="1471"/>
      <c r="X54" s="1471"/>
      <c r="Y54" s="1471"/>
      <c r="Z54" s="1471"/>
    </row>
    <row r="55" spans="1:26">
      <c r="A55" s="1456" t="s">
        <v>1183</v>
      </c>
      <c r="B55" s="1472">
        <f t="shared" ref="B55:C57" si="141">B56+(B$54-B$58)*I55/SUM(I$54:I$57)</f>
        <v>180.5366651097618</v>
      </c>
      <c r="C55" s="1472">
        <f t="shared" si="141"/>
        <v>158.60435967302453</v>
      </c>
      <c r="D55" s="1472">
        <f t="shared" si="119"/>
        <v>158.60435967302453</v>
      </c>
      <c r="E55" s="1472">
        <f t="shared" ref="E55:F57" si="142">E56+(E$54-E$58)*K55/SUM(K$54:K$57)</f>
        <v>239.25573260785075</v>
      </c>
      <c r="F55" s="1472">
        <f t="shared" si="142"/>
        <v>141.38899430740037</v>
      </c>
      <c r="G55" s="3455">
        <v>2007</v>
      </c>
      <c r="H55" s="1482">
        <v>3</v>
      </c>
      <c r="I55" s="1482">
        <v>8.65</v>
      </c>
      <c r="J55" s="1482">
        <v>8.06</v>
      </c>
      <c r="K55" s="1482">
        <v>9.94</v>
      </c>
      <c r="L55" s="1483">
        <v>5.8</v>
      </c>
      <c r="N55" s="1519">
        <f t="shared" si="139"/>
        <v>6.940217571740015E-2</v>
      </c>
      <c r="O55" s="1520">
        <f t="shared" si="139"/>
        <v>7.1197482471153428E-2</v>
      </c>
      <c r="P55" s="1520">
        <f t="shared" si="140"/>
        <v>0.10529679922579582</v>
      </c>
      <c r="Q55" s="1520">
        <f t="shared" si="140"/>
        <v>5.3292245059512133E-2</v>
      </c>
      <c r="R55" s="1469"/>
      <c r="S55" s="1467"/>
      <c r="T55" s="1468"/>
      <c r="U55" s="1468"/>
      <c r="V55" s="1468"/>
      <c r="X55" s="1521"/>
      <c r="Y55" s="1521"/>
      <c r="Z55" s="1521"/>
    </row>
    <row r="56" spans="1:26">
      <c r="A56" s="1456" t="s">
        <v>1184</v>
      </c>
      <c r="B56" s="1472">
        <f t="shared" si="141"/>
        <v>168.82017748715555</v>
      </c>
      <c r="C56" s="1472">
        <f t="shared" si="141"/>
        <v>148.06267029972753</v>
      </c>
      <c r="D56" s="1472">
        <f t="shared" si="119"/>
        <v>148.06267029972753</v>
      </c>
      <c r="E56" s="1472">
        <f t="shared" si="142"/>
        <v>216.46288379323747</v>
      </c>
      <c r="F56" s="1472">
        <f t="shared" si="142"/>
        <v>134.23529411764704</v>
      </c>
      <c r="G56" s="3455">
        <v>2007</v>
      </c>
      <c r="H56" s="1460">
        <v>2</v>
      </c>
      <c r="I56" s="1460">
        <v>3.67</v>
      </c>
      <c r="J56" s="1460">
        <v>2.3199999999999998</v>
      </c>
      <c r="K56" s="1460">
        <v>5.0199999999999996</v>
      </c>
      <c r="L56" s="1474">
        <v>6.71</v>
      </c>
      <c r="N56" s="1519">
        <f t="shared" si="139"/>
        <v>3.0339138143848032E-2</v>
      </c>
      <c r="O56" s="1520">
        <f t="shared" si="139"/>
        <v>2.0922341588790472E-2</v>
      </c>
      <c r="P56" s="1520">
        <f t="shared" si="140"/>
        <v>5.6164796592717003E-2</v>
      </c>
      <c r="Q56" s="1520">
        <f t="shared" si="140"/>
        <v>6.5704536723887319E-2</v>
      </c>
      <c r="R56" s="1469"/>
      <c r="S56" s="1467"/>
      <c r="T56" s="1468"/>
      <c r="U56" s="1468"/>
      <c r="V56" s="1468"/>
      <c r="X56" s="1521"/>
      <c r="Y56" s="1521"/>
      <c r="Z56" s="1521"/>
    </row>
    <row r="57" spans="1:26">
      <c r="A57" s="1456" t="s">
        <v>1185</v>
      </c>
      <c r="B57" s="1472">
        <f t="shared" si="141"/>
        <v>163.84913591779542</v>
      </c>
      <c r="C57" s="1472">
        <f t="shared" si="141"/>
        <v>145.0283378746594</v>
      </c>
      <c r="D57" s="1472">
        <f t="shared" si="119"/>
        <v>145.0283378746594</v>
      </c>
      <c r="E57" s="1472">
        <f t="shared" si="142"/>
        <v>204.95180722891567</v>
      </c>
      <c r="F57" s="1472">
        <f t="shared" si="142"/>
        <v>125.95920303605313</v>
      </c>
      <c r="G57" s="3456">
        <v>2007</v>
      </c>
      <c r="H57" s="1459">
        <v>1</v>
      </c>
      <c r="I57" s="1459">
        <v>3.58</v>
      </c>
      <c r="J57" s="1459">
        <v>3.08</v>
      </c>
      <c r="K57" s="1459">
        <v>4.34</v>
      </c>
      <c r="L57" s="1473">
        <v>3.21</v>
      </c>
      <c r="N57" s="1522">
        <f t="shared" si="139"/>
        <v>3.0497710174814063E-2</v>
      </c>
      <c r="O57" s="1523">
        <f t="shared" si="139"/>
        <v>2.8569772160704998E-2</v>
      </c>
      <c r="P57" s="1523">
        <f t="shared" si="140"/>
        <v>5.1034908866234296E-2</v>
      </c>
      <c r="Q57" s="1523">
        <f t="shared" si="140"/>
        <v>3.245248390207478E-2</v>
      </c>
      <c r="R57" s="1469"/>
      <c r="S57" s="1475">
        <f>B57/B58-1</f>
        <v>3.0497710174814063E-2</v>
      </c>
      <c r="T57" s="1476">
        <f>C57/C58-1</f>
        <v>2.8569772160704998E-2</v>
      </c>
      <c r="U57" s="1476">
        <f>E57/E58-1</f>
        <v>5.1034908866234296E-2</v>
      </c>
      <c r="V57" s="1476">
        <f>F57/F58-1</f>
        <v>3.245248390207478E-2</v>
      </c>
      <c r="X57" s="1521"/>
      <c r="Y57" s="1521"/>
      <c r="Z57" s="1521"/>
    </row>
    <row r="58" spans="1:26" ht="13.5" thickBot="1">
      <c r="A58" s="1456" t="s">
        <v>1186</v>
      </c>
      <c r="B58" s="1485">
        <v>159</v>
      </c>
      <c r="C58" s="1485">
        <v>141</v>
      </c>
      <c r="D58" s="1485">
        <f t="shared" si="119"/>
        <v>141</v>
      </c>
      <c r="E58" s="1485">
        <v>195</v>
      </c>
      <c r="F58" s="1486">
        <v>122</v>
      </c>
      <c r="G58" s="3454">
        <v>2006</v>
      </c>
      <c r="H58" s="1477">
        <v>4</v>
      </c>
      <c r="I58" s="1477">
        <v>3.79</v>
      </c>
      <c r="J58" s="1477">
        <v>2.21</v>
      </c>
      <c r="K58" s="1477">
        <v>5.65</v>
      </c>
      <c r="L58" s="1478">
        <v>5.41</v>
      </c>
      <c r="N58" s="1519">
        <f t="shared" ref="N58:O61" si="143">I58/SUM(I$58:I$61)*(B$58/B$62-1)</f>
        <v>7.245466462748526E-2</v>
      </c>
      <c r="O58" s="1520">
        <f t="shared" si="143"/>
        <v>2.3237230038062766E-2</v>
      </c>
      <c r="P58" s="1520">
        <f t="shared" ref="P58:Q61" si="144">K58/SUM(K$58:K$61)*(E$58/E$62-1)</f>
        <v>0.16146893866323722</v>
      </c>
      <c r="Q58" s="1520">
        <f t="shared" si="144"/>
        <v>5.0755230321793784E-2</v>
      </c>
      <c r="R58" s="1469"/>
      <c r="S58" s="1470"/>
      <c r="T58" s="1471"/>
      <c r="U58" s="1471"/>
      <c r="V58" s="1471"/>
      <c r="X58" s="1521"/>
      <c r="Y58" s="1521"/>
      <c r="Z58" s="1521"/>
    </row>
    <row r="59" spans="1:26">
      <c r="A59" s="1456" t="s">
        <v>1187</v>
      </c>
      <c r="B59" s="1472">
        <f t="shared" ref="B59:C61" si="145">B60+(B$58-B$62)*I59/SUM(I$58:I$61)</f>
        <v>149.00125628140702</v>
      </c>
      <c r="C59" s="1472">
        <f t="shared" si="145"/>
        <v>137.95592286501378</v>
      </c>
      <c r="D59" s="1472">
        <f t="shared" si="119"/>
        <v>137.95592286501378</v>
      </c>
      <c r="E59" s="1472">
        <f t="shared" ref="E59:F61" si="146">E60+(E$58-E$62)*K59/SUM(K$58:K$61)</f>
        <v>169.97231450719823</v>
      </c>
      <c r="F59" s="1472">
        <f t="shared" si="146"/>
        <v>116.21390374331551</v>
      </c>
      <c r="G59" s="3455">
        <v>2006</v>
      </c>
      <c r="H59" s="1482">
        <v>3</v>
      </c>
      <c r="I59" s="1482">
        <v>0.92</v>
      </c>
      <c r="J59" s="1482">
        <v>1.08</v>
      </c>
      <c r="K59" s="1482">
        <v>0.73</v>
      </c>
      <c r="L59" s="1483">
        <v>1.08</v>
      </c>
      <c r="N59" s="1519">
        <f t="shared" si="143"/>
        <v>1.7587939698492462E-2</v>
      </c>
      <c r="O59" s="1520">
        <f t="shared" si="143"/>
        <v>1.1355750425840628E-2</v>
      </c>
      <c r="P59" s="1520">
        <f t="shared" si="144"/>
        <v>2.0862358446754544E-2</v>
      </c>
      <c r="Q59" s="1520">
        <f t="shared" si="144"/>
        <v>1.0132282578103011E-2</v>
      </c>
      <c r="R59" s="1469"/>
      <c r="S59" s="1467"/>
      <c r="T59" s="1468"/>
      <c r="U59" s="1468"/>
      <c r="V59" s="1468"/>
      <c r="X59" s="1521"/>
      <c r="Y59" s="1521"/>
      <c r="Z59" s="1521"/>
    </row>
    <row r="60" spans="1:26">
      <c r="A60" s="1456" t="s">
        <v>1188</v>
      </c>
      <c r="B60" s="1472">
        <f t="shared" si="145"/>
        <v>146.57412060301507</v>
      </c>
      <c r="C60" s="1472">
        <f t="shared" si="145"/>
        <v>136.46831955922866</v>
      </c>
      <c r="D60" s="1472">
        <f t="shared" si="119"/>
        <v>136.46831955922866</v>
      </c>
      <c r="E60" s="1472">
        <f t="shared" si="146"/>
        <v>166.73864894795128</v>
      </c>
      <c r="F60" s="1472">
        <f t="shared" si="146"/>
        <v>115.05882352941177</v>
      </c>
      <c r="G60" s="3455">
        <v>2006</v>
      </c>
      <c r="H60" s="1460">
        <v>2</v>
      </c>
      <c r="I60" s="1460">
        <v>0.96</v>
      </c>
      <c r="J60" s="1460">
        <v>0.25</v>
      </c>
      <c r="K60" s="1460">
        <v>1.9</v>
      </c>
      <c r="L60" s="1474">
        <v>0.95</v>
      </c>
      <c r="N60" s="1519">
        <f t="shared" si="143"/>
        <v>1.8352632728861701E-2</v>
      </c>
      <c r="O60" s="1520">
        <f t="shared" si="143"/>
        <v>2.6286459319075526E-3</v>
      </c>
      <c r="P60" s="1520">
        <f t="shared" si="144"/>
        <v>5.4299289107991269E-2</v>
      </c>
      <c r="Q60" s="1520">
        <f t="shared" si="144"/>
        <v>8.9126559714794995E-3</v>
      </c>
      <c r="R60" s="1469"/>
      <c r="S60" s="1467"/>
      <c r="T60" s="1468"/>
      <c r="U60" s="1468"/>
      <c r="V60" s="1468"/>
      <c r="X60" s="1521"/>
      <c r="Y60" s="1521"/>
      <c r="Z60" s="1521"/>
    </row>
    <row r="61" spans="1:26">
      <c r="A61" s="1456" t="s">
        <v>1189</v>
      </c>
      <c r="B61" s="1472">
        <f t="shared" si="145"/>
        <v>144.04145728643215</v>
      </c>
      <c r="C61" s="1472">
        <f t="shared" si="145"/>
        <v>136.12396694214877</v>
      </c>
      <c r="D61" s="1472">
        <f t="shared" si="119"/>
        <v>136.12396694214877</v>
      </c>
      <c r="E61" s="1472">
        <f t="shared" si="146"/>
        <v>158.32225913621264</v>
      </c>
      <c r="F61" s="1472">
        <f t="shared" si="146"/>
        <v>114.04278074866311</v>
      </c>
      <c r="G61" s="3456">
        <v>2006</v>
      </c>
      <c r="H61" s="1459">
        <v>1</v>
      </c>
      <c r="I61" s="1459">
        <v>2.29</v>
      </c>
      <c r="J61" s="1459">
        <v>3.72</v>
      </c>
      <c r="K61" s="1459">
        <v>0.75</v>
      </c>
      <c r="L61" s="1473">
        <v>0.04</v>
      </c>
      <c r="N61" s="1522">
        <f t="shared" si="143"/>
        <v>4.3778675988638847E-2</v>
      </c>
      <c r="O61" s="1523">
        <f t="shared" si="143"/>
        <v>3.9114251466784385E-2</v>
      </c>
      <c r="P61" s="1523">
        <f t="shared" si="144"/>
        <v>2.1433929911049188E-2</v>
      </c>
      <c r="Q61" s="1523">
        <f t="shared" si="144"/>
        <v>3.7526972511492629E-4</v>
      </c>
      <c r="R61" s="1469"/>
      <c r="S61" s="1475">
        <f>B61/B62-1</f>
        <v>4.3778675988638716E-2</v>
      </c>
      <c r="T61" s="1476">
        <f>C61/C62-1</f>
        <v>3.91142514667846E-2</v>
      </c>
      <c r="U61" s="1476">
        <f>E61/E62-1</f>
        <v>2.143392991104931E-2</v>
      </c>
      <c r="V61" s="1476">
        <f>F61/F62-1</f>
        <v>3.7526972511492396E-4</v>
      </c>
      <c r="X61" s="1521"/>
      <c r="Y61" s="1521"/>
      <c r="Z61" s="1521"/>
    </row>
    <row r="62" spans="1:26" ht="13.5" thickBot="1">
      <c r="A62" s="1456" t="s">
        <v>1190</v>
      </c>
      <c r="B62" s="1485">
        <v>138</v>
      </c>
      <c r="C62" s="1485">
        <v>131</v>
      </c>
      <c r="D62" s="1485">
        <f t="shared" si="119"/>
        <v>131</v>
      </c>
      <c r="E62" s="1485">
        <v>155</v>
      </c>
      <c r="F62" s="1486">
        <v>114</v>
      </c>
      <c r="G62" s="3454">
        <v>2005</v>
      </c>
      <c r="H62" s="1477">
        <v>4</v>
      </c>
      <c r="I62" s="1477">
        <v>3.29</v>
      </c>
      <c r="J62" s="1477">
        <v>1.44</v>
      </c>
      <c r="K62" s="1477">
        <v>0.66</v>
      </c>
      <c r="L62" s="1478">
        <v>7.78</v>
      </c>
      <c r="N62" s="1519">
        <f t="shared" ref="N62:O65" si="147">I62/SUM(I$62:I$65)*(B$62/B$66-1)</f>
        <v>9.9404603216919935E-2</v>
      </c>
      <c r="O62" s="1520">
        <f t="shared" si="147"/>
        <v>4.7636550760861554E-2</v>
      </c>
      <c r="P62" s="1520">
        <f t="shared" ref="P62:Q65" si="148">K62/SUM(K$62:K$65)*(E$62/E$66-1)</f>
        <v>8.3756345177664976E-2</v>
      </c>
      <c r="Q62" s="1520">
        <f t="shared" si="148"/>
        <v>5.2148766661559584E-2</v>
      </c>
      <c r="R62" s="1469"/>
      <c r="S62" s="1470"/>
      <c r="T62" s="1471"/>
      <c r="U62" s="1471"/>
      <c r="V62" s="1471"/>
      <c r="X62" s="1521"/>
      <c r="Y62" s="1521"/>
      <c r="Z62" s="1521"/>
    </row>
    <row r="63" spans="1:26">
      <c r="A63" s="1456" t="s">
        <v>1191</v>
      </c>
      <c r="B63" s="1472">
        <f t="shared" ref="B63:C65" si="149">B64+(B$62-B$66)*I63/SUM(I$62:I$65)</f>
        <v>125.9720430107527</v>
      </c>
      <c r="C63" s="1472">
        <f t="shared" si="149"/>
        <v>125.1883408071749</v>
      </c>
      <c r="D63" s="1472">
        <f t="shared" si="119"/>
        <v>125.1883408071749</v>
      </c>
      <c r="E63" s="1472">
        <f t="shared" ref="E63:F65" si="150">E64+(E$62-E$66)*K63/SUM(K$62:K$65)</f>
        <v>144.61421319796952</v>
      </c>
      <c r="F63" s="1472">
        <f t="shared" si="150"/>
        <v>108.42008196721311</v>
      </c>
      <c r="G63" s="3455">
        <v>2005</v>
      </c>
      <c r="H63" s="1482">
        <v>3</v>
      </c>
      <c r="I63" s="1482">
        <v>0.46</v>
      </c>
      <c r="J63" s="1482">
        <v>0.32</v>
      </c>
      <c r="K63" s="1482">
        <v>0.42</v>
      </c>
      <c r="L63" s="1483">
        <v>0.64</v>
      </c>
      <c r="N63" s="1519">
        <f t="shared" si="147"/>
        <v>1.3898515951301874E-2</v>
      </c>
      <c r="O63" s="1520">
        <f t="shared" si="147"/>
        <v>1.0585900169080346E-2</v>
      </c>
      <c r="P63" s="1520">
        <f t="shared" si="148"/>
        <v>5.3299492385786795E-2</v>
      </c>
      <c r="Q63" s="1520">
        <f t="shared" si="148"/>
        <v>4.2898728359123568E-3</v>
      </c>
      <c r="R63" s="1469"/>
      <c r="S63" s="1467"/>
      <c r="T63" s="1468"/>
      <c r="U63" s="1468"/>
      <c r="V63" s="1468"/>
      <c r="X63" s="1521"/>
      <c r="Y63" s="1521"/>
      <c r="Z63" s="1521"/>
    </row>
    <row r="64" spans="1:26">
      <c r="A64" s="1456" t="s">
        <v>1192</v>
      </c>
      <c r="B64" s="1472">
        <f t="shared" si="149"/>
        <v>124.29032258064517</v>
      </c>
      <c r="C64" s="1472">
        <f t="shared" si="149"/>
        <v>123.8968609865471</v>
      </c>
      <c r="D64" s="1472">
        <f t="shared" si="119"/>
        <v>123.8968609865471</v>
      </c>
      <c r="E64" s="1472">
        <f t="shared" si="150"/>
        <v>138.00507614213197</v>
      </c>
      <c r="F64" s="1472">
        <f t="shared" si="150"/>
        <v>107.96106557377048</v>
      </c>
      <c r="G64" s="3455">
        <v>2005</v>
      </c>
      <c r="H64" s="1460">
        <v>2</v>
      </c>
      <c r="I64" s="1460">
        <v>0.47</v>
      </c>
      <c r="J64" s="1460">
        <v>0.1</v>
      </c>
      <c r="K64" s="1460">
        <v>0.52</v>
      </c>
      <c r="L64" s="1474">
        <v>0.79</v>
      </c>
      <c r="N64" s="1519">
        <f t="shared" si="147"/>
        <v>1.420065760241713E-2</v>
      </c>
      <c r="O64" s="1520">
        <f t="shared" si="147"/>
        <v>3.3080938028376083E-3</v>
      </c>
      <c r="P64" s="1520">
        <f t="shared" si="148"/>
        <v>6.598984771573603E-2</v>
      </c>
      <c r="Q64" s="1520">
        <f t="shared" si="148"/>
        <v>5.2953117818293153E-3</v>
      </c>
      <c r="R64" s="1469"/>
      <c r="S64" s="1467"/>
      <c r="T64" s="1468"/>
      <c r="U64" s="1468"/>
      <c r="V64" s="1468"/>
      <c r="X64" s="1521"/>
      <c r="Y64" s="1521"/>
      <c r="Z64" s="1521"/>
    </row>
    <row r="65" spans="1:26">
      <c r="A65" s="1456" t="s">
        <v>1193</v>
      </c>
      <c r="B65" s="1472">
        <f t="shared" si="149"/>
        <v>122.57204301075269</v>
      </c>
      <c r="C65" s="1472">
        <f t="shared" si="149"/>
        <v>123.4932735426009</v>
      </c>
      <c r="D65" s="1472">
        <f t="shared" si="119"/>
        <v>123.4932735426009</v>
      </c>
      <c r="E65" s="1472">
        <f t="shared" si="150"/>
        <v>129.82233502538071</v>
      </c>
      <c r="F65" s="1472">
        <f t="shared" si="150"/>
        <v>107.39446721311475</v>
      </c>
      <c r="G65" s="3456">
        <v>2005</v>
      </c>
      <c r="H65" s="1459">
        <v>1</v>
      </c>
      <c r="I65" s="1459">
        <v>0.43</v>
      </c>
      <c r="J65" s="1459">
        <v>0.37</v>
      </c>
      <c r="K65" s="1459">
        <v>0.37</v>
      </c>
      <c r="L65" s="1473">
        <v>0.55000000000000004</v>
      </c>
      <c r="N65" s="1522">
        <f t="shared" si="147"/>
        <v>1.2992090997956099E-2</v>
      </c>
      <c r="O65" s="1523">
        <f t="shared" si="147"/>
        <v>1.2239947070499151E-2</v>
      </c>
      <c r="P65" s="1523">
        <f t="shared" si="148"/>
        <v>4.6954314720812178E-2</v>
      </c>
      <c r="Q65" s="1523">
        <f t="shared" si="148"/>
        <v>3.6866094683621815E-3</v>
      </c>
      <c r="R65" s="1469"/>
      <c r="S65" s="1475">
        <f>B65/B66-1</f>
        <v>1.2992090997956174E-2</v>
      </c>
      <c r="T65" s="1476">
        <f>C65/C66-1</f>
        <v>1.2239947070499246E-2</v>
      </c>
      <c r="U65" s="1476">
        <f>E65/E66-1</f>
        <v>4.695431472081224E-2</v>
      </c>
      <c r="V65" s="1476">
        <f>F65/F66-1</f>
        <v>3.6866094683620787E-3</v>
      </c>
      <c r="X65" s="1521"/>
      <c r="Y65" s="1521"/>
      <c r="Z65" s="1521"/>
    </row>
    <row r="66" spans="1:26" ht="13.5" thickBot="1">
      <c r="A66" s="1456" t="s">
        <v>1194</v>
      </c>
      <c r="B66" s="1506">
        <v>121</v>
      </c>
      <c r="C66" s="1506">
        <v>122</v>
      </c>
      <c r="D66" s="1506">
        <f t="shared" si="119"/>
        <v>122</v>
      </c>
      <c r="E66" s="1506">
        <v>124</v>
      </c>
      <c r="F66" s="1507">
        <v>107</v>
      </c>
      <c r="G66" s="3454">
        <v>2004</v>
      </c>
      <c r="H66" s="1477">
        <v>4</v>
      </c>
      <c r="I66" s="1477">
        <v>0.33</v>
      </c>
      <c r="J66" s="1477">
        <v>0.5</v>
      </c>
      <c r="K66" s="1477">
        <v>0.5</v>
      </c>
      <c r="L66" s="1478">
        <v>0</v>
      </c>
      <c r="N66" s="1519">
        <f t="shared" ref="N66:O69" si="151">I66/SUM(I$66:I$69)*(B$66/B$70-1)</f>
        <v>1.3391770148526898E-2</v>
      </c>
      <c r="O66" s="1520">
        <f t="shared" si="151"/>
        <v>1.063264221158958E-2</v>
      </c>
      <c r="P66" s="1520">
        <f t="shared" ref="P66:Q69" si="152">K66/SUM(K$66:K$69)*(E$66/E$70-1)</f>
        <v>2.2244466688911134E-2</v>
      </c>
      <c r="Q66" s="1520">
        <f t="shared" si="152"/>
        <v>0</v>
      </c>
      <c r="R66" s="1469"/>
      <c r="S66" s="1470"/>
      <c r="T66" s="1471"/>
      <c r="U66" s="1471"/>
      <c r="V66" s="1471"/>
      <c r="X66" s="1521"/>
      <c r="Y66" s="1521"/>
      <c r="Z66" s="1521"/>
    </row>
    <row r="67" spans="1:26">
      <c r="A67" s="1456" t="s">
        <v>1195</v>
      </c>
      <c r="B67" s="1472">
        <f t="shared" ref="B67:C69" si="153">B68+(B$66-B$70)*I67/SUM(I$66:I$69)</f>
        <v>119.51351351351352</v>
      </c>
      <c r="C67" s="1472">
        <f t="shared" si="153"/>
        <v>120.7878787878788</v>
      </c>
      <c r="D67" s="1472">
        <f t="shared" si="119"/>
        <v>120.7878787878788</v>
      </c>
      <c r="E67" s="1472">
        <f t="shared" ref="E67:F69" si="154">E68+(E$66-E$70)*K67/SUM(K$66:K$69)</f>
        <v>121.5975975975976</v>
      </c>
      <c r="F67" s="1472">
        <f t="shared" si="154"/>
        <v>107</v>
      </c>
      <c r="G67" s="3455">
        <v>2004</v>
      </c>
      <c r="H67" s="1482">
        <v>3</v>
      </c>
      <c r="I67" s="1482">
        <v>0.56000000000000005</v>
      </c>
      <c r="J67" s="1482">
        <v>0.8</v>
      </c>
      <c r="K67" s="1482">
        <v>0.83</v>
      </c>
      <c r="L67" s="1483">
        <v>0.06</v>
      </c>
      <c r="N67" s="1519">
        <f t="shared" si="151"/>
        <v>2.2725428130833527E-2</v>
      </c>
      <c r="O67" s="1520">
        <f t="shared" si="151"/>
        <v>1.7012227538543329E-2</v>
      </c>
      <c r="P67" s="1520">
        <f t="shared" si="152"/>
        <v>3.6925814703592477E-2</v>
      </c>
      <c r="Q67" s="1520">
        <f t="shared" si="152"/>
        <v>2.8846153846153744E-2</v>
      </c>
      <c r="R67" s="1469"/>
      <c r="S67" s="1467"/>
      <c r="T67" s="1468"/>
      <c r="U67" s="1468"/>
      <c r="V67" s="1468"/>
      <c r="X67" s="1521"/>
      <c r="Y67" s="1521"/>
      <c r="Z67" s="1521"/>
    </row>
    <row r="68" spans="1:26">
      <c r="A68" s="1456" t="s">
        <v>1196</v>
      </c>
      <c r="B68" s="1472">
        <f t="shared" si="153"/>
        <v>116.99099099099099</v>
      </c>
      <c r="C68" s="1472">
        <f t="shared" si="153"/>
        <v>118.84848484848486</v>
      </c>
      <c r="D68" s="1472">
        <f t="shared" si="119"/>
        <v>118.84848484848486</v>
      </c>
      <c r="E68" s="1472">
        <f t="shared" si="154"/>
        <v>117.60960960960961</v>
      </c>
      <c r="F68" s="1472">
        <f t="shared" si="154"/>
        <v>104</v>
      </c>
      <c r="G68" s="3455">
        <v>2004</v>
      </c>
      <c r="H68" s="1460">
        <v>2</v>
      </c>
      <c r="I68" s="1460">
        <v>1</v>
      </c>
      <c r="J68" s="1460">
        <v>1.5</v>
      </c>
      <c r="K68" s="1460">
        <v>1.5</v>
      </c>
      <c r="L68" s="1474">
        <v>0</v>
      </c>
      <c r="N68" s="1519">
        <f t="shared" si="151"/>
        <v>4.0581121662202721E-2</v>
      </c>
      <c r="O68" s="1520">
        <f t="shared" si="151"/>
        <v>3.1897926634768738E-2</v>
      </c>
      <c r="P68" s="1520">
        <f t="shared" si="152"/>
        <v>6.6733400066733395E-2</v>
      </c>
      <c r="Q68" s="1520">
        <f t="shared" si="152"/>
        <v>0</v>
      </c>
      <c r="R68" s="1469"/>
      <c r="S68" s="1467"/>
      <c r="T68" s="1468"/>
      <c r="U68" s="1468"/>
      <c r="V68" s="1468"/>
      <c r="X68" s="1521"/>
      <c r="Y68" s="1521"/>
      <c r="Z68" s="1521"/>
    </row>
    <row r="69" spans="1:26" s="1512" customFormat="1" ht="13.5" thickBot="1">
      <c r="A69" s="1456" t="s">
        <v>1197</v>
      </c>
      <c r="B69" s="1509">
        <f t="shared" si="153"/>
        <v>112.48648648648648</v>
      </c>
      <c r="C69" s="1509">
        <f t="shared" si="153"/>
        <v>115.21212121212122</v>
      </c>
      <c r="D69" s="1509">
        <f t="shared" si="119"/>
        <v>115.21212121212122</v>
      </c>
      <c r="E69" s="1509">
        <f t="shared" si="154"/>
        <v>110.4024024024024</v>
      </c>
      <c r="F69" s="1509">
        <f t="shared" si="154"/>
        <v>104</v>
      </c>
      <c r="G69" s="3456">
        <v>2004</v>
      </c>
      <c r="H69" s="1510">
        <v>1</v>
      </c>
      <c r="I69" s="1510">
        <v>0.33</v>
      </c>
      <c r="J69" s="1510">
        <v>0.5</v>
      </c>
      <c r="K69" s="1510">
        <v>0.5</v>
      </c>
      <c r="L69" s="1511">
        <v>0</v>
      </c>
      <c r="N69" s="1524">
        <f t="shared" si="151"/>
        <v>1.3391770148526898E-2</v>
      </c>
      <c r="O69" s="1525">
        <f t="shared" si="151"/>
        <v>1.063264221158958E-2</v>
      </c>
      <c r="P69" s="1525">
        <f t="shared" si="152"/>
        <v>2.2244466688911134E-2</v>
      </c>
      <c r="Q69" s="1525">
        <f t="shared" si="152"/>
        <v>0</v>
      </c>
      <c r="R69" s="1515"/>
      <c r="S69" s="1513">
        <f>B69/B70-1</f>
        <v>1.3391770148526883E-2</v>
      </c>
      <c r="T69" s="1514">
        <f>C69/C70-1</f>
        <v>1.063264221158966E-2</v>
      </c>
      <c r="U69" s="1514">
        <f>E69/E70-1</f>
        <v>2.2244466688911224E-2</v>
      </c>
      <c r="V69" s="1514">
        <f>F69/F70-1</f>
        <v>0</v>
      </c>
      <c r="X69" s="1526"/>
      <c r="Y69" s="1526"/>
      <c r="Z69" s="1526"/>
    </row>
    <row r="70" spans="1:26" ht="13.5" thickBot="1">
      <c r="A70" s="1456" t="s">
        <v>1198</v>
      </c>
      <c r="B70" s="1527">
        <v>111</v>
      </c>
      <c r="C70" s="1527">
        <v>114</v>
      </c>
      <c r="D70" s="1527">
        <f t="shared" si="119"/>
        <v>114</v>
      </c>
      <c r="E70" s="1527">
        <v>108</v>
      </c>
      <c r="F70" s="1528">
        <v>104</v>
      </c>
      <c r="G70" s="3454">
        <v>2003</v>
      </c>
      <c r="H70" s="1517">
        <v>4</v>
      </c>
      <c r="I70" s="1529"/>
      <c r="J70" s="1529"/>
      <c r="K70" s="1529"/>
      <c r="L70" s="1529"/>
      <c r="N70" s="1530"/>
      <c r="O70" s="1529"/>
      <c r="P70" s="1529"/>
      <c r="Q70" s="1529"/>
      <c r="S70" s="1530"/>
      <c r="T70" s="1529"/>
      <c r="U70" s="1529"/>
      <c r="V70" s="1529"/>
      <c r="X70" s="1521"/>
      <c r="Y70" s="1521"/>
      <c r="Z70" s="1521"/>
    </row>
    <row r="71" spans="1:26">
      <c r="A71" s="1456" t="s">
        <v>1199</v>
      </c>
      <c r="B71" s="1531">
        <f t="shared" ref="B71:C73" si="155">B72+(B$70-B$74)/4</f>
        <v>109.75</v>
      </c>
      <c r="C71" s="1531">
        <f t="shared" si="155"/>
        <v>112.25</v>
      </c>
      <c r="D71" s="1531">
        <f t="shared" si="119"/>
        <v>112.25</v>
      </c>
      <c r="E71" s="1531">
        <f t="shared" ref="E71:F73" si="156">E72+(E$70-E$74)/4</f>
        <v>107.25</v>
      </c>
      <c r="F71" s="1531">
        <f t="shared" si="156"/>
        <v>103.5</v>
      </c>
      <c r="G71" s="3455">
        <v>2003</v>
      </c>
      <c r="H71" s="1482">
        <v>3</v>
      </c>
      <c r="I71" s="1529"/>
      <c r="J71" s="1529"/>
      <c r="K71" s="1529"/>
      <c r="L71" s="1529"/>
      <c r="X71" s="1521"/>
      <c r="Y71" s="1521"/>
      <c r="Z71" s="1521"/>
    </row>
    <row r="72" spans="1:26">
      <c r="A72" s="1456" t="s">
        <v>1200</v>
      </c>
      <c r="B72" s="1531">
        <f t="shared" si="155"/>
        <v>108.5</v>
      </c>
      <c r="C72" s="1531">
        <f t="shared" si="155"/>
        <v>110.5</v>
      </c>
      <c r="D72" s="1531">
        <f t="shared" si="119"/>
        <v>110.5</v>
      </c>
      <c r="E72" s="1531">
        <f t="shared" si="156"/>
        <v>106.5</v>
      </c>
      <c r="F72" s="1531">
        <f t="shared" si="156"/>
        <v>103</v>
      </c>
      <c r="G72" s="3455">
        <v>2003</v>
      </c>
      <c r="H72" s="1460">
        <v>2</v>
      </c>
      <c r="I72" s="1529"/>
      <c r="J72" s="1529"/>
      <c r="K72" s="1529"/>
      <c r="L72" s="1529"/>
      <c r="X72" s="1521"/>
      <c r="Y72" s="1521"/>
      <c r="Z72" s="1521"/>
    </row>
    <row r="73" spans="1:26" ht="13.5" thickBot="1">
      <c r="A73" s="1456" t="s">
        <v>1201</v>
      </c>
      <c r="B73" s="1531">
        <f t="shared" si="155"/>
        <v>107.25</v>
      </c>
      <c r="C73" s="1531">
        <f t="shared" si="155"/>
        <v>108.75</v>
      </c>
      <c r="D73" s="1531">
        <f t="shared" si="119"/>
        <v>108.75</v>
      </c>
      <c r="E73" s="1531">
        <f t="shared" si="156"/>
        <v>105.75</v>
      </c>
      <c r="F73" s="1531">
        <f t="shared" si="156"/>
        <v>102.5</v>
      </c>
      <c r="G73" s="3456">
        <v>2003</v>
      </c>
      <c r="H73" s="1532">
        <v>1</v>
      </c>
      <c r="I73" s="1529"/>
      <c r="J73" s="1529"/>
      <c r="K73" s="1529"/>
      <c r="L73" s="1529"/>
      <c r="S73" s="1467"/>
      <c r="T73" s="1468"/>
      <c r="U73" s="1468"/>
      <c r="X73" s="1521"/>
      <c r="Y73" s="1521"/>
      <c r="Z73" s="1521"/>
    </row>
    <row r="74" spans="1:26" ht="13.5" thickBot="1">
      <c r="A74" s="1456" t="s">
        <v>1202</v>
      </c>
      <c r="B74" s="1533">
        <v>106</v>
      </c>
      <c r="C74" s="1533">
        <v>107</v>
      </c>
      <c r="D74" s="1533">
        <f t="shared" si="119"/>
        <v>107</v>
      </c>
      <c r="E74" s="1533">
        <v>105</v>
      </c>
      <c r="F74" s="1534">
        <v>102</v>
      </c>
      <c r="G74" s="3454">
        <v>2002</v>
      </c>
      <c r="H74" s="1477">
        <v>4</v>
      </c>
      <c r="I74" s="1529"/>
      <c r="J74" s="1529"/>
      <c r="K74" s="1529"/>
      <c r="L74" s="1529"/>
      <c r="N74" s="1530"/>
      <c r="O74" s="1529"/>
      <c r="P74" s="1529"/>
      <c r="Q74" s="1529"/>
      <c r="S74" s="1530"/>
      <c r="T74" s="1529"/>
      <c r="U74" s="1529"/>
      <c r="V74" s="1529"/>
      <c r="X74" s="1521"/>
      <c r="Y74" s="1521"/>
      <c r="Z74" s="1521"/>
    </row>
    <row r="75" spans="1:26">
      <c r="A75" s="1456" t="s">
        <v>1203</v>
      </c>
      <c r="B75" s="1531">
        <f t="shared" ref="B75:C77" si="157">B76+(B$74-B$78)/4</f>
        <v>105</v>
      </c>
      <c r="C75" s="1531">
        <f t="shared" si="157"/>
        <v>106</v>
      </c>
      <c r="D75" s="1531">
        <f t="shared" si="119"/>
        <v>106</v>
      </c>
      <c r="E75" s="1531">
        <f t="shared" ref="E75:F77" si="158">E76+(E$74-E$78)/4</f>
        <v>104.5</v>
      </c>
      <c r="F75" s="1531">
        <f t="shared" si="158"/>
        <v>101.5</v>
      </c>
      <c r="G75" s="3455">
        <v>2002</v>
      </c>
      <c r="H75" s="1482">
        <v>3</v>
      </c>
      <c r="I75" s="1529"/>
      <c r="J75" s="1529"/>
      <c r="K75" s="1529"/>
      <c r="L75" s="1529"/>
      <c r="X75" s="1521"/>
      <c r="Y75" s="1521"/>
      <c r="Z75" s="1521"/>
    </row>
    <row r="76" spans="1:26">
      <c r="A76" s="1456" t="s">
        <v>1204</v>
      </c>
      <c r="B76" s="1531">
        <f t="shared" si="157"/>
        <v>104</v>
      </c>
      <c r="C76" s="1531">
        <f t="shared" si="157"/>
        <v>105</v>
      </c>
      <c r="D76" s="1531">
        <f t="shared" si="119"/>
        <v>105</v>
      </c>
      <c r="E76" s="1531">
        <f t="shared" si="158"/>
        <v>104</v>
      </c>
      <c r="F76" s="1531">
        <f t="shared" si="158"/>
        <v>101</v>
      </c>
      <c r="G76" s="3455">
        <v>2002</v>
      </c>
      <c r="H76" s="1460">
        <v>2</v>
      </c>
      <c r="I76" s="1529"/>
      <c r="J76" s="1529"/>
      <c r="K76" s="1529"/>
      <c r="L76" s="1529"/>
      <c r="X76" s="1521"/>
      <c r="Y76" s="1521"/>
      <c r="Z76" s="1521"/>
    </row>
    <row r="77" spans="1:26" s="1493" customFormat="1" ht="13.5" thickBot="1">
      <c r="A77" s="1489" t="s">
        <v>1205</v>
      </c>
      <c r="B77" s="1535">
        <f t="shared" si="157"/>
        <v>103</v>
      </c>
      <c r="C77" s="1535">
        <f t="shared" si="157"/>
        <v>104</v>
      </c>
      <c r="D77" s="1535">
        <f t="shared" si="119"/>
        <v>104</v>
      </c>
      <c r="E77" s="1535">
        <f t="shared" si="158"/>
        <v>103.5</v>
      </c>
      <c r="F77" s="1535">
        <f t="shared" si="158"/>
        <v>100.5</v>
      </c>
      <c r="G77" s="3456">
        <v>2002</v>
      </c>
      <c r="H77" s="1536">
        <v>1</v>
      </c>
      <c r="I77" s="1537"/>
      <c r="J77" s="1537"/>
      <c r="K77" s="1537"/>
      <c r="L77" s="1537"/>
      <c r="N77" s="1538"/>
      <c r="S77" s="1538"/>
      <c r="X77" s="1539"/>
      <c r="Y77" s="1539"/>
      <c r="Z77" s="1539"/>
    </row>
    <row r="78" spans="1:26" ht="13.5" thickBot="1">
      <c r="B78" s="1540">
        <v>102</v>
      </c>
      <c r="C78" s="1541">
        <v>103</v>
      </c>
      <c r="D78" s="1541">
        <f t="shared" si="119"/>
        <v>103</v>
      </c>
      <c r="E78" s="1541">
        <v>103</v>
      </c>
      <c r="F78" s="1542">
        <v>100</v>
      </c>
      <c r="I78" s="1529"/>
      <c r="J78" s="1529"/>
      <c r="K78" s="1529"/>
      <c r="L78" s="1529"/>
      <c r="N78" s="1530"/>
      <c r="O78" s="1529"/>
      <c r="P78" s="1529"/>
      <c r="Q78" s="1529"/>
      <c r="S78" s="1530"/>
      <c r="T78" s="1529"/>
      <c r="U78" s="1529"/>
      <c r="V78" s="1529"/>
      <c r="X78" s="1471"/>
      <c r="Y78" s="1471"/>
      <c r="Z78" s="1471"/>
    </row>
    <row r="80" spans="1:26" s="1544" customFormat="1">
      <c r="A80" s="1543" t="s">
        <v>1206</v>
      </c>
      <c r="G80" s="1545"/>
      <c r="N80" s="1545"/>
      <c r="S80" s="1545"/>
    </row>
    <row r="81" spans="1:22" s="1544" customFormat="1">
      <c r="A81" s="1544" t="s">
        <v>1207</v>
      </c>
      <c r="G81" s="1545"/>
      <c r="N81" s="1545"/>
      <c r="S81" s="1545"/>
    </row>
    <row r="82" spans="1:22" s="1544" customFormat="1">
      <c r="A82" s="1544" t="s">
        <v>1208</v>
      </c>
      <c r="G82" s="1545"/>
      <c r="I82" s="1546"/>
      <c r="J82" s="1546"/>
      <c r="K82" s="1546"/>
      <c r="L82" s="1546"/>
      <c r="N82" s="1547"/>
      <c r="O82" s="1546"/>
      <c r="P82" s="1546"/>
      <c r="Q82" s="1546"/>
      <c r="S82" s="1547"/>
      <c r="T82" s="1546"/>
      <c r="U82" s="1546"/>
      <c r="V82" s="1546"/>
    </row>
    <row r="83" spans="1:22" s="1544" customFormat="1">
      <c r="A83" s="1544" t="s">
        <v>1209</v>
      </c>
      <c r="G83" s="1545"/>
      <c r="N83" s="1545"/>
      <c r="S83" s="1545"/>
    </row>
    <row r="90" spans="1:22" ht="13.5" thickBot="1"/>
    <row r="91" spans="1:22">
      <c r="G91" s="1466"/>
      <c r="S91" s="1548" t="s">
        <v>1210</v>
      </c>
      <c r="T91" s="1549" t="s">
        <v>1211</v>
      </c>
      <c r="U91" s="1549" t="s">
        <v>1212</v>
      </c>
      <c r="V91" s="1549" t="s">
        <v>1213</v>
      </c>
    </row>
    <row r="92" spans="1:22">
      <c r="G92" s="1466"/>
      <c r="N92" s="1470"/>
      <c r="O92" s="1471"/>
      <c r="P92" s="1471"/>
      <c r="Q92" s="1471"/>
      <c r="S92" s="1550">
        <v>2006</v>
      </c>
      <c r="T92" s="1551">
        <v>15.1</v>
      </c>
      <c r="U92" s="1551">
        <v>7.43</v>
      </c>
      <c r="V92" s="1551">
        <v>26.26</v>
      </c>
    </row>
    <row r="93" spans="1:22">
      <c r="G93" s="1466"/>
      <c r="N93" s="1470"/>
      <c r="O93" s="1471"/>
      <c r="P93" s="1471"/>
      <c r="Q93" s="1471"/>
      <c r="S93" s="1552">
        <v>2005</v>
      </c>
      <c r="T93" s="1553">
        <v>13.9</v>
      </c>
      <c r="U93" s="1553">
        <v>7.49</v>
      </c>
      <c r="V93" s="1553">
        <v>24.92</v>
      </c>
    </row>
    <row r="94" spans="1:22">
      <c r="G94" s="1466"/>
      <c r="N94" s="1470"/>
      <c r="O94" s="1471"/>
      <c r="P94" s="1471"/>
      <c r="Q94" s="1471"/>
      <c r="S94" s="1550">
        <v>2004</v>
      </c>
      <c r="T94" s="1551">
        <v>9.48</v>
      </c>
      <c r="U94" s="1551">
        <v>7.2</v>
      </c>
      <c r="V94" s="1551">
        <v>14.68</v>
      </c>
    </row>
    <row r="95" spans="1:22">
      <c r="G95" s="1466"/>
      <c r="N95" s="1470"/>
      <c r="O95" s="1471"/>
      <c r="P95" s="1471"/>
      <c r="Q95" s="1471"/>
      <c r="S95" s="1552">
        <v>2003</v>
      </c>
      <c r="T95" s="1553">
        <v>4.5</v>
      </c>
      <c r="U95" s="1553">
        <v>6.12</v>
      </c>
      <c r="V95" s="1553">
        <v>2.34</v>
      </c>
    </row>
    <row r="96" spans="1:22" ht="13.5" thickBot="1">
      <c r="G96" s="1466"/>
      <c r="N96" s="1470"/>
      <c r="O96" s="1471"/>
      <c r="P96" s="1471"/>
      <c r="Q96" s="1471"/>
      <c r="S96" s="1554">
        <v>2002</v>
      </c>
      <c r="T96" s="1555">
        <v>3.59</v>
      </c>
      <c r="U96" s="1555">
        <v>4.54</v>
      </c>
      <c r="V96" s="1555">
        <v>2.5499999999999998</v>
      </c>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row>
    <row r="102" spans="7:19">
      <c r="G102" s="1466"/>
      <c r="N102" s="1470"/>
      <c r="O102" s="1471"/>
      <c r="P102" s="1471"/>
      <c r="Q102" s="1471"/>
    </row>
    <row r="103" spans="7:19">
      <c r="G103" s="1466"/>
      <c r="N103" s="1470"/>
      <c r="O103" s="1471"/>
      <c r="P103" s="1471"/>
      <c r="Q103" s="1471"/>
    </row>
    <row r="104" spans="7:19">
      <c r="G104" s="1466"/>
      <c r="N104" s="1470"/>
      <c r="O104" s="1471"/>
      <c r="P104" s="1471"/>
      <c r="Q104" s="1471"/>
    </row>
    <row r="105" spans="7:19">
      <c r="G105" s="1466"/>
      <c r="N105" s="1470"/>
      <c r="O105" s="1471"/>
      <c r="P105" s="1471"/>
      <c r="Q105" s="1471"/>
    </row>
    <row r="106" spans="7:19">
      <c r="G106" s="1466"/>
      <c r="N106" s="1470"/>
      <c r="O106" s="1471"/>
      <c r="P106" s="1471"/>
      <c r="Q106" s="1471"/>
    </row>
    <row r="107" spans="7:19">
      <c r="G107" s="1466"/>
      <c r="N107" s="1470"/>
      <c r="O107" s="1471"/>
      <c r="P107" s="1471"/>
      <c r="Q107" s="1471"/>
      <c r="S107" s="1466"/>
    </row>
    <row r="108" spans="7:19">
      <c r="G108" s="1466"/>
      <c r="N108" s="1470"/>
      <c r="O108" s="1471"/>
      <c r="P108" s="1471"/>
      <c r="Q108" s="1471"/>
      <c r="S108" s="1466"/>
    </row>
    <row r="109" spans="7:19">
      <c r="G109" s="1466"/>
      <c r="N109" s="1470"/>
      <c r="O109" s="1471"/>
      <c r="P109" s="1471"/>
      <c r="Q109" s="1471"/>
      <c r="S109" s="1466"/>
    </row>
    <row r="110" spans="7:19">
      <c r="G110" s="1466"/>
      <c r="N110" s="1470"/>
      <c r="O110" s="1471"/>
      <c r="P110" s="1471"/>
      <c r="Q110" s="1471"/>
      <c r="S110" s="1466"/>
    </row>
    <row r="111" spans="7:19">
      <c r="G111" s="1466"/>
      <c r="N111" s="1470"/>
      <c r="O111" s="1471"/>
      <c r="P111" s="1471"/>
      <c r="Q111" s="1471"/>
      <c r="S111" s="1466"/>
    </row>
    <row r="112" spans="7:19">
      <c r="G112" s="1466"/>
      <c r="N112" s="1470"/>
      <c r="O112" s="1471"/>
      <c r="P112" s="1471"/>
      <c r="Q112" s="1471"/>
      <c r="S112" s="1466"/>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0" t="s">
        <v>2985</v>
      </c>
      <c r="C1" s="3466" t="s">
        <v>2986</v>
      </c>
      <c r="D1" s="3467"/>
      <c r="E1" s="3467"/>
      <c r="F1" s="3467"/>
      <c r="G1" s="3467"/>
      <c r="H1" s="3467"/>
      <c r="I1" s="3467"/>
      <c r="J1" s="3467"/>
      <c r="K1" s="3467"/>
      <c r="L1" s="3467"/>
      <c r="M1" s="3467"/>
      <c r="N1" s="3467"/>
      <c r="O1" s="3467"/>
      <c r="P1" s="3467"/>
      <c r="Q1" s="3467"/>
      <c r="R1" s="3467"/>
      <c r="S1" s="3468"/>
      <c r="T1" s="1200" t="s">
        <v>2987</v>
      </c>
    </row>
    <row r="2" spans="1:45" s="705" customFormat="1">
      <c r="A2" s="1201"/>
      <c r="B2" s="701" t="s">
        <v>2988</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2"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3"/>
      <c r="B3" s="706"/>
      <c r="C3" s="707"/>
      <c r="D3" s="708"/>
      <c r="E3" s="708"/>
      <c r="F3" s="1698"/>
      <c r="G3" s="1698"/>
      <c r="H3" s="1698"/>
      <c r="I3" s="1698"/>
      <c r="J3" s="1698"/>
      <c r="K3" s="1698"/>
      <c r="L3" s="1699"/>
      <c r="M3" s="1700"/>
      <c r="N3" s="1700"/>
      <c r="O3" s="1698"/>
      <c r="P3" s="1698"/>
      <c r="Q3" s="1698"/>
      <c r="R3" s="1698"/>
      <c r="S3" s="1701"/>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4"/>
      <c r="B4" s="1205"/>
      <c r="C4" s="1206"/>
      <c r="D4" s="1207"/>
      <c r="E4" s="1207"/>
      <c r="F4" s="1702"/>
      <c r="G4" s="1702"/>
      <c r="H4" s="1702"/>
      <c r="I4" s="1702"/>
      <c r="J4" s="1702"/>
      <c r="K4" s="1702"/>
      <c r="L4" s="1702"/>
      <c r="M4" s="1703"/>
      <c r="N4" s="1703"/>
      <c r="O4" s="1702"/>
      <c r="P4" s="1702"/>
      <c r="Q4" s="1702"/>
      <c r="R4" s="1702"/>
      <c r="S4" s="1704"/>
      <c r="T4" s="1210"/>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1"/>
      <c r="B5" s="1763" t="s">
        <v>2989</v>
      </c>
      <c r="C5" s="1212"/>
      <c r="D5" s="1213"/>
      <c r="E5" s="1213"/>
      <c r="F5" s="1705"/>
      <c r="G5" s="1705"/>
      <c r="H5" s="1705"/>
      <c r="I5" s="1705"/>
      <c r="J5" s="1705"/>
      <c r="K5" s="1705"/>
      <c r="L5" s="1706"/>
      <c r="M5" s="1707"/>
      <c r="N5" s="1707"/>
      <c r="O5" s="1705"/>
      <c r="P5" s="1705"/>
      <c r="Q5" s="1705"/>
      <c r="R5" s="1705"/>
      <c r="S5" s="1708"/>
      <c r="T5" s="1215"/>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11"/>
      <c r="B6" s="1112"/>
      <c r="C6" s="1118">
        <v>100</v>
      </c>
      <c r="D6" s="1115">
        <f>C6-$T5</f>
        <v>100</v>
      </c>
      <c r="E6" s="1115">
        <f t="shared" ref="E6:S6" si="7">D6-$T5</f>
        <v>100</v>
      </c>
      <c r="F6" s="1709">
        <f t="shared" si="7"/>
        <v>100</v>
      </c>
      <c r="G6" s="1709">
        <f t="shared" si="7"/>
        <v>100</v>
      </c>
      <c r="H6" s="1709">
        <f t="shared" si="7"/>
        <v>100</v>
      </c>
      <c r="I6" s="1709">
        <f t="shared" si="7"/>
        <v>100</v>
      </c>
      <c r="J6" s="1709">
        <f t="shared" si="7"/>
        <v>100</v>
      </c>
      <c r="K6" s="1709">
        <f t="shared" si="7"/>
        <v>100</v>
      </c>
      <c r="L6" s="1709">
        <f t="shared" si="7"/>
        <v>100</v>
      </c>
      <c r="M6" s="1709">
        <f t="shared" si="7"/>
        <v>100</v>
      </c>
      <c r="N6" s="1709">
        <f t="shared" si="7"/>
        <v>100</v>
      </c>
      <c r="O6" s="1709">
        <f t="shared" si="7"/>
        <v>100</v>
      </c>
      <c r="P6" s="1709">
        <f t="shared" si="7"/>
        <v>100</v>
      </c>
      <c r="Q6" s="1709">
        <f t="shared" si="7"/>
        <v>100</v>
      </c>
      <c r="R6" s="1709">
        <f t="shared" si="7"/>
        <v>100</v>
      </c>
      <c r="S6" s="1709">
        <f t="shared" si="7"/>
        <v>100</v>
      </c>
      <c r="T6" s="1114"/>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11"/>
      <c r="B7" s="1764" t="s">
        <v>2990</v>
      </c>
      <c r="C7" s="1117"/>
      <c r="D7" s="1111"/>
      <c r="E7" s="1111"/>
      <c r="F7" s="1710"/>
      <c r="G7" s="1710"/>
      <c r="H7" s="1710"/>
      <c r="I7" s="1710"/>
      <c r="J7" s="1710"/>
      <c r="K7" s="1710"/>
      <c r="L7" s="1710"/>
      <c r="M7" s="1711"/>
      <c r="N7" s="1712"/>
      <c r="O7" s="1713"/>
      <c r="P7" s="1714"/>
      <c r="Q7" s="1715"/>
      <c r="R7" s="1716"/>
      <c r="S7" s="1717"/>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11"/>
      <c r="B8" s="1112"/>
      <c r="C8" s="1118">
        <v>100</v>
      </c>
      <c r="D8" s="1115">
        <f>C8-$T7</f>
        <v>100</v>
      </c>
      <c r="E8" s="1115">
        <f t="shared" ref="E8:S8" si="8">D8-$T7</f>
        <v>100</v>
      </c>
      <c r="F8" s="1709">
        <f t="shared" si="8"/>
        <v>100</v>
      </c>
      <c r="G8" s="1709">
        <f t="shared" si="8"/>
        <v>100</v>
      </c>
      <c r="H8" s="1709">
        <f t="shared" si="8"/>
        <v>100</v>
      </c>
      <c r="I8" s="1709">
        <f t="shared" si="8"/>
        <v>100</v>
      </c>
      <c r="J8" s="1709">
        <f t="shared" si="8"/>
        <v>100</v>
      </c>
      <c r="K8" s="1709">
        <f t="shared" si="8"/>
        <v>100</v>
      </c>
      <c r="L8" s="1709">
        <f t="shared" si="8"/>
        <v>100</v>
      </c>
      <c r="M8" s="1709">
        <f t="shared" si="8"/>
        <v>100</v>
      </c>
      <c r="N8" s="1709">
        <f t="shared" si="8"/>
        <v>100</v>
      </c>
      <c r="O8" s="1709">
        <f t="shared" si="8"/>
        <v>100</v>
      </c>
      <c r="P8" s="1709">
        <f t="shared" si="8"/>
        <v>100</v>
      </c>
      <c r="Q8" s="1709">
        <f t="shared" si="8"/>
        <v>100</v>
      </c>
      <c r="R8" s="1709">
        <f t="shared" si="8"/>
        <v>100</v>
      </c>
      <c r="S8" s="1709">
        <f t="shared" si="8"/>
        <v>100</v>
      </c>
      <c r="T8" s="1114"/>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11"/>
      <c r="B9" s="1764" t="s">
        <v>2991</v>
      </c>
      <c r="C9" s="1117"/>
      <c r="D9" s="1111"/>
      <c r="E9" s="1111"/>
      <c r="F9" s="1710"/>
      <c r="G9" s="1710"/>
      <c r="H9" s="1710"/>
      <c r="I9" s="1710"/>
      <c r="J9" s="1710"/>
      <c r="K9" s="1710"/>
      <c r="L9" s="1718"/>
      <c r="M9" s="1711"/>
      <c r="N9" s="1712"/>
      <c r="O9" s="1713"/>
      <c r="P9" s="1714"/>
      <c r="Q9" s="1715"/>
      <c r="R9" s="1716"/>
      <c r="S9" s="1717"/>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thickBot="1">
      <c r="A10" s="1211"/>
      <c r="B10" s="1205"/>
      <c r="C10" s="1216">
        <v>100</v>
      </c>
      <c r="D10" s="1217">
        <f>C10-$T9</f>
        <v>100</v>
      </c>
      <c r="E10" s="1217">
        <f t="shared" ref="E10:S10" si="9">D10-$T9</f>
        <v>100</v>
      </c>
      <c r="F10" s="1719">
        <f t="shared" si="9"/>
        <v>100</v>
      </c>
      <c r="G10" s="1719">
        <f t="shared" si="9"/>
        <v>100</v>
      </c>
      <c r="H10" s="1719">
        <f t="shared" si="9"/>
        <v>100</v>
      </c>
      <c r="I10" s="1719">
        <f t="shared" si="9"/>
        <v>100</v>
      </c>
      <c r="J10" s="1719">
        <f t="shared" si="9"/>
        <v>100</v>
      </c>
      <c r="K10" s="1719">
        <f t="shared" si="9"/>
        <v>100</v>
      </c>
      <c r="L10" s="1719">
        <f t="shared" si="9"/>
        <v>100</v>
      </c>
      <c r="M10" s="1719">
        <f t="shared" si="9"/>
        <v>100</v>
      </c>
      <c r="N10" s="1719">
        <f t="shared" si="9"/>
        <v>100</v>
      </c>
      <c r="O10" s="1719">
        <f t="shared" si="9"/>
        <v>100</v>
      </c>
      <c r="P10" s="1719">
        <f t="shared" si="9"/>
        <v>100</v>
      </c>
      <c r="Q10" s="1719">
        <f t="shared" si="9"/>
        <v>100</v>
      </c>
      <c r="R10" s="1719">
        <f t="shared" si="9"/>
        <v>100</v>
      </c>
      <c r="S10" s="1719">
        <f t="shared" si="9"/>
        <v>100</v>
      </c>
      <c r="T10" s="1210"/>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11"/>
      <c r="B11" s="1763" t="s">
        <v>2992</v>
      </c>
      <c r="C11" s="1212"/>
      <c r="D11" s="1213"/>
      <c r="E11" s="1213"/>
      <c r="F11" s="1213"/>
      <c r="G11" s="1213"/>
      <c r="H11" s="1213"/>
      <c r="I11" s="1213"/>
      <c r="J11" s="1213"/>
      <c r="K11" s="1213"/>
      <c r="L11" s="1213"/>
      <c r="M11" s="1214"/>
      <c r="N11" s="1218"/>
      <c r="O11" s="1219"/>
      <c r="P11" s="1220"/>
      <c r="Q11" s="1221"/>
      <c r="R11" s="1222"/>
      <c r="S11" s="1223"/>
      <c r="T11" s="1215"/>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11"/>
      <c r="B13" s="1763" t="s">
        <v>2993</v>
      </c>
      <c r="C13" s="1212"/>
      <c r="D13" s="1213"/>
      <c r="E13" s="1213"/>
      <c r="F13" s="1213"/>
      <c r="G13" s="1213"/>
      <c r="H13" s="1213"/>
      <c r="I13" s="1213"/>
      <c r="J13" s="1213"/>
      <c r="K13" s="1213"/>
      <c r="L13" s="1213"/>
      <c r="M13" s="1214"/>
      <c r="N13" s="1218"/>
      <c r="O13" s="1219"/>
      <c r="P13" s="1220"/>
      <c r="Q13" s="1221"/>
      <c r="R13" s="1222"/>
      <c r="S13" s="1223"/>
      <c r="T13" s="1224"/>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11"/>
      <c r="B15" s="1763" t="s">
        <v>2994</v>
      </c>
      <c r="C15" s="1212"/>
      <c r="D15" s="1213"/>
      <c r="E15" s="1213"/>
      <c r="F15" s="1213"/>
      <c r="G15" s="1213"/>
      <c r="H15" s="1213"/>
      <c r="I15" s="1213"/>
      <c r="J15" s="1213"/>
      <c r="K15" s="1213"/>
      <c r="L15" s="1213"/>
      <c r="M15" s="1214"/>
      <c r="N15" s="1218"/>
      <c r="O15" s="1219"/>
      <c r="P15" s="1220"/>
      <c r="Q15" s="1221"/>
      <c r="R15" s="1222"/>
      <c r="S15" s="1223"/>
      <c r="T15" s="1224"/>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892" t="s">
        <v>2995</v>
      </c>
      <c r="B17" s="2893" t="s">
        <v>2996</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4"/>
      <c r="AS17" s="794"/>
    </row>
    <row r="18" spans="1:45" s="705"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4"/>
      <c r="AS18" s="794"/>
    </row>
    <row r="19" spans="1:45">
      <c r="A19" s="136"/>
      <c r="B19" s="166"/>
      <c r="C19" s="166"/>
      <c r="D19" s="2894" t="s">
        <v>2997</v>
      </c>
      <c r="E19" s="1786"/>
      <c r="F19" s="1786"/>
      <c r="G19" s="1786"/>
      <c r="H19" s="1276"/>
      <c r="I19" s="166"/>
      <c r="J19" s="166"/>
      <c r="K19" s="166"/>
      <c r="L19" s="166"/>
      <c r="M19" s="166"/>
      <c r="N19" s="166"/>
      <c r="O19" s="166"/>
      <c r="P19" s="166"/>
      <c r="Q19" s="166"/>
      <c r="R19" s="786"/>
      <c r="S19" s="136"/>
    </row>
    <row r="20" spans="1:45" ht="16.5" thickBot="1">
      <c r="A20" s="713" t="s">
        <v>2998</v>
      </c>
      <c r="B20" s="336" t="e">
        <f ca="1">IF(D20="——",S22,S22-F20)</f>
        <v>#REF!</v>
      </c>
      <c r="C20" s="166"/>
      <c r="D20" s="2895" t="s">
        <v>2999</v>
      </c>
      <c r="E20" s="1787"/>
      <c r="F20" s="1200" t="e">
        <f ca="1">SUMIF(INDIRECT("'"&amp;H20&amp;"'"&amp;"!A:A"),"承租人权益价值",INDIRECT("'"&amp;H20&amp;"'"&amp;"!c:c"))</f>
        <v>#REF!</v>
      </c>
      <c r="G20" s="1200" t="s">
        <v>3000</v>
      </c>
      <c r="H20" s="2896"/>
      <c r="I20" s="166"/>
      <c r="J20" s="166"/>
      <c r="K20" s="166"/>
      <c r="L20" s="166"/>
      <c r="M20" s="166"/>
      <c r="N20" s="166"/>
      <c r="O20" s="166"/>
      <c r="P20" s="166"/>
      <c r="Q20" s="166"/>
      <c r="R20" s="786"/>
      <c r="S20" s="136"/>
    </row>
    <row r="21" spans="1:45" ht="15.75">
      <c r="A21" s="713" t="s">
        <v>3001</v>
      </c>
      <c r="B21" s="336">
        <f>R22</f>
        <v>10000</v>
      </c>
      <c r="C21" s="166"/>
      <c r="D21" s="166"/>
      <c r="E21" s="166"/>
      <c r="F21" s="166"/>
      <c r="G21" s="166"/>
      <c r="H21" s="166"/>
      <c r="I21" s="166"/>
      <c r="J21" s="166"/>
      <c r="K21" s="166"/>
      <c r="L21" s="166"/>
      <c r="M21" s="166"/>
      <c r="N21" s="166"/>
      <c r="O21" s="166"/>
      <c r="P21" s="166"/>
      <c r="Q21" s="166"/>
      <c r="R21" s="786"/>
      <c r="S21" s="136"/>
    </row>
    <row r="22" spans="1:45">
      <c r="A22" s="359" t="s">
        <v>3002</v>
      </c>
      <c r="B22" s="24">
        <f>SUM(B24:B10000)</f>
        <v>100</v>
      </c>
      <c r="C22" s="3325" t="s">
        <v>33</v>
      </c>
      <c r="D22" s="3326"/>
      <c r="E22" s="3326"/>
      <c r="F22" s="3326"/>
      <c r="G22" s="3326"/>
      <c r="H22" s="3326"/>
      <c r="I22" s="3326"/>
      <c r="J22" s="3326"/>
      <c r="K22" s="3326"/>
      <c r="L22" s="3326"/>
      <c r="M22" s="3326"/>
      <c r="N22" s="3326"/>
      <c r="O22" s="3326"/>
      <c r="P22" s="3326"/>
      <c r="Q22" s="3465"/>
      <c r="R22" s="714">
        <f>ROUND(S22*10000/B22,0)</f>
        <v>10000</v>
      </c>
      <c r="S22" s="24">
        <f>SUM(S24:S10000)</f>
        <v>100</v>
      </c>
    </row>
    <row r="23" spans="1:45" s="12" customFormat="1" ht="24">
      <c r="A23" s="11" t="s">
        <v>3003</v>
      </c>
      <c r="B23" s="11" t="s">
        <v>3004</v>
      </c>
      <c r="C23" s="11" t="s">
        <v>3005</v>
      </c>
      <c r="D23" s="11" t="str">
        <f>B5</f>
        <v>修正项2</v>
      </c>
      <c r="E23" s="11" t="s">
        <v>3005</v>
      </c>
      <c r="F23" s="11" t="str">
        <f>B7</f>
        <v>修正项3</v>
      </c>
      <c r="G23" s="11" t="s">
        <v>3005</v>
      </c>
      <c r="H23" s="11" t="str">
        <f>B9</f>
        <v>修正项4</v>
      </c>
      <c r="I23" s="11" t="s">
        <v>3005</v>
      </c>
      <c r="J23" s="11" t="str">
        <f>B11</f>
        <v>修正项5</v>
      </c>
      <c r="K23" s="11" t="s">
        <v>3005</v>
      </c>
      <c r="L23" s="11" t="str">
        <f>B13</f>
        <v>修正项6</v>
      </c>
      <c r="M23" s="11" t="s">
        <v>3005</v>
      </c>
      <c r="N23" s="11" t="str">
        <f>B15</f>
        <v>修正项7</v>
      </c>
      <c r="O23" s="11" t="s">
        <v>3005</v>
      </c>
      <c r="P23" s="11" t="str">
        <f>B17</f>
        <v>楼层</v>
      </c>
      <c r="Q23" s="11" t="s">
        <v>3005</v>
      </c>
      <c r="R23" s="715" t="s">
        <v>3006</v>
      </c>
      <c r="S23" s="11" t="s">
        <v>3007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3008</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8" customWidth="1"/>
    <col min="2" max="9" width="12.125" style="1938" customWidth="1"/>
    <col min="10" max="16384" width="9" style="1938"/>
  </cols>
  <sheetData>
    <row r="1" spans="1:9" ht="18.75" thickBot="1">
      <c r="A1" s="3144" t="str">
        <f>IF(项目基本情况!B9="房地产市场价值","估价结果一览表","结果表-2")</f>
        <v>结果表-2</v>
      </c>
      <c r="B1" s="3144"/>
      <c r="C1" s="3144"/>
      <c r="D1" s="3144"/>
      <c r="E1" s="3144"/>
      <c r="F1" s="3144"/>
      <c r="G1" s="3144"/>
      <c r="H1" s="3144"/>
      <c r="I1" s="3144"/>
    </row>
    <row r="2" spans="1:9" ht="30" customHeight="1" thickTop="1">
      <c r="A2" s="3145" t="s">
        <v>1635</v>
      </c>
      <c r="B2" s="3145" t="s">
        <v>1636</v>
      </c>
      <c r="C2" s="3145" t="s">
        <v>1637</v>
      </c>
      <c r="D2" s="3145" t="str">
        <f>结果表!D116</f>
        <v>出让国有建设用地使用权价值</v>
      </c>
      <c r="E2" s="3145"/>
      <c r="F2" s="3145" t="str">
        <f>结果表!F116</f>
        <v>在建建筑物价值</v>
      </c>
      <c r="G2" s="3145"/>
      <c r="H2" s="3145" t="str">
        <f>IF(项目基本情况!B9="房地产市场价值","房地产市场价值","房地产价值")</f>
        <v>房地产价值</v>
      </c>
      <c r="I2" s="3145"/>
    </row>
    <row r="3" spans="1:9" ht="15">
      <c r="A3" s="3139"/>
      <c r="B3" s="3139"/>
      <c r="C3" s="3139"/>
      <c r="D3" s="1041" t="s">
        <v>1632</v>
      </c>
      <c r="E3" s="1041" t="s">
        <v>1638</v>
      </c>
      <c r="F3" s="1041" t="s">
        <v>1632</v>
      </c>
      <c r="G3" s="1041" t="s">
        <v>1633</v>
      </c>
      <c r="H3" s="1041" t="s">
        <v>1632</v>
      </c>
      <c r="I3" s="1041" t="s">
        <v>1633</v>
      </c>
    </row>
    <row r="4" spans="1:9" ht="60">
      <c r="A4" s="1966" t="str">
        <f>项目基本情况!S2</f>
        <v>北京市北京市顺义区高丽营镇于庄03-31号地块出让国有建设用地使用权及在建建筑物房地产</v>
      </c>
      <c r="B4" s="1041">
        <f>项目基本情况!C17</f>
        <v>149246.95000000001</v>
      </c>
      <c r="C4" s="1041">
        <f>项目基本情况!C18</f>
        <v>59319.7</v>
      </c>
      <c r="D4" s="1041">
        <f ca="1">结果表!D118</f>
        <v>360417</v>
      </c>
      <c r="E4" s="1041">
        <f ca="1">结果表!E118</f>
        <v>24149</v>
      </c>
      <c r="F4" s="1041">
        <f ca="1">结果表!F118</f>
        <v>32194</v>
      </c>
      <c r="G4" s="1041">
        <f ca="1">结果表!G118</f>
        <v>2157</v>
      </c>
      <c r="H4" s="1041">
        <f ca="1">结果表!H118</f>
        <v>392611</v>
      </c>
      <c r="I4" s="1041">
        <f ca="1">结果表!I118</f>
        <v>26306</v>
      </c>
    </row>
    <row r="5" spans="1:9" ht="30" customHeight="1">
      <c r="A5" s="3139" t="s">
        <v>1634</v>
      </c>
      <c r="B5" s="3139"/>
      <c r="C5" s="3139"/>
      <c r="D5" s="3140" t="str">
        <f ca="1">结果表!D119</f>
        <v>叁拾陆亿零肆佰壹拾柒万元整</v>
      </c>
      <c r="E5" s="3140"/>
      <c r="F5" s="3140" t="str">
        <f ca="1">结果表!F119</f>
        <v>叁亿贰仟壹佰玖拾肆万元整</v>
      </c>
      <c r="G5" s="3140"/>
      <c r="H5" s="3140" t="str">
        <f ca="1">结果表!H119</f>
        <v>叁拾玖亿贰仟陆佰壹拾壹万元整</v>
      </c>
      <c r="I5" s="3140"/>
    </row>
    <row r="6" spans="1:9" ht="15.75">
      <c r="A6" s="3138" t="str">
        <f>结果表!A120</f>
        <v>估价师知悉的法定优先受偿款</v>
      </c>
      <c r="B6" s="3138"/>
      <c r="C6" s="3138"/>
      <c r="D6" s="3138">
        <f>结果表!D120</f>
        <v>0</v>
      </c>
      <c r="E6" s="3138"/>
      <c r="F6" s="3138"/>
      <c r="G6" s="3138"/>
      <c r="H6" s="3138"/>
      <c r="I6" s="3138"/>
    </row>
    <row r="7" spans="1:9" ht="15">
      <c r="A7" s="3139" t="s">
        <v>1634</v>
      </c>
      <c r="B7" s="3139"/>
      <c r="C7" s="3139"/>
      <c r="D7" s="3141" t="str">
        <f>结果表!D121</f>
        <v>零元整</v>
      </c>
      <c r="E7" s="3142"/>
      <c r="F7" s="3142"/>
      <c r="G7" s="3142"/>
      <c r="H7" s="3142"/>
      <c r="I7" s="3143"/>
    </row>
    <row r="8" spans="1:9" ht="15.75">
      <c r="A8" s="3138" t="str">
        <f>结果表!A122</f>
        <v/>
      </c>
      <c r="B8" s="3138"/>
      <c r="C8" s="3138"/>
      <c r="D8" s="3138" t="str">
        <f>结果表!D122</f>
        <v>——</v>
      </c>
      <c r="E8" s="3138"/>
      <c r="F8" s="3138"/>
      <c r="G8" s="3138"/>
      <c r="H8" s="3138"/>
      <c r="I8" s="3138"/>
    </row>
    <row r="9" spans="1:9" ht="15">
      <c r="A9" s="3139" t="s">
        <v>1634</v>
      </c>
      <c r="B9" s="3139"/>
      <c r="C9" s="3139"/>
      <c r="D9" s="3140" t="e">
        <f>结果表!D123</f>
        <v>#VALUE!</v>
      </c>
      <c r="E9" s="3140"/>
      <c r="F9" s="3140"/>
      <c r="G9" s="3140"/>
      <c r="H9" s="3140"/>
      <c r="I9" s="3140"/>
    </row>
    <row r="10" spans="1:9" ht="15.75">
      <c r="A10" s="3138" t="str">
        <f>结果表!A124</f>
        <v>抵押担保权已注销时的房地产抵押价值</v>
      </c>
      <c r="B10" s="3138"/>
      <c r="C10" s="3138"/>
      <c r="D10" s="3138">
        <f ca="1">结果表!D124</f>
        <v>392611</v>
      </c>
      <c r="E10" s="3138"/>
      <c r="F10" s="3138"/>
      <c r="G10" s="3138"/>
      <c r="H10" s="3138"/>
      <c r="I10" s="3138"/>
    </row>
    <row r="11" spans="1:9" ht="15">
      <c r="A11" s="3139" t="s">
        <v>1634</v>
      </c>
      <c r="B11" s="3139"/>
      <c r="C11" s="3139"/>
      <c r="D11" s="3140" t="str">
        <f ca="1">结果表!D125</f>
        <v>叁拾玖亿贰仟陆佰壹拾壹万元整</v>
      </c>
      <c r="E11" s="3140"/>
      <c r="F11" s="3140"/>
      <c r="G11" s="3140"/>
      <c r="H11" s="3140"/>
      <c r="I11" s="3140"/>
    </row>
    <row r="12" spans="1:9" ht="15.75">
      <c r="A12" s="3138" t="str">
        <f>结果表!A126</f>
        <v/>
      </c>
      <c r="B12" s="3138"/>
      <c r="C12" s="3138"/>
      <c r="D12" s="3138" t="str">
        <f>结果表!D126</f>
        <v>——</v>
      </c>
      <c r="E12" s="3138"/>
      <c r="F12" s="3138"/>
      <c r="G12" s="3138"/>
      <c r="H12" s="3138"/>
      <c r="I12" s="3138"/>
    </row>
    <row r="13" spans="1:9" ht="15.75" thickBot="1">
      <c r="A13" s="3135" t="s">
        <v>1634</v>
      </c>
      <c r="B13" s="3135"/>
      <c r="C13" s="3135"/>
      <c r="D13" s="3136" t="e">
        <f>结果表!D127</f>
        <v>#VALUE!</v>
      </c>
      <c r="E13" s="3136"/>
      <c r="F13" s="3136"/>
      <c r="G13" s="3136"/>
      <c r="H13" s="3136"/>
      <c r="I13" s="3136"/>
    </row>
    <row r="14" spans="1:9" ht="15" thickTop="1">
      <c r="A14" s="3137" t="s">
        <v>1639</v>
      </c>
      <c r="B14" s="3137"/>
      <c r="C14" s="3137"/>
      <c r="D14" s="3137"/>
      <c r="E14" s="3137"/>
      <c r="F14" s="3137"/>
      <c r="G14" s="3137"/>
      <c r="H14" s="3137"/>
      <c r="I14" s="3137"/>
    </row>
    <row r="16" spans="1:9" ht="18.75">
      <c r="A16" s="1967" t="s">
        <v>1622</v>
      </c>
      <c r="B16" s="1950"/>
      <c r="C16" s="1950"/>
      <c r="D16" s="1950"/>
      <c r="E16" s="1950"/>
      <c r="F16" s="1950"/>
      <c r="G16" s="1950"/>
      <c r="H16" s="1950"/>
      <c r="I16" s="1950"/>
    </row>
    <row r="17" spans="1:9">
      <c r="A17" s="1950"/>
      <c r="B17" s="1950"/>
      <c r="C17" s="1950"/>
      <c r="D17" s="1950"/>
      <c r="E17" s="1950"/>
      <c r="F17" s="1950"/>
      <c r="G17" s="1950"/>
      <c r="H17" s="1950"/>
      <c r="I17" s="1950"/>
    </row>
    <row r="18" spans="1:9">
      <c r="A18" s="1950"/>
      <c r="B18" s="1950"/>
      <c r="C18" s="1950"/>
      <c r="D18" s="1950"/>
      <c r="E18" s="1950"/>
      <c r="F18" s="1950"/>
      <c r="G18" s="1950"/>
      <c r="H18" s="1950"/>
      <c r="I18" s="1950"/>
    </row>
    <row r="19" spans="1:9">
      <c r="A19" s="1950"/>
      <c r="B19" s="1950"/>
      <c r="C19" s="1950"/>
      <c r="D19" s="1950"/>
      <c r="E19" s="1950"/>
      <c r="F19" s="1950"/>
      <c r="G19" s="1950"/>
      <c r="H19" s="1950"/>
      <c r="I19" s="1950"/>
    </row>
    <row r="20" spans="1:9">
      <c r="A20" s="1950"/>
      <c r="B20" s="1950"/>
      <c r="C20" s="1950"/>
      <c r="D20" s="1950"/>
      <c r="E20" s="1950"/>
      <c r="F20" s="1950"/>
      <c r="G20" s="1950"/>
      <c r="H20" s="1950"/>
      <c r="I20" s="1950"/>
    </row>
    <row r="21" spans="1:9">
      <c r="A21" s="1950"/>
      <c r="B21" s="1950"/>
      <c r="C21" s="1950"/>
      <c r="D21" s="1950"/>
      <c r="E21" s="1950"/>
      <c r="F21" s="1950"/>
      <c r="G21" s="1950"/>
      <c r="H21" s="1950"/>
      <c r="I21" s="1950"/>
    </row>
    <row r="22" spans="1:9">
      <c r="A22" s="1950"/>
      <c r="B22" s="1950"/>
      <c r="C22" s="1950"/>
      <c r="D22" s="1950"/>
      <c r="E22" s="1950"/>
      <c r="F22" s="1950"/>
      <c r="G22" s="1950"/>
      <c r="H22" s="1950"/>
      <c r="I22" s="195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66014</v>
      </c>
      <c r="C2" s="2" t="s">
        <v>133</v>
      </c>
      <c r="D2" s="241"/>
      <c r="E2" s="241"/>
      <c r="F2" s="241"/>
      <c r="G2" s="241"/>
    </row>
    <row r="3" spans="1:7" s="242" customFormat="1" ht="18" customHeight="1" thickBot="1">
      <c r="A3" s="245" t="s">
        <v>85</v>
      </c>
      <c r="B3" s="246">
        <f ca="1">ROUND(B2*10000/'数据-汇总表'!E3,0)</f>
        <v>4423</v>
      </c>
      <c r="C3" s="2" t="s">
        <v>134</v>
      </c>
      <c r="D3" s="241"/>
      <c r="E3" s="241"/>
      <c r="F3" s="241"/>
      <c r="G3" s="241"/>
    </row>
    <row r="4" spans="1:7" s="250" customFormat="1" ht="15.75">
      <c r="A4" s="247" t="s">
        <v>86</v>
      </c>
      <c r="B4" s="248"/>
      <c r="C4" s="248"/>
      <c r="D4" s="248"/>
      <c r="E4" s="248"/>
      <c r="F4" s="248"/>
      <c r="G4" s="249"/>
    </row>
    <row r="5" spans="1:7" s="256" customFormat="1" ht="13.5" customHeight="1">
      <c r="A5" s="297" t="s">
        <v>1050</v>
      </c>
      <c r="B5" s="252" t="s">
        <v>87</v>
      </c>
      <c r="C5" s="253">
        <f>C6+C7+C8</f>
        <v>20610</v>
      </c>
      <c r="D5" s="253" t="s">
        <v>88</v>
      </c>
      <c r="E5" s="254" t="s">
        <v>89</v>
      </c>
      <c r="F5" s="254" t="s">
        <v>90</v>
      </c>
      <c r="G5" s="255"/>
    </row>
    <row r="6" spans="1:7" s="256" customFormat="1" ht="13.5" customHeight="1">
      <c r="A6" s="947" t="s">
        <v>791</v>
      </c>
      <c r="B6" s="257" t="s">
        <v>91</v>
      </c>
      <c r="C6" s="258">
        <v>20000</v>
      </c>
      <c r="D6" s="259"/>
      <c r="E6" s="260"/>
      <c r="F6" s="260"/>
      <c r="G6" s="261"/>
    </row>
    <row r="7" spans="1:7" s="256" customFormat="1" ht="13.5" customHeight="1">
      <c r="A7" s="947" t="s">
        <v>792</v>
      </c>
      <c r="B7" s="257" t="s">
        <v>57</v>
      </c>
      <c r="C7" s="262">
        <f>ROUND(C6*F7,0)</f>
        <v>610</v>
      </c>
      <c r="D7" s="262"/>
      <c r="E7" s="260"/>
      <c r="F7" s="263">
        <f>'数据-取费表'!B48+'数据-取费表'!B49</f>
        <v>3.0499999999999999E-2</v>
      </c>
      <c r="G7" s="261"/>
    </row>
    <row r="8" spans="1:7" s="265" customFormat="1">
      <c r="A8" s="947" t="s">
        <v>793</v>
      </c>
      <c r="B8" s="257" t="s">
        <v>92</v>
      </c>
      <c r="C8" s="262" t="str">
        <f>IF(G8="已包含在土地购买价格中","0",'数据-取费表'!B29)</f>
        <v>0</v>
      </c>
      <c r="D8" s="264"/>
      <c r="E8" s="262"/>
      <c r="F8" s="263"/>
      <c r="G8" s="1" t="s">
        <v>1144</v>
      </c>
    </row>
    <row r="9" spans="1:7" s="256" customFormat="1" ht="13.5" customHeight="1">
      <c r="A9" s="948" t="s">
        <v>800</v>
      </c>
      <c r="B9" s="266" t="s">
        <v>93</v>
      </c>
      <c r="C9" s="267">
        <f>ROUND(D9*E9/10000,0)</f>
        <v>0</v>
      </c>
      <c r="D9" s="1029">
        <f>'数据-汇总表'!E5</f>
        <v>72747.44</v>
      </c>
      <c r="E9" s="267">
        <f>'数据-取费表'!B27</f>
        <v>0</v>
      </c>
      <c r="F9" s="263"/>
      <c r="G9" s="268"/>
    </row>
    <row r="10" spans="1:7" s="256" customFormat="1" ht="13.5" customHeight="1">
      <c r="A10" s="948" t="s">
        <v>801</v>
      </c>
      <c r="B10" s="266" t="s">
        <v>94</v>
      </c>
      <c r="C10" s="267">
        <f>ROUND(D10*E10/10000,0)</f>
        <v>0</v>
      </c>
      <c r="D10" s="1029">
        <f>'数据-汇总表'!E6</f>
        <v>76499.510000000009</v>
      </c>
      <c r="E10" s="267">
        <f>'数据-取费表'!B28</f>
        <v>0</v>
      </c>
      <c r="F10" s="263"/>
      <c r="G10" s="268"/>
    </row>
    <row r="11" spans="1:7" s="256" customFormat="1" ht="13.5" hidden="1" customHeight="1">
      <c r="A11" s="269" t="s">
        <v>7</v>
      </c>
      <c r="B11" s="257" t="s">
        <v>95</v>
      </c>
      <c r="C11" s="253"/>
      <c r="D11" s="1031"/>
      <c r="E11" s="260"/>
      <c r="F11" s="260"/>
      <c r="G11" s="261"/>
    </row>
    <row r="12" spans="1:7" s="256" customFormat="1" ht="13.5" hidden="1" customHeight="1">
      <c r="A12" s="269" t="s">
        <v>8</v>
      </c>
      <c r="B12" s="257" t="s">
        <v>96</v>
      </c>
      <c r="C12" s="253">
        <v>0</v>
      </c>
      <c r="D12" s="1031"/>
      <c r="E12" s="270"/>
      <c r="F12" s="263">
        <v>3.0499999999999999E-2</v>
      </c>
      <c r="G12" s="261"/>
    </row>
    <row r="13" spans="1:7" s="256" customFormat="1" ht="13.5" hidden="1" customHeight="1">
      <c r="A13" s="269" t="s">
        <v>9</v>
      </c>
      <c r="B13" s="257" t="s">
        <v>97</v>
      </c>
      <c r="C13" s="253"/>
      <c r="D13" s="1031"/>
      <c r="E13" s="260"/>
      <c r="F13" s="260"/>
      <c r="G13" s="261"/>
    </row>
    <row r="14" spans="1:7" s="256" customFormat="1" ht="13.5" hidden="1" customHeight="1">
      <c r="A14" s="269" t="s">
        <v>10</v>
      </c>
      <c r="B14" s="257" t="s">
        <v>92</v>
      </c>
      <c r="C14" s="253"/>
      <c r="D14" s="1031"/>
      <c r="E14" s="260"/>
      <c r="F14" s="260"/>
      <c r="G14" s="261" t="s">
        <v>98</v>
      </c>
    </row>
    <row r="15" spans="1:7" s="256" customFormat="1" ht="13.5" hidden="1" customHeight="1">
      <c r="A15" s="269" t="s">
        <v>11</v>
      </c>
      <c r="B15" s="257" t="s">
        <v>99</v>
      </c>
      <c r="C15" s="262"/>
      <c r="D15" s="1031"/>
      <c r="E15" s="260"/>
      <c r="F15" s="260"/>
      <c r="G15" s="261" t="s">
        <v>100</v>
      </c>
    </row>
    <row r="16" spans="1:7" s="256" customFormat="1" ht="13.5" hidden="1" customHeight="1">
      <c r="A16" s="269" t="s">
        <v>12</v>
      </c>
      <c r="B16" s="257" t="s">
        <v>92</v>
      </c>
      <c r="C16" s="262"/>
      <c r="D16" s="1031"/>
      <c r="E16" s="260"/>
      <c r="F16" s="260"/>
      <c r="G16" s="261"/>
    </row>
    <row r="17" spans="1:7" s="256" customFormat="1" ht="13.5" hidden="1" customHeight="1">
      <c r="A17" s="269" t="s">
        <v>13</v>
      </c>
      <c r="B17" s="257" t="s">
        <v>101</v>
      </c>
      <c r="C17" s="271"/>
      <c r="D17" s="1032"/>
      <c r="E17" s="271"/>
      <c r="F17" s="271"/>
      <c r="G17" s="261" t="s">
        <v>100</v>
      </c>
    </row>
    <row r="18" spans="1:7" s="256" customFormat="1" ht="13.5" hidden="1" customHeight="1">
      <c r="A18" s="269" t="s">
        <v>14</v>
      </c>
      <c r="B18" s="257" t="s">
        <v>102</v>
      </c>
      <c r="C18" s="262">
        <v>0</v>
      </c>
      <c r="D18" s="1031"/>
      <c r="E18" s="260"/>
      <c r="F18" s="263">
        <v>3.0499999999999999E-2</v>
      </c>
      <c r="G18" s="261" t="s">
        <v>103</v>
      </c>
    </row>
    <row r="19" spans="1:7" s="265" customFormat="1" ht="13.5" customHeight="1">
      <c r="A19" s="946" t="s">
        <v>1051</v>
      </c>
      <c r="B19" s="252" t="s">
        <v>111</v>
      </c>
      <c r="C19" s="253">
        <f>IF(G19="已包含在土地取得成本中","0",ROUND(D19*E19/10000,0))</f>
        <v>2985</v>
      </c>
      <c r="D19" s="1033">
        <f>'数据-汇总表'!E3</f>
        <v>149246.95000000001</v>
      </c>
      <c r="E19" s="253">
        <f>'数据-取费表'!B31</f>
        <v>200</v>
      </c>
      <c r="F19" s="273"/>
      <c r="G19" s="1" t="s">
        <v>1070</v>
      </c>
    </row>
    <row r="20" spans="1:7" s="256" customFormat="1" ht="13.5" customHeight="1">
      <c r="A20" s="946" t="s">
        <v>1053</v>
      </c>
      <c r="B20" s="252" t="s">
        <v>104</v>
      </c>
      <c r="C20" s="274">
        <f>ROUND((C5+C19)*F20,0)</f>
        <v>708</v>
      </c>
      <c r="D20" s="274"/>
      <c r="E20" s="274"/>
      <c r="F20" s="275">
        <f>'数据-取费表'!B37</f>
        <v>0.03</v>
      </c>
      <c r="G20" s="1285" t="s">
        <v>1064</v>
      </c>
    </row>
    <row r="21" spans="1:7" s="256" customFormat="1" ht="13.5" customHeight="1">
      <c r="A21" s="946" t="s">
        <v>1055</v>
      </c>
      <c r="B21" s="252" t="s">
        <v>105</v>
      </c>
      <c r="C21" s="277">
        <f>F21</f>
        <v>0.03</v>
      </c>
      <c r="D21" s="278" t="s">
        <v>126</v>
      </c>
      <c r="E21" s="274"/>
      <c r="F21" s="275">
        <f>'数据-取费表'!B38</f>
        <v>0.03</v>
      </c>
      <c r="G21" s="276" t="s">
        <v>106</v>
      </c>
    </row>
    <row r="22" spans="1:7" s="256" customFormat="1" ht="13.5" customHeight="1">
      <c r="A22" s="946" t="s">
        <v>786</v>
      </c>
      <c r="B22" s="252" t="s">
        <v>107</v>
      </c>
      <c r="C22" s="1350">
        <f ca="1">ROUND(SUM(C23:C25),0)</f>
        <v>1138</v>
      </c>
      <c r="D22" s="277">
        <f ca="1">C26</f>
        <v>6.9999999999999999E-4</v>
      </c>
      <c r="E22" s="278" t="s">
        <v>126</v>
      </c>
      <c r="F22" s="279">
        <f ca="1">'数据-取费表'!B40</f>
        <v>4.7500000000000001E-2</v>
      </c>
      <c r="G22" s="1285" t="str">
        <f>IF('数据-取费表'!B22&lt;=1,"单利计息","复利计息")</f>
        <v>复利计息</v>
      </c>
    </row>
    <row r="23" spans="1:7" s="256" customFormat="1" ht="13.5" customHeight="1">
      <c r="A23" s="949" t="s">
        <v>794</v>
      </c>
      <c r="B23" s="257" t="s">
        <v>1057</v>
      </c>
      <c r="C23" s="1351">
        <f ca="1">ROUND(IF('数据-取费表'!B22&lt;=1,C5*F22*'数据-取费表'!B23,C5*(POWER((1+F22),'数据-取费表'!B23)-1)),0)</f>
        <v>979</v>
      </c>
      <c r="D23" s="280"/>
      <c r="E23" s="280"/>
      <c r="F23" s="281"/>
      <c r="G23" s="282" t="s">
        <v>108</v>
      </c>
    </row>
    <row r="24" spans="1:7" s="256" customFormat="1" ht="13.5" customHeight="1">
      <c r="A24" s="949" t="s">
        <v>792</v>
      </c>
      <c r="B24" s="257" t="s">
        <v>1052</v>
      </c>
      <c r="C24" s="1351">
        <f ca="1">ROUND(IF('数据-取费表'!B22&lt;=1,C19*F22*('数据-取费表'!B19/2+'数据-取费表'!B21),C19*(POWER((1+F22),('数据-取费表'!B19/2+'数据-取费表'!B21))-1)),0)</f>
        <v>142</v>
      </c>
      <c r="D24" s="280"/>
      <c r="E24" s="280"/>
      <c r="F24" s="281"/>
      <c r="G24" s="282" t="s">
        <v>109</v>
      </c>
    </row>
    <row r="25" spans="1:7" s="256" customFormat="1" ht="24">
      <c r="A25" s="949" t="s">
        <v>793</v>
      </c>
      <c r="B25" s="257" t="s">
        <v>1054</v>
      </c>
      <c r="C25" s="1351">
        <f ca="1">ROUND(IF('数据-取费表'!B22&lt;=1,C20*F22*'数据-取费表'!B23/2,C20*(POWER((1+F22),'数据-取费表'!B23/2)-1)),0)</f>
        <v>17</v>
      </c>
      <c r="D25" s="280"/>
      <c r="E25" s="283"/>
      <c r="F25" s="281"/>
      <c r="G25" s="284" t="s">
        <v>110</v>
      </c>
    </row>
    <row r="26" spans="1:7" s="256" customFormat="1">
      <c r="A26" s="949" t="s">
        <v>795</v>
      </c>
      <c r="B26" s="257" t="s">
        <v>1056</v>
      </c>
      <c r="C26" s="280">
        <f ca="1">ROUND(IF('数据-取费表'!B22&lt;=1,F21*F22*'数据-取费表'!B23/2,F21*(POWER((1+F22),'数据-取费表'!B23/2)-1)),4)</f>
        <v>6.9999999999999999E-4</v>
      </c>
      <c r="D26" s="280"/>
      <c r="E26" s="283"/>
      <c r="F26" s="281"/>
      <c r="G26" s="285"/>
    </row>
    <row r="27" spans="1:7" s="256" customFormat="1" ht="24.75">
      <c r="A27" s="946" t="s">
        <v>787</v>
      </c>
      <c r="B27" s="286" t="s">
        <v>112</v>
      </c>
      <c r="C27" s="287">
        <f>C28</f>
        <v>972</v>
      </c>
      <c r="D27" s="277">
        <f>C29</f>
        <v>1.1999999999999999E-3</v>
      </c>
      <c r="E27" s="278" t="s">
        <v>126</v>
      </c>
      <c r="F27" s="288">
        <f>'数据-取费表'!Q16</f>
        <v>0.08</v>
      </c>
      <c r="G27" s="289" t="s">
        <v>1065</v>
      </c>
    </row>
    <row r="28" spans="1:7" s="256" customFormat="1" ht="13.5" customHeight="1">
      <c r="A28" s="949" t="s">
        <v>794</v>
      </c>
      <c r="B28" s="290" t="s">
        <v>1058</v>
      </c>
      <c r="C28" s="291">
        <f>ROUND((C5+C19+C20)*F27*'数据-取费表'!B21/'数据-取费表'!B20,0)</f>
        <v>972</v>
      </c>
      <c r="D28" s="277"/>
      <c r="E28" s="278"/>
      <c r="F28" s="288"/>
      <c r="G28" s="289"/>
    </row>
    <row r="29" spans="1:7" s="256" customFormat="1" ht="13.5" customHeight="1">
      <c r="A29" s="949" t="s">
        <v>792</v>
      </c>
      <c r="B29" s="290" t="s">
        <v>1059</v>
      </c>
      <c r="C29" s="280">
        <f>ROUND(C21*F27*'数据-取费表'!B21/'数据-取费表'!B20,4)</f>
        <v>1.1999999999999999E-3</v>
      </c>
      <c r="D29" s="277"/>
      <c r="E29" s="278"/>
      <c r="F29" s="288"/>
      <c r="G29" s="289"/>
    </row>
    <row r="30" spans="1:7" s="256" customFormat="1" ht="13.5" customHeight="1">
      <c r="A30" s="946"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28844</v>
      </c>
      <c r="D31" s="272"/>
      <c r="E31" s="253"/>
      <c r="F31" s="292"/>
      <c r="G31" s="276" t="s">
        <v>1066</v>
      </c>
    </row>
    <row r="32" spans="1:7" s="250" customFormat="1" ht="15.75">
      <c r="A32" s="294" t="s">
        <v>114</v>
      </c>
      <c r="B32" s="295"/>
      <c r="C32" s="295"/>
      <c r="D32" s="295"/>
      <c r="E32" s="295"/>
      <c r="F32" s="295"/>
      <c r="G32" s="296"/>
    </row>
    <row r="33" spans="1:7" s="256" customFormat="1" ht="13.5" customHeight="1">
      <c r="A33" s="297" t="s">
        <v>782</v>
      </c>
      <c r="B33" s="252" t="s">
        <v>115</v>
      </c>
      <c r="C33" s="298">
        <f>SUM(C34:C38)</f>
        <v>29909</v>
      </c>
      <c r="D33" s="274"/>
      <c r="E33" s="254"/>
      <c r="F33" s="283"/>
      <c r="G33" s="276"/>
    </row>
    <row r="34" spans="1:7" s="300" customFormat="1" ht="13.5" customHeight="1">
      <c r="A34" s="949" t="s">
        <v>794</v>
      </c>
      <c r="B34" s="257" t="s">
        <v>59</v>
      </c>
      <c r="C34" s="262">
        <f>IF(F34=100%,'数据-取费表'!M16-SUMIF('数据-取费表'!C:C,"公共配套",'数据-取费表'!M:M),'数据-取费表'!O16-SUMIF('数据-取费表'!C:C,"公共配套",'数据-取费表'!O:O))</f>
        <v>26284</v>
      </c>
      <c r="D34" s="259"/>
      <c r="E34" s="262"/>
      <c r="F34" s="299">
        <f>IF('数据-取费表'!B24=0,1,'数据-取费表'!N16)</f>
        <v>0.55000000000000004</v>
      </c>
      <c r="G34" s="261" t="s">
        <v>116</v>
      </c>
    </row>
    <row r="35" spans="1:7" ht="13.5" customHeight="1">
      <c r="A35" s="949" t="s">
        <v>796</v>
      </c>
      <c r="B35" s="257" t="s">
        <v>60</v>
      </c>
      <c r="C35" s="262">
        <f>ROUND(C34*F35,0)</f>
        <v>789</v>
      </c>
      <c r="D35" s="262"/>
      <c r="E35" s="262"/>
      <c r="F35" s="301">
        <f>'数据-取费表'!B33</f>
        <v>0.03</v>
      </c>
      <c r="G35" s="261" t="s">
        <v>117</v>
      </c>
    </row>
    <row r="36" spans="1:7" ht="24">
      <c r="A36" s="949"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800</v>
      </c>
      <c r="D36" s="262"/>
      <c r="E36" s="262"/>
      <c r="F36" s="301">
        <f>'数据-取费表'!B34</f>
        <v>0.05</v>
      </c>
      <c r="G36" s="302" t="s">
        <v>62</v>
      </c>
    </row>
    <row r="37" spans="1:7" s="300" customFormat="1" ht="13.5" customHeight="1">
      <c r="A37" s="949" t="s">
        <v>798</v>
      </c>
      <c r="B37" s="257" t="s">
        <v>118</v>
      </c>
      <c r="C37" s="291">
        <f>ROUND(E37*D37*F34/10000,0)</f>
        <v>1642</v>
      </c>
      <c r="D37" s="259">
        <f>'数据-汇总表'!E3</f>
        <v>149246.95000000001</v>
      </c>
      <c r="E37" s="291">
        <f>'数据-取费表'!B35</f>
        <v>200</v>
      </c>
      <c r="F37" s="301"/>
      <c r="G37" s="303" t="s">
        <v>119</v>
      </c>
    </row>
    <row r="38" spans="1:7" ht="13.5" customHeight="1">
      <c r="A38" s="949" t="s">
        <v>799</v>
      </c>
      <c r="B38" s="257" t="s">
        <v>63</v>
      </c>
      <c r="C38" s="262">
        <f>ROUND(C34*F38,0)</f>
        <v>394</v>
      </c>
      <c r="D38" s="262"/>
      <c r="E38" s="262"/>
      <c r="F38" s="301">
        <f>'数据-取费表'!B36</f>
        <v>1.4999999999999999E-2</v>
      </c>
      <c r="G38" s="261" t="s">
        <v>117</v>
      </c>
    </row>
    <row r="39" spans="1:7" s="256" customFormat="1" ht="13.5" customHeight="1">
      <c r="A39" s="946" t="s">
        <v>783</v>
      </c>
      <c r="B39" s="252" t="s">
        <v>104</v>
      </c>
      <c r="C39" s="274">
        <f>ROUND(C33*F20,0)</f>
        <v>897</v>
      </c>
      <c r="D39" s="274"/>
      <c r="E39" s="274"/>
      <c r="F39" s="275"/>
      <c r="G39" s="1285" t="s">
        <v>1067</v>
      </c>
    </row>
    <row r="40" spans="1:7" s="256" customFormat="1" ht="13.5" customHeight="1">
      <c r="A40" s="946" t="s">
        <v>784</v>
      </c>
      <c r="B40" s="252" t="s">
        <v>105</v>
      </c>
      <c r="C40" s="304">
        <f>F21</f>
        <v>0.03</v>
      </c>
      <c r="D40" s="278" t="s">
        <v>129</v>
      </c>
      <c r="E40" s="274"/>
      <c r="F40" s="275"/>
      <c r="G40" s="276" t="s">
        <v>120</v>
      </c>
    </row>
    <row r="41" spans="1:7" s="256" customFormat="1" ht="13.5" customHeight="1">
      <c r="A41" s="946" t="s">
        <v>785</v>
      </c>
      <c r="B41" s="252" t="s">
        <v>107</v>
      </c>
      <c r="C41" s="274">
        <f ca="1">ROUND(SUM(C42:C43),0)</f>
        <v>723</v>
      </c>
      <c r="D41" s="277">
        <f ca="1">C44</f>
        <v>6.9999999999999999E-4</v>
      </c>
      <c r="E41" s="278" t="s">
        <v>129</v>
      </c>
      <c r="F41" s="279"/>
      <c r="G41" s="1285" t="str">
        <f>IF('数据-取费表'!B22&lt;=1,"单利计息","复利计息")</f>
        <v>复利计息</v>
      </c>
    </row>
    <row r="42" spans="1:7" ht="13.5" customHeight="1">
      <c r="A42" s="949" t="s">
        <v>794</v>
      </c>
      <c r="B42" s="257" t="s">
        <v>1057</v>
      </c>
      <c r="C42" s="280">
        <f ca="1">ROUND(IF('数据-取费表'!B22&lt;=1,C33*F22*'数据-取费表'!B21/2,C33*(POWER((1+F22),'数据-取费表'!B21/2)-1)),0)</f>
        <v>702</v>
      </c>
      <c r="D42" s="280"/>
      <c r="E42" s="280"/>
      <c r="F42" s="281"/>
      <c r="G42" s="3330" t="s">
        <v>121</v>
      </c>
    </row>
    <row r="43" spans="1:7" ht="13.5" customHeight="1">
      <c r="A43" s="949" t="s">
        <v>792</v>
      </c>
      <c r="B43" s="257" t="s">
        <v>1060</v>
      </c>
      <c r="C43" s="280">
        <f ca="1">ROUND(IF('数据-取费表'!B22&lt;=1,C39*F22*'数据-取费表'!B21/2,C39*(POWER((1+F22),'数据-取费表'!B21/2)-1)),0)</f>
        <v>21</v>
      </c>
      <c r="D43" s="280"/>
      <c r="E43" s="280"/>
      <c r="F43" s="281"/>
      <c r="G43" s="3331"/>
    </row>
    <row r="44" spans="1:7" ht="13.5" customHeight="1">
      <c r="A44" s="949" t="s">
        <v>793</v>
      </c>
      <c r="B44" s="257" t="s">
        <v>1062</v>
      </c>
      <c r="C44" s="280">
        <f ca="1">ROUND(IF('数据-取费表'!B22&lt;=1,C40*F22*'数据-取费表'!B21/2,C40*(POWER((1+F22),'数据-取费表'!B21/2)-1)),4)</f>
        <v>6.9999999999999999E-4</v>
      </c>
      <c r="D44" s="280"/>
      <c r="E44" s="280"/>
      <c r="F44" s="281"/>
      <c r="G44" s="3332"/>
    </row>
    <row r="45" spans="1:7" s="256" customFormat="1" ht="13.5" customHeight="1">
      <c r="A45" s="946" t="s">
        <v>786</v>
      </c>
      <c r="B45" s="286" t="s">
        <v>112</v>
      </c>
      <c r="C45" s="287">
        <f>C46</f>
        <v>2464</v>
      </c>
      <c r="D45" s="277">
        <f>C47</f>
        <v>2.3999999999999998E-3</v>
      </c>
      <c r="E45" s="278" t="s">
        <v>129</v>
      </c>
      <c r="F45" s="288"/>
      <c r="G45" s="289" t="s">
        <v>1068</v>
      </c>
    </row>
    <row r="46" spans="1:7" s="256" customFormat="1" ht="13.5" customHeight="1">
      <c r="A46" s="949" t="s">
        <v>794</v>
      </c>
      <c r="B46" s="290" t="s">
        <v>1061</v>
      </c>
      <c r="C46" s="291">
        <f>ROUND((C33+C39)*F27,0)</f>
        <v>2464</v>
      </c>
      <c r="D46" s="305"/>
      <c r="E46" s="278"/>
      <c r="F46" s="288"/>
      <c r="G46" s="289"/>
    </row>
    <row r="47" spans="1:7" s="256" customFormat="1" ht="13.5" customHeight="1">
      <c r="A47" s="949" t="s">
        <v>792</v>
      </c>
      <c r="B47" s="290" t="s">
        <v>1063</v>
      </c>
      <c r="C47" s="280">
        <f>ROUND(C40*F27,4)</f>
        <v>2.3999999999999998E-3</v>
      </c>
      <c r="D47" s="305"/>
      <c r="E47" s="278"/>
      <c r="F47" s="288"/>
      <c r="G47" s="289"/>
    </row>
    <row r="48" spans="1:7" s="256" customFormat="1" ht="13.5" customHeight="1">
      <c r="A48" s="946" t="s">
        <v>787</v>
      </c>
      <c r="B48" s="252" t="s">
        <v>122</v>
      </c>
      <c r="C48" s="304">
        <f>F30</f>
        <v>5.5000000000000007E-2</v>
      </c>
      <c r="D48" s="278" t="s">
        <v>130</v>
      </c>
      <c r="E48" s="274"/>
      <c r="F48" s="279"/>
      <c r="G48" s="276" t="s">
        <v>123</v>
      </c>
    </row>
    <row r="49" spans="1:7" ht="16.5" customHeight="1">
      <c r="A49" s="946" t="s">
        <v>788</v>
      </c>
      <c r="B49" s="252" t="s">
        <v>131</v>
      </c>
      <c r="C49" s="274">
        <f ca="1">ROUND((C33+C39+C41+C45)/(1-C40-D41-D45-C48/(1+'数据-取费表'!B42)),0)</f>
        <v>37170</v>
      </c>
      <c r="D49" s="274"/>
      <c r="E49" s="274"/>
      <c r="F49" s="306"/>
      <c r="G49" s="276" t="s">
        <v>1069</v>
      </c>
    </row>
    <row r="50" spans="1:7" s="300" customFormat="1" ht="24">
      <c r="A50" s="946" t="s">
        <v>789</v>
      </c>
      <c r="B50" s="252" t="s">
        <v>124</v>
      </c>
      <c r="C50" s="274"/>
      <c r="D50" s="274"/>
      <c r="E50" s="274"/>
      <c r="F50" s="306">
        <f>IF('数据-取费表'!B24=0,'数据-取费表'!N16,1)</f>
        <v>1</v>
      </c>
      <c r="G50" s="289" t="s">
        <v>125</v>
      </c>
    </row>
    <row r="51" spans="1:7" ht="16.5" customHeight="1">
      <c r="A51" s="946" t="s">
        <v>790</v>
      </c>
      <c r="B51" s="252" t="s">
        <v>132</v>
      </c>
      <c r="C51" s="274">
        <f ca="1">ROUND(C49*F50,0)</f>
        <v>37170</v>
      </c>
      <c r="D51" s="274"/>
      <c r="E51" s="274"/>
      <c r="F51" s="306"/>
      <c r="G51" s="276" t="s">
        <v>64</v>
      </c>
    </row>
    <row r="52" spans="1:7" s="250" customFormat="1" ht="16.5" thickBot="1">
      <c r="A52" s="307" t="s">
        <v>65</v>
      </c>
      <c r="B52" s="308"/>
      <c r="C52" s="309">
        <f ca="1">C31+C51</f>
        <v>66014</v>
      </c>
      <c r="D52" s="308"/>
      <c r="E52" s="308"/>
      <c r="F52" s="308"/>
      <c r="G52" s="310"/>
    </row>
    <row r="55" spans="1:7" ht="15">
      <c r="B55" s="312" t="s">
        <v>66</v>
      </c>
      <c r="C55" s="313"/>
    </row>
    <row r="56" spans="1:7">
      <c r="B56" s="315" t="s">
        <v>67</v>
      </c>
      <c r="C56" s="316">
        <f ca="1">ROUND(C51/C52,3)</f>
        <v>0.56299999999999994</v>
      </c>
    </row>
    <row r="57" spans="1:7">
      <c r="B57" s="315" t="s">
        <v>68</v>
      </c>
      <c r="C57" s="317">
        <f ca="1">1-C56</f>
        <v>0.43700000000000006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469" t="s">
        <v>156</v>
      </c>
      <c r="B1" s="3469"/>
      <c r="C1" s="3469"/>
      <c r="D1" s="3469"/>
      <c r="E1" s="3469"/>
      <c r="F1" s="3469"/>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470" t="s">
        <v>169</v>
      </c>
      <c r="B2" s="3470"/>
      <c r="C2" s="3470"/>
      <c r="D2" s="3470"/>
      <c r="E2" s="3470"/>
      <c r="F2" s="3470"/>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471"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472"/>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1049</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1049</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469" t="s">
        <v>867</v>
      </c>
      <c r="B1" s="3469"/>
    </row>
    <row r="2" spans="1:6" ht="14.25" thickBot="1">
      <c r="A2" s="1053"/>
      <c r="B2" s="1053"/>
    </row>
    <row r="3" spans="1:6" ht="14.25" thickBot="1">
      <c r="A3" s="1053"/>
      <c r="B3" s="1053"/>
      <c r="C3" s="1057" t="s">
        <v>870</v>
      </c>
      <c r="D3" s="1057" t="s">
        <v>871</v>
      </c>
      <c r="E3" s="1057" t="s">
        <v>872</v>
      </c>
      <c r="F3" s="1057" t="s">
        <v>873</v>
      </c>
    </row>
    <row r="4" spans="1:6" ht="14.25" thickBot="1">
      <c r="A4" s="1055" t="s">
        <v>868</v>
      </c>
      <c r="B4" s="1056" t="s">
        <v>869</v>
      </c>
      <c r="C4" s="1057"/>
      <c r="D4" s="1057"/>
      <c r="E4" s="1057"/>
      <c r="F4" s="1057"/>
    </row>
    <row r="5" spans="1:6" ht="14.25" thickBot="1">
      <c r="A5" s="838" t="s">
        <v>874</v>
      </c>
      <c r="B5" s="839" t="s">
        <v>875</v>
      </c>
      <c r="C5" s="1058">
        <v>8.8999999999999996E-2</v>
      </c>
      <c r="D5" s="1058">
        <v>7.3999999999999996E-2</v>
      </c>
      <c r="E5" s="1058">
        <v>7.4999999999999997E-2</v>
      </c>
      <c r="F5" s="1059">
        <v>0.1</v>
      </c>
    </row>
    <row r="6" spans="1:6" ht="14.25" thickBot="1">
      <c r="A6" s="838" t="s">
        <v>212</v>
      </c>
      <c r="B6" s="832" t="s">
        <v>876</v>
      </c>
      <c r="C6" s="1060">
        <v>0.1</v>
      </c>
      <c r="D6" s="1060">
        <v>9.0999999999999998E-2</v>
      </c>
      <c r="E6" s="1060">
        <v>9.0999999999999998E-2</v>
      </c>
      <c r="F6" s="1061">
        <v>0.1</v>
      </c>
    </row>
    <row r="7" spans="1:6" ht="14.25" thickBot="1">
      <c r="A7" s="838" t="s">
        <v>212</v>
      </c>
      <c r="B7" s="842" t="s">
        <v>201</v>
      </c>
      <c r="C7" s="1060">
        <v>8.5999999999999993E-2</v>
      </c>
      <c r="D7" s="1060">
        <v>9.6000000000000002E-2</v>
      </c>
      <c r="E7" s="1060">
        <v>7.5999999999999998E-2</v>
      </c>
      <c r="F7" s="1061">
        <v>0.1</v>
      </c>
    </row>
    <row r="8" spans="1:6" ht="14.25" thickBot="1">
      <c r="A8" s="838" t="s">
        <v>212</v>
      </c>
      <c r="B8" s="832" t="s">
        <v>213</v>
      </c>
      <c r="C8" s="1060">
        <v>9.9000000000000005E-2</v>
      </c>
      <c r="D8" s="1060">
        <v>9.8000000000000004E-2</v>
      </c>
      <c r="E8" s="1060">
        <v>9.8000000000000004E-2</v>
      </c>
      <c r="F8" s="1061">
        <v>0.1</v>
      </c>
    </row>
    <row r="9" spans="1:6" ht="14.25" thickBot="1">
      <c r="A9" s="848" t="s">
        <v>212</v>
      </c>
      <c r="B9" s="843" t="s">
        <v>225</v>
      </c>
      <c r="C9" s="1062">
        <v>0.05</v>
      </c>
      <c r="D9" s="1070"/>
      <c r="E9" s="1070"/>
      <c r="F9" s="1071"/>
    </row>
    <row r="10" spans="1:6" ht="14.25" thickBot="1">
      <c r="A10" s="838" t="s">
        <v>269</v>
      </c>
      <c r="B10" s="839" t="s">
        <v>877</v>
      </c>
      <c r="C10" s="1058">
        <v>8.8999999999999996E-2</v>
      </c>
      <c r="D10" s="1058">
        <v>7.2999999999999995E-2</v>
      </c>
      <c r="E10" s="1058">
        <v>8.2000000000000003E-2</v>
      </c>
      <c r="F10" s="1059">
        <v>0.1</v>
      </c>
    </row>
    <row r="11" spans="1:6" ht="14.25" thickBot="1">
      <c r="A11" s="838" t="s">
        <v>269</v>
      </c>
      <c r="B11" s="842" t="s">
        <v>188</v>
      </c>
      <c r="C11" s="1060">
        <v>8.8999999999999996E-2</v>
      </c>
      <c r="D11" s="1060">
        <v>7.2999999999999995E-2</v>
      </c>
      <c r="E11" s="1060">
        <v>8.2000000000000003E-2</v>
      </c>
      <c r="F11" s="1061">
        <v>0.1</v>
      </c>
    </row>
    <row r="12" spans="1:6" ht="14.25" thickBot="1">
      <c r="A12" s="838" t="s">
        <v>269</v>
      </c>
      <c r="B12" s="842" t="s">
        <v>138</v>
      </c>
      <c r="C12" s="1060">
        <v>6.0999999999999999E-2</v>
      </c>
      <c r="D12" s="1060">
        <v>7.0999999999999994E-2</v>
      </c>
      <c r="E12" s="1060">
        <v>9.6000000000000002E-2</v>
      </c>
      <c r="F12" s="1061">
        <v>0.1</v>
      </c>
    </row>
    <row r="13" spans="1:6" ht="14.25" thickBot="1">
      <c r="A13" s="838" t="s">
        <v>269</v>
      </c>
      <c r="B13" s="842" t="s">
        <v>214</v>
      </c>
      <c r="C13" s="1060">
        <v>6.9000000000000006E-2</v>
      </c>
      <c r="D13" s="1060">
        <v>6.5000000000000002E-2</v>
      </c>
      <c r="E13" s="1060">
        <v>6.6000000000000003E-2</v>
      </c>
      <c r="F13" s="1061">
        <v>0.1</v>
      </c>
    </row>
    <row r="14" spans="1:6" ht="14.25" thickBot="1">
      <c r="A14" s="838" t="s">
        <v>269</v>
      </c>
      <c r="B14" s="842" t="s">
        <v>226</v>
      </c>
      <c r="C14" s="1060">
        <v>0.1</v>
      </c>
      <c r="D14" s="1060">
        <v>6.5000000000000002E-2</v>
      </c>
      <c r="E14" s="1060">
        <v>7.0000000000000007E-2</v>
      </c>
      <c r="F14" s="1061">
        <v>0.1</v>
      </c>
    </row>
    <row r="15" spans="1:6" ht="14.25" thickBot="1">
      <c r="A15" s="838" t="s">
        <v>269</v>
      </c>
      <c r="B15" s="842" t="s">
        <v>237</v>
      </c>
      <c r="C15" s="1060">
        <v>9.8000000000000004E-2</v>
      </c>
      <c r="D15" s="1060">
        <v>8.8999999999999996E-2</v>
      </c>
      <c r="E15" s="1060">
        <v>8.8999999999999996E-2</v>
      </c>
      <c r="F15" s="1061">
        <v>0.1</v>
      </c>
    </row>
    <row r="16" spans="1:6" ht="14.25" thickBot="1">
      <c r="A16" s="838" t="s">
        <v>269</v>
      </c>
      <c r="B16" s="842" t="s">
        <v>248</v>
      </c>
      <c r="C16" s="1060">
        <v>7.0000000000000007E-2</v>
      </c>
      <c r="D16" s="1060">
        <v>9.2999999999999999E-2</v>
      </c>
      <c r="E16" s="1060">
        <v>9.6000000000000002E-2</v>
      </c>
      <c r="F16" s="1061">
        <v>0.1</v>
      </c>
    </row>
    <row r="17" spans="1:6" ht="14.25" thickBot="1">
      <c r="A17" s="838" t="s">
        <v>269</v>
      </c>
      <c r="B17" s="842" t="s">
        <v>259</v>
      </c>
      <c r="C17" s="1060">
        <v>9.5000000000000001E-2</v>
      </c>
      <c r="D17" s="1060">
        <v>0.1</v>
      </c>
      <c r="E17" s="1060">
        <v>0.1</v>
      </c>
      <c r="F17" s="1072"/>
    </row>
    <row r="18" spans="1:6" ht="14.25" thickBot="1">
      <c r="A18" s="838" t="s">
        <v>269</v>
      </c>
      <c r="B18" s="842" t="s">
        <v>271</v>
      </c>
      <c r="C18" s="1060">
        <v>7.3999999999999996E-2</v>
      </c>
      <c r="D18" s="1060">
        <v>9.9000000000000005E-2</v>
      </c>
      <c r="E18" s="1060">
        <v>0.1</v>
      </c>
      <c r="F18" s="1072"/>
    </row>
    <row r="19" spans="1:6" ht="14.25" thickBot="1">
      <c r="A19" s="838" t="s">
        <v>269</v>
      </c>
      <c r="B19" s="842" t="s">
        <v>281</v>
      </c>
      <c r="C19" s="1060">
        <v>9.9000000000000005E-2</v>
      </c>
      <c r="D19" s="1060">
        <v>7.5999999999999998E-2</v>
      </c>
      <c r="E19" s="1060">
        <v>8.6999999999999994E-2</v>
      </c>
      <c r="F19" s="1072"/>
    </row>
    <row r="20" spans="1:6" ht="14.25" thickBot="1">
      <c r="A20" s="838" t="s">
        <v>269</v>
      </c>
      <c r="B20" s="842" t="s">
        <v>291</v>
      </c>
      <c r="C20" s="1060">
        <v>9.8000000000000004E-2</v>
      </c>
      <c r="D20" s="1060">
        <v>8.5000000000000006E-2</v>
      </c>
      <c r="E20" s="1060">
        <v>8.2000000000000003E-2</v>
      </c>
      <c r="F20" s="1072"/>
    </row>
    <row r="21" spans="1:6" ht="14.25" thickBot="1">
      <c r="A21" s="838" t="s">
        <v>269</v>
      </c>
      <c r="B21" s="842" t="s">
        <v>301</v>
      </c>
      <c r="C21" s="1060">
        <v>6.6000000000000003E-2</v>
      </c>
      <c r="D21" s="1060">
        <v>6.4000000000000001E-2</v>
      </c>
      <c r="E21" s="1060">
        <v>6.5000000000000002E-2</v>
      </c>
      <c r="F21" s="1072"/>
    </row>
    <row r="22" spans="1:6" ht="14.25" thickBot="1">
      <c r="A22" s="838" t="s">
        <v>269</v>
      </c>
      <c r="B22" s="842" t="s">
        <v>878</v>
      </c>
      <c r="C22" s="1060">
        <v>0.08</v>
      </c>
      <c r="D22" s="1060">
        <v>9.8000000000000004E-2</v>
      </c>
      <c r="E22" s="1060">
        <v>9.8000000000000004E-2</v>
      </c>
      <c r="F22" s="1072"/>
    </row>
    <row r="23" spans="1:6" ht="14.25" thickBot="1">
      <c r="A23" s="838" t="s">
        <v>269</v>
      </c>
      <c r="B23" s="842" t="s">
        <v>322</v>
      </c>
      <c r="C23" s="1060">
        <v>9.9000000000000005E-2</v>
      </c>
      <c r="D23" s="1060">
        <v>9.8000000000000004E-2</v>
      </c>
      <c r="E23" s="1060">
        <v>9.0999999999999998E-2</v>
      </c>
      <c r="F23" s="1072"/>
    </row>
    <row r="24" spans="1:6" ht="14.25" thickBot="1">
      <c r="A24" s="838" t="s">
        <v>269</v>
      </c>
      <c r="B24" s="842" t="s">
        <v>333</v>
      </c>
      <c r="C24" s="1060">
        <v>8.8999999999999996E-2</v>
      </c>
      <c r="D24" s="1060">
        <v>9.7000000000000003E-2</v>
      </c>
      <c r="E24" s="1060">
        <v>7.0000000000000007E-2</v>
      </c>
      <c r="F24" s="1072"/>
    </row>
    <row r="25" spans="1:6" ht="14.25" thickBot="1">
      <c r="A25" s="838" t="s">
        <v>269</v>
      </c>
      <c r="B25" s="842" t="s">
        <v>343</v>
      </c>
      <c r="C25" s="1060">
        <v>8.8999999999999996E-2</v>
      </c>
      <c r="D25" s="1060">
        <v>0.1</v>
      </c>
      <c r="E25" s="1060">
        <v>8.1000000000000003E-2</v>
      </c>
      <c r="F25" s="1072"/>
    </row>
    <row r="26" spans="1:6" ht="14.25" thickBot="1">
      <c r="A26" s="838" t="s">
        <v>269</v>
      </c>
      <c r="B26" s="842" t="s">
        <v>353</v>
      </c>
      <c r="C26" s="1073"/>
      <c r="D26" s="1060">
        <v>9.6000000000000002E-2</v>
      </c>
      <c r="E26" s="1060">
        <v>9.2999999999999999E-2</v>
      </c>
      <c r="F26" s="1072"/>
    </row>
    <row r="27" spans="1:6" ht="14.25" thickBot="1">
      <c r="A27" s="838" t="s">
        <v>269</v>
      </c>
      <c r="B27" s="842" t="s">
        <v>363</v>
      </c>
      <c r="C27" s="1073"/>
      <c r="D27" s="1060">
        <v>7.5999999999999998E-2</v>
      </c>
      <c r="E27" s="1060">
        <v>9.1999999999999998E-2</v>
      </c>
      <c r="F27" s="1072"/>
    </row>
    <row r="28" spans="1:6" ht="14.25" thickBot="1">
      <c r="A28" s="848" t="s">
        <v>269</v>
      </c>
      <c r="B28" s="843" t="s">
        <v>373</v>
      </c>
      <c r="C28" s="1070"/>
      <c r="D28" s="1062">
        <v>7.5999999999999998E-2</v>
      </c>
      <c r="E28" s="1062">
        <v>9.1999999999999998E-2</v>
      </c>
      <c r="F28" s="1071"/>
    </row>
    <row r="29" spans="1:6" ht="14.25" thickBot="1">
      <c r="A29" s="838" t="s">
        <v>442</v>
      </c>
      <c r="B29" s="839" t="s">
        <v>879</v>
      </c>
      <c r="C29" s="1058">
        <v>6.4000000000000001E-2</v>
      </c>
      <c r="D29" s="1058">
        <v>6.5000000000000002E-2</v>
      </c>
      <c r="E29" s="1058">
        <v>6.9000000000000006E-2</v>
      </c>
      <c r="F29" s="1059">
        <v>0.1</v>
      </c>
    </row>
    <row r="30" spans="1:6" ht="14.25" thickBot="1">
      <c r="A30" s="838" t="s">
        <v>442</v>
      </c>
      <c r="B30" s="842" t="s">
        <v>189</v>
      </c>
      <c r="C30" s="1060">
        <v>6.4000000000000001E-2</v>
      </c>
      <c r="D30" s="1060">
        <v>9.9000000000000005E-2</v>
      </c>
      <c r="E30" s="1060">
        <v>0.1</v>
      </c>
      <c r="F30" s="1061">
        <v>0.1</v>
      </c>
    </row>
    <row r="31" spans="1:6" ht="14.25" thickBot="1">
      <c r="A31" s="838" t="s">
        <v>442</v>
      </c>
      <c r="B31" s="842" t="s">
        <v>202</v>
      </c>
      <c r="C31" s="1060">
        <v>0.1</v>
      </c>
      <c r="D31" s="1060">
        <v>9.5000000000000001E-2</v>
      </c>
      <c r="E31" s="1060">
        <v>8.8999999999999996E-2</v>
      </c>
      <c r="F31" s="1061">
        <v>0.1</v>
      </c>
    </row>
    <row r="32" spans="1:6" ht="14.25" thickBot="1">
      <c r="A32" s="838" t="s">
        <v>442</v>
      </c>
      <c r="B32" s="842" t="s">
        <v>215</v>
      </c>
      <c r="C32" s="1060">
        <v>0.05</v>
      </c>
      <c r="D32" s="1060">
        <v>0.05</v>
      </c>
      <c r="E32" s="1060">
        <v>8.7999999999999995E-2</v>
      </c>
      <c r="F32" s="1061">
        <v>0.1</v>
      </c>
    </row>
    <row r="33" spans="1:6" ht="14.25" thickBot="1">
      <c r="A33" s="838" t="s">
        <v>442</v>
      </c>
      <c r="B33" s="842" t="s">
        <v>227</v>
      </c>
      <c r="C33" s="1060">
        <v>7.4999999999999997E-2</v>
      </c>
      <c r="D33" s="1060">
        <v>9.4E-2</v>
      </c>
      <c r="E33" s="1060">
        <v>9.7000000000000003E-2</v>
      </c>
      <c r="F33" s="1061">
        <v>0.1</v>
      </c>
    </row>
    <row r="34" spans="1:6" ht="14.25" thickBot="1">
      <c r="A34" s="838" t="s">
        <v>442</v>
      </c>
      <c r="B34" s="842" t="s">
        <v>238</v>
      </c>
      <c r="C34" s="1060">
        <v>9.8000000000000004E-2</v>
      </c>
      <c r="D34" s="1060">
        <v>8.5999999999999993E-2</v>
      </c>
      <c r="E34" s="1060">
        <v>9.7000000000000003E-2</v>
      </c>
      <c r="F34" s="1061">
        <v>0.1</v>
      </c>
    </row>
    <row r="35" spans="1:6" ht="14.25" thickBot="1">
      <c r="A35" s="838" t="s">
        <v>442</v>
      </c>
      <c r="B35" s="842" t="s">
        <v>249</v>
      </c>
      <c r="C35" s="1060">
        <v>5.8999999999999997E-2</v>
      </c>
      <c r="D35" s="1060">
        <v>6.5000000000000002E-2</v>
      </c>
      <c r="E35" s="1060">
        <v>7.0000000000000007E-2</v>
      </c>
      <c r="F35" s="1061">
        <v>0.1</v>
      </c>
    </row>
    <row r="36" spans="1:6" ht="14.25" thickBot="1">
      <c r="A36" s="838" t="s">
        <v>442</v>
      </c>
      <c r="B36" s="842" t="s">
        <v>260</v>
      </c>
      <c r="C36" s="1060">
        <v>6.3E-2</v>
      </c>
      <c r="D36" s="1060">
        <v>0.1</v>
      </c>
      <c r="E36" s="1060">
        <v>0.1</v>
      </c>
      <c r="F36" s="1061">
        <v>0.1</v>
      </c>
    </row>
    <row r="37" spans="1:6" ht="14.25" thickBot="1">
      <c r="A37" s="838" t="s">
        <v>442</v>
      </c>
      <c r="B37" s="842" t="s">
        <v>272</v>
      </c>
      <c r="C37" s="1060">
        <v>7.3999999999999996E-2</v>
      </c>
      <c r="D37" s="1060">
        <v>0.1</v>
      </c>
      <c r="E37" s="1060">
        <v>0.1</v>
      </c>
      <c r="F37" s="1061">
        <v>0.1</v>
      </c>
    </row>
    <row r="38" spans="1:6" ht="14.25" thickBot="1">
      <c r="A38" s="838" t="s">
        <v>442</v>
      </c>
      <c r="B38" s="842" t="s">
        <v>282</v>
      </c>
      <c r="C38" s="1060">
        <v>0.1</v>
      </c>
      <c r="D38" s="1060">
        <v>9.6000000000000002E-2</v>
      </c>
      <c r="E38" s="1060">
        <v>9.6000000000000002E-2</v>
      </c>
      <c r="F38" s="1072"/>
    </row>
    <row r="39" spans="1:6" ht="14.25" thickBot="1">
      <c r="A39" s="838" t="s">
        <v>442</v>
      </c>
      <c r="B39" s="842" t="s">
        <v>292</v>
      </c>
      <c r="C39" s="1060">
        <v>0.1</v>
      </c>
      <c r="D39" s="1060">
        <v>9.6000000000000002E-2</v>
      </c>
      <c r="E39" s="1060">
        <v>9.6000000000000002E-2</v>
      </c>
      <c r="F39" s="1072"/>
    </row>
    <row r="40" spans="1:6" ht="14.25" thickBot="1">
      <c r="A40" s="838" t="s">
        <v>442</v>
      </c>
      <c r="B40" s="842" t="s">
        <v>302</v>
      </c>
      <c r="C40" s="1060">
        <v>9.6000000000000002E-2</v>
      </c>
      <c r="D40" s="1060">
        <v>0.1</v>
      </c>
      <c r="E40" s="1060">
        <v>9.9000000000000005E-2</v>
      </c>
      <c r="F40" s="1072"/>
    </row>
    <row r="41" spans="1:6" ht="14.25" thickBot="1">
      <c r="A41" s="838" t="s">
        <v>442</v>
      </c>
      <c r="B41" s="842" t="s">
        <v>312</v>
      </c>
      <c r="C41" s="1060">
        <v>9.6000000000000002E-2</v>
      </c>
      <c r="D41" s="1060">
        <v>9.8000000000000004E-2</v>
      </c>
      <c r="E41" s="1060">
        <v>9.8000000000000004E-2</v>
      </c>
      <c r="F41" s="1072"/>
    </row>
    <row r="42" spans="1:6" ht="14.25" thickBot="1">
      <c r="A42" s="838" t="s">
        <v>442</v>
      </c>
      <c r="B42" s="842" t="s">
        <v>323</v>
      </c>
      <c r="C42" s="1060">
        <v>0.1</v>
      </c>
      <c r="D42" s="1060">
        <v>8.7999999999999995E-2</v>
      </c>
      <c r="E42" s="1060">
        <v>0.1</v>
      </c>
      <c r="F42" s="1072"/>
    </row>
    <row r="43" spans="1:6" ht="14.25" thickBot="1">
      <c r="A43" s="838" t="s">
        <v>442</v>
      </c>
      <c r="B43" s="842" t="s">
        <v>334</v>
      </c>
      <c r="C43" s="1060">
        <v>9.8000000000000004E-2</v>
      </c>
      <c r="D43" s="1060">
        <v>9.7000000000000003E-2</v>
      </c>
      <c r="E43" s="1060">
        <v>9.6000000000000002E-2</v>
      </c>
      <c r="F43" s="1072"/>
    </row>
    <row r="44" spans="1:6" ht="14.25" thickBot="1">
      <c r="A44" s="838" t="s">
        <v>442</v>
      </c>
      <c r="B44" s="842" t="s">
        <v>344</v>
      </c>
      <c r="C44" s="1060">
        <v>8.5999999999999993E-2</v>
      </c>
      <c r="D44" s="1060">
        <v>7.9000000000000001E-2</v>
      </c>
      <c r="E44" s="1060">
        <v>7.0999999999999994E-2</v>
      </c>
      <c r="F44" s="1072"/>
    </row>
    <row r="45" spans="1:6" ht="14.25" thickBot="1">
      <c r="A45" s="838" t="s">
        <v>442</v>
      </c>
      <c r="B45" s="842" t="s">
        <v>354</v>
      </c>
      <c r="C45" s="1060">
        <v>9.8000000000000004E-2</v>
      </c>
      <c r="D45" s="1060">
        <v>9.6000000000000002E-2</v>
      </c>
      <c r="E45" s="1060">
        <v>9.6000000000000002E-2</v>
      </c>
      <c r="F45" s="1072"/>
    </row>
    <row r="46" spans="1:6" ht="14.25" thickBot="1">
      <c r="A46" s="838" t="s">
        <v>442</v>
      </c>
      <c r="B46" s="842" t="s">
        <v>364</v>
      </c>
      <c r="C46" s="1060">
        <v>8.5999999999999993E-2</v>
      </c>
      <c r="D46" s="1060">
        <v>9.8000000000000004E-2</v>
      </c>
      <c r="E46" s="1060">
        <v>8.7999999999999995E-2</v>
      </c>
      <c r="F46" s="1072"/>
    </row>
    <row r="47" spans="1:6" ht="14.25" thickBot="1">
      <c r="A47" s="838" t="s">
        <v>442</v>
      </c>
      <c r="B47" s="842" t="s">
        <v>374</v>
      </c>
      <c r="C47" s="1060">
        <v>9.6000000000000002E-2</v>
      </c>
      <c r="D47" s="1073"/>
      <c r="E47" s="1060">
        <v>6.9000000000000006E-2</v>
      </c>
      <c r="F47" s="1072"/>
    </row>
    <row r="48" spans="1:6" ht="14.25" thickBot="1">
      <c r="A48" s="848" t="s">
        <v>442</v>
      </c>
      <c r="B48" s="843" t="s">
        <v>383</v>
      </c>
      <c r="C48" s="1062">
        <v>9.8000000000000004E-2</v>
      </c>
      <c r="D48" s="1070"/>
      <c r="E48" s="1062">
        <v>9.5000000000000001E-2</v>
      </c>
      <c r="F48" s="1071"/>
    </row>
    <row r="49" spans="1:6" ht="14.25" thickBot="1">
      <c r="A49" s="838" t="s">
        <v>137</v>
      </c>
      <c r="B49" s="839" t="s">
        <v>880</v>
      </c>
      <c r="C49" s="1058">
        <v>9.7000000000000003E-2</v>
      </c>
      <c r="D49" s="1058">
        <v>9.5000000000000001E-2</v>
      </c>
      <c r="E49" s="1058">
        <v>9.7000000000000003E-2</v>
      </c>
      <c r="F49" s="1059">
        <v>0.1</v>
      </c>
    </row>
    <row r="50" spans="1:6" ht="14.25" thickBot="1">
      <c r="A50" s="838" t="s">
        <v>137</v>
      </c>
      <c r="B50" s="832" t="s">
        <v>190</v>
      </c>
      <c r="C50" s="1060">
        <v>7.4999999999999997E-2</v>
      </c>
      <c r="D50" s="1060">
        <v>9.5000000000000001E-2</v>
      </c>
      <c r="E50" s="1060">
        <v>0.1</v>
      </c>
      <c r="F50" s="1061">
        <v>0.1</v>
      </c>
    </row>
    <row r="51" spans="1:6" ht="14.25" thickBot="1">
      <c r="A51" s="838" t="s">
        <v>137</v>
      </c>
      <c r="B51" s="832" t="s">
        <v>203</v>
      </c>
      <c r="C51" s="1060">
        <v>9.8000000000000004E-2</v>
      </c>
      <c r="D51" s="1060">
        <v>8.8999999999999996E-2</v>
      </c>
      <c r="E51" s="1060">
        <v>0.1</v>
      </c>
      <c r="F51" s="1061">
        <v>0.1</v>
      </c>
    </row>
    <row r="52" spans="1:6" ht="14.25" thickBot="1">
      <c r="A52" s="838" t="s">
        <v>137</v>
      </c>
      <c r="B52" s="832" t="s">
        <v>216</v>
      </c>
      <c r="C52" s="1060">
        <v>9.8000000000000004E-2</v>
      </c>
      <c r="D52" s="1060">
        <v>9.7000000000000003E-2</v>
      </c>
      <c r="E52" s="1060">
        <v>8.1000000000000003E-2</v>
      </c>
      <c r="F52" s="1061">
        <v>0.1</v>
      </c>
    </row>
    <row r="53" spans="1:6" ht="14.25" thickBot="1">
      <c r="A53" s="838" t="s">
        <v>137</v>
      </c>
      <c r="B53" s="832" t="s">
        <v>228</v>
      </c>
      <c r="C53" s="1060">
        <v>9.7000000000000003E-2</v>
      </c>
      <c r="D53" s="1060">
        <v>7.5999999999999998E-2</v>
      </c>
      <c r="E53" s="1060">
        <v>7.0999999999999994E-2</v>
      </c>
      <c r="F53" s="1061">
        <v>0.1</v>
      </c>
    </row>
    <row r="54" spans="1:6" ht="14.25" thickBot="1">
      <c r="A54" s="838" t="s">
        <v>137</v>
      </c>
      <c r="B54" s="832" t="s">
        <v>239</v>
      </c>
      <c r="C54" s="1060">
        <v>7.5999999999999998E-2</v>
      </c>
      <c r="D54" s="1060">
        <v>0.1</v>
      </c>
      <c r="E54" s="1060">
        <v>9.9000000000000005E-2</v>
      </c>
      <c r="F54" s="1061">
        <v>0.1</v>
      </c>
    </row>
    <row r="55" spans="1:6" ht="14.25" thickBot="1">
      <c r="A55" s="838" t="s">
        <v>137</v>
      </c>
      <c r="B55" s="832" t="s">
        <v>250</v>
      </c>
      <c r="C55" s="1060">
        <v>0.1</v>
      </c>
      <c r="D55" s="1060">
        <v>0.1</v>
      </c>
      <c r="E55" s="1060">
        <v>9.6000000000000002E-2</v>
      </c>
      <c r="F55" s="1061">
        <v>0.1</v>
      </c>
    </row>
    <row r="56" spans="1:6" ht="14.25" thickBot="1">
      <c r="A56" s="838" t="s">
        <v>137</v>
      </c>
      <c r="B56" s="832" t="s">
        <v>261</v>
      </c>
      <c r="C56" s="1060">
        <v>0.1</v>
      </c>
      <c r="D56" s="1060">
        <v>9.6000000000000002E-2</v>
      </c>
      <c r="E56" s="1060">
        <v>5.1999999999999998E-2</v>
      </c>
      <c r="F56" s="1061">
        <v>0.1</v>
      </c>
    </row>
    <row r="57" spans="1:6" ht="14.25" thickBot="1">
      <c r="A57" s="838" t="s">
        <v>137</v>
      </c>
      <c r="B57" s="832" t="s">
        <v>273</v>
      </c>
      <c r="C57" s="1060">
        <v>9.7000000000000003E-2</v>
      </c>
      <c r="D57" s="1060">
        <v>9.6000000000000002E-2</v>
      </c>
      <c r="E57" s="1060">
        <v>9.6000000000000002E-2</v>
      </c>
      <c r="F57" s="1061">
        <v>0.1</v>
      </c>
    </row>
    <row r="58" spans="1:6" ht="14.25" thickBot="1">
      <c r="A58" s="838" t="s">
        <v>137</v>
      </c>
      <c r="B58" s="832" t="s">
        <v>283</v>
      </c>
      <c r="C58" s="1060">
        <v>9.6000000000000002E-2</v>
      </c>
      <c r="D58" s="1060">
        <v>9.9000000000000005E-2</v>
      </c>
      <c r="E58" s="1060">
        <v>9.6000000000000002E-2</v>
      </c>
      <c r="F58" s="1061">
        <v>0.1</v>
      </c>
    </row>
    <row r="59" spans="1:6" ht="14.25" thickBot="1">
      <c r="A59" s="838" t="s">
        <v>137</v>
      </c>
      <c r="B59" s="832" t="s">
        <v>293</v>
      </c>
      <c r="C59" s="1060">
        <v>7.1999999999999995E-2</v>
      </c>
      <c r="D59" s="1060">
        <v>9.6000000000000002E-2</v>
      </c>
      <c r="E59" s="1060">
        <v>7.0999999999999994E-2</v>
      </c>
      <c r="F59" s="1061">
        <v>0.1</v>
      </c>
    </row>
    <row r="60" spans="1:6" ht="14.25" thickBot="1">
      <c r="A60" s="838" t="s">
        <v>137</v>
      </c>
      <c r="B60" s="832" t="s">
        <v>303</v>
      </c>
      <c r="C60" s="1060">
        <v>9.6000000000000002E-2</v>
      </c>
      <c r="D60" s="1060">
        <v>8.8999999999999996E-2</v>
      </c>
      <c r="E60" s="1060">
        <v>9.6000000000000002E-2</v>
      </c>
      <c r="F60" s="1061">
        <v>0.1</v>
      </c>
    </row>
    <row r="61" spans="1:6" ht="14.25" thickBot="1">
      <c r="A61" s="838" t="s">
        <v>137</v>
      </c>
      <c r="B61" s="832" t="s">
        <v>313</v>
      </c>
      <c r="C61" s="1060">
        <v>8.8999999999999996E-2</v>
      </c>
      <c r="D61" s="1060">
        <v>9.8000000000000004E-2</v>
      </c>
      <c r="E61" s="1060">
        <v>8.7999999999999995E-2</v>
      </c>
      <c r="F61" s="1072"/>
    </row>
    <row r="62" spans="1:6" ht="14.25" thickBot="1">
      <c r="A62" s="838" t="s">
        <v>137</v>
      </c>
      <c r="B62" s="832" t="s">
        <v>324</v>
      </c>
      <c r="C62" s="1060">
        <v>9.8000000000000004E-2</v>
      </c>
      <c r="D62" s="1060">
        <v>9.2999999999999999E-2</v>
      </c>
      <c r="E62" s="1060">
        <v>9.7000000000000003E-2</v>
      </c>
      <c r="F62" s="1072"/>
    </row>
    <row r="63" spans="1:6" ht="14.25" thickBot="1">
      <c r="A63" s="838" t="s">
        <v>137</v>
      </c>
      <c r="B63" s="832" t="s">
        <v>335</v>
      </c>
      <c r="C63" s="1060">
        <v>9.6000000000000002E-2</v>
      </c>
      <c r="D63" s="1060">
        <v>9.8000000000000004E-2</v>
      </c>
      <c r="E63" s="1060">
        <v>0.09</v>
      </c>
      <c r="F63" s="1072"/>
    </row>
    <row r="64" spans="1:6" ht="14.25" thickBot="1">
      <c r="A64" s="838" t="s">
        <v>137</v>
      </c>
      <c r="B64" s="832" t="s">
        <v>345</v>
      </c>
      <c r="C64" s="1060">
        <v>9.9000000000000005E-2</v>
      </c>
      <c r="D64" s="1060">
        <v>9.7000000000000003E-2</v>
      </c>
      <c r="E64" s="1060">
        <v>9.9000000000000005E-2</v>
      </c>
      <c r="F64" s="1072"/>
    </row>
    <row r="65" spans="1:6" ht="14.25" thickBot="1">
      <c r="A65" s="838" t="s">
        <v>137</v>
      </c>
      <c r="B65" s="832" t="s">
        <v>355</v>
      </c>
      <c r="C65" s="1060">
        <v>9.8000000000000004E-2</v>
      </c>
      <c r="D65" s="1060">
        <v>9.6000000000000002E-2</v>
      </c>
      <c r="E65" s="1060">
        <v>9.6000000000000002E-2</v>
      </c>
      <c r="F65" s="1072"/>
    </row>
    <row r="66" spans="1:6" ht="14.25" thickBot="1">
      <c r="A66" s="838" t="s">
        <v>137</v>
      </c>
      <c r="B66" s="832" t="s">
        <v>365</v>
      </c>
      <c r="C66" s="1060">
        <v>9.6000000000000002E-2</v>
      </c>
      <c r="D66" s="1060">
        <v>9.1999999999999998E-2</v>
      </c>
      <c r="E66" s="1060">
        <v>9.6000000000000002E-2</v>
      </c>
      <c r="F66" s="1072"/>
    </row>
    <row r="67" spans="1:6" ht="14.25" thickBot="1">
      <c r="A67" s="838" t="s">
        <v>137</v>
      </c>
      <c r="B67" s="832" t="s">
        <v>375</v>
      </c>
      <c r="C67" s="1060">
        <v>9.4E-2</v>
      </c>
      <c r="D67" s="1060">
        <v>0.1</v>
      </c>
      <c r="E67" s="1060">
        <v>8.7999999999999995E-2</v>
      </c>
      <c r="F67" s="1072"/>
    </row>
    <row r="68" spans="1:6" ht="14.25" thickBot="1">
      <c r="A68" s="838" t="s">
        <v>137</v>
      </c>
      <c r="B68" s="832" t="s">
        <v>384</v>
      </c>
      <c r="C68" s="1060">
        <v>0.1</v>
      </c>
      <c r="D68" s="1060">
        <v>8.7999999999999995E-2</v>
      </c>
      <c r="E68" s="1060">
        <v>9.7000000000000003E-2</v>
      </c>
      <c r="F68" s="1072"/>
    </row>
    <row r="69" spans="1:6" ht="14.25" thickBot="1">
      <c r="A69" s="838" t="s">
        <v>137</v>
      </c>
      <c r="B69" s="832" t="s">
        <v>393</v>
      </c>
      <c r="C69" s="1060">
        <v>6.4000000000000001E-2</v>
      </c>
      <c r="D69" s="1060">
        <v>0.1</v>
      </c>
      <c r="E69" s="1060">
        <v>0.1</v>
      </c>
      <c r="F69" s="1072"/>
    </row>
    <row r="70" spans="1:6" ht="14.25" thickBot="1">
      <c r="A70" s="838" t="s">
        <v>137</v>
      </c>
      <c r="B70" s="832" t="s">
        <v>401</v>
      </c>
      <c r="C70" s="1060">
        <v>9.0999999999999998E-2</v>
      </c>
      <c r="D70" s="1073"/>
      <c r="E70" s="1073"/>
      <c r="F70" s="1072"/>
    </row>
    <row r="71" spans="1:6" ht="14.25" thickBot="1">
      <c r="A71" s="838" t="s">
        <v>137</v>
      </c>
      <c r="B71" s="832" t="s">
        <v>408</v>
      </c>
      <c r="C71" s="1060">
        <v>0.1</v>
      </c>
      <c r="D71" s="1073"/>
      <c r="E71" s="1073"/>
      <c r="F71" s="1072"/>
    </row>
    <row r="72" spans="1:6" ht="14.25" thickBot="1">
      <c r="A72" s="838" t="s">
        <v>137</v>
      </c>
      <c r="B72" s="832" t="s">
        <v>881</v>
      </c>
      <c r="C72" s="1073"/>
      <c r="D72" s="1073"/>
      <c r="E72" s="1073"/>
      <c r="F72" s="1061">
        <v>0.05</v>
      </c>
    </row>
    <row r="73" spans="1:6" ht="14.25" thickBot="1">
      <c r="A73" s="838" t="s">
        <v>137</v>
      </c>
      <c r="B73" s="832" t="s">
        <v>882</v>
      </c>
      <c r="C73" s="1073"/>
      <c r="D73" s="1073"/>
      <c r="E73" s="1073"/>
      <c r="F73" s="1061">
        <v>0.05</v>
      </c>
    </row>
    <row r="74" spans="1:6" ht="14.25" thickBot="1">
      <c r="A74" s="838" t="s">
        <v>137</v>
      </c>
      <c r="B74" s="832" t="s">
        <v>883</v>
      </c>
      <c r="C74" s="1073"/>
      <c r="D74" s="1073"/>
      <c r="E74" s="1073"/>
      <c r="F74" s="1061">
        <v>0.05</v>
      </c>
    </row>
    <row r="75" spans="1:6" ht="14.25" thickBot="1">
      <c r="A75" s="848" t="s">
        <v>137</v>
      </c>
      <c r="B75" s="844" t="s">
        <v>884</v>
      </c>
      <c r="C75" s="1070"/>
      <c r="D75" s="1070"/>
      <c r="E75" s="1070"/>
      <c r="F75" s="1063">
        <v>0.05</v>
      </c>
    </row>
    <row r="76" spans="1:6" ht="14.25" thickBot="1">
      <c r="A76" s="838" t="s">
        <v>523</v>
      </c>
      <c r="B76" s="839" t="s">
        <v>885</v>
      </c>
      <c r="C76" s="1058">
        <v>0.1</v>
      </c>
      <c r="D76" s="1058">
        <v>0.1</v>
      </c>
      <c r="E76" s="1058">
        <v>0.1</v>
      </c>
      <c r="F76" s="1059">
        <v>0.1</v>
      </c>
    </row>
    <row r="77" spans="1:6" ht="14.25" thickBot="1">
      <c r="A77" s="838" t="s">
        <v>523</v>
      </c>
      <c r="B77" s="832" t="s">
        <v>191</v>
      </c>
      <c r="C77" s="1060">
        <v>8.7999999999999995E-2</v>
      </c>
      <c r="D77" s="1060">
        <v>8.6999999999999994E-2</v>
      </c>
      <c r="E77" s="1060">
        <v>7.9000000000000001E-2</v>
      </c>
      <c r="F77" s="1061">
        <v>0.1</v>
      </c>
    </row>
    <row r="78" spans="1:6" ht="14.25" thickBot="1">
      <c r="A78" s="838" t="s">
        <v>523</v>
      </c>
      <c r="B78" s="832" t="s">
        <v>204</v>
      </c>
      <c r="C78" s="1060">
        <v>8.6999999999999994E-2</v>
      </c>
      <c r="D78" s="1060">
        <v>8.4000000000000005E-2</v>
      </c>
      <c r="E78" s="1060">
        <v>9.6000000000000002E-2</v>
      </c>
      <c r="F78" s="1061">
        <v>0.1</v>
      </c>
    </row>
    <row r="79" spans="1:6" ht="14.25" thickBot="1">
      <c r="A79" s="838" t="s">
        <v>523</v>
      </c>
      <c r="B79" s="832" t="s">
        <v>217</v>
      </c>
      <c r="C79" s="1060">
        <v>9.8000000000000004E-2</v>
      </c>
      <c r="D79" s="1060">
        <v>9.8000000000000004E-2</v>
      </c>
      <c r="E79" s="1060">
        <v>9.0999999999999998E-2</v>
      </c>
      <c r="F79" s="1061">
        <v>0.1</v>
      </c>
    </row>
    <row r="80" spans="1:6" ht="14.25" thickBot="1">
      <c r="A80" s="838" t="s">
        <v>523</v>
      </c>
      <c r="B80" s="832" t="s">
        <v>229</v>
      </c>
      <c r="C80" s="1060">
        <v>9.6000000000000002E-2</v>
      </c>
      <c r="D80" s="1060">
        <v>9.6000000000000002E-2</v>
      </c>
      <c r="E80" s="1060">
        <v>0.1</v>
      </c>
      <c r="F80" s="1061">
        <v>0.1</v>
      </c>
    </row>
    <row r="81" spans="1:6" ht="14.25" thickBot="1">
      <c r="A81" s="838" t="s">
        <v>523</v>
      </c>
      <c r="B81" s="832" t="s">
        <v>240</v>
      </c>
      <c r="C81" s="1060">
        <v>9.9000000000000005E-2</v>
      </c>
      <c r="D81" s="1060">
        <v>9.9000000000000005E-2</v>
      </c>
      <c r="E81" s="1060">
        <v>9.8000000000000004E-2</v>
      </c>
      <c r="F81" s="1061">
        <v>0.1</v>
      </c>
    </row>
    <row r="82" spans="1:6" ht="14.25" thickBot="1">
      <c r="A82" s="838" t="s">
        <v>523</v>
      </c>
      <c r="B82" s="832" t="s">
        <v>251</v>
      </c>
      <c r="C82" s="1060">
        <v>9.9000000000000005E-2</v>
      </c>
      <c r="D82" s="1060">
        <v>9.9000000000000005E-2</v>
      </c>
      <c r="E82" s="1060">
        <v>9.7000000000000003E-2</v>
      </c>
      <c r="F82" s="1061">
        <v>0.1</v>
      </c>
    </row>
    <row r="83" spans="1:6" ht="14.25" thickBot="1">
      <c r="A83" s="838" t="s">
        <v>523</v>
      </c>
      <c r="B83" s="832" t="s">
        <v>262</v>
      </c>
      <c r="C83" s="1060">
        <v>9.8000000000000004E-2</v>
      </c>
      <c r="D83" s="1060">
        <v>9.8000000000000004E-2</v>
      </c>
      <c r="E83" s="1060">
        <v>9.8000000000000004E-2</v>
      </c>
      <c r="F83" s="1061">
        <v>0.1</v>
      </c>
    </row>
    <row r="84" spans="1:6" ht="14.25" thickBot="1">
      <c r="A84" s="838" t="s">
        <v>523</v>
      </c>
      <c r="B84" s="832" t="s">
        <v>274</v>
      </c>
      <c r="C84" s="1060">
        <v>9.9000000000000005E-2</v>
      </c>
      <c r="D84" s="1060">
        <v>9.9000000000000005E-2</v>
      </c>
      <c r="E84" s="1060">
        <v>9.9000000000000005E-2</v>
      </c>
      <c r="F84" s="1061">
        <v>0.1</v>
      </c>
    </row>
    <row r="85" spans="1:6" ht="14.25" thickBot="1">
      <c r="A85" s="838" t="s">
        <v>523</v>
      </c>
      <c r="B85" s="832" t="s">
        <v>284</v>
      </c>
      <c r="C85" s="1060">
        <v>9.9000000000000005E-2</v>
      </c>
      <c r="D85" s="1060">
        <v>9.9000000000000005E-2</v>
      </c>
      <c r="E85" s="1060">
        <v>9.9000000000000005E-2</v>
      </c>
      <c r="F85" s="1061">
        <v>0.1</v>
      </c>
    </row>
    <row r="86" spans="1:6" ht="14.25" thickBot="1">
      <c r="A86" s="838" t="s">
        <v>523</v>
      </c>
      <c r="B86" s="832" t="s">
        <v>294</v>
      </c>
      <c r="C86" s="1060">
        <v>0.1</v>
      </c>
      <c r="D86" s="1060">
        <v>0.1</v>
      </c>
      <c r="E86" s="1060">
        <v>7.6999999999999999E-2</v>
      </c>
      <c r="F86" s="1061">
        <v>0.1</v>
      </c>
    </row>
    <row r="87" spans="1:6" ht="14.25" thickBot="1">
      <c r="A87" s="838" t="s">
        <v>523</v>
      </c>
      <c r="B87" s="832" t="s">
        <v>304</v>
      </c>
      <c r="C87" s="1060">
        <v>0.1</v>
      </c>
      <c r="D87" s="1060">
        <v>0.1</v>
      </c>
      <c r="E87" s="1060">
        <v>9.8000000000000004E-2</v>
      </c>
      <c r="F87" s="1072"/>
    </row>
    <row r="88" spans="1:6" ht="14.25" thickBot="1">
      <c r="A88" s="838" t="s">
        <v>523</v>
      </c>
      <c r="B88" s="832" t="s">
        <v>314</v>
      </c>
      <c r="C88" s="1060">
        <v>9.1999999999999998E-2</v>
      </c>
      <c r="D88" s="1060">
        <v>8.5000000000000006E-2</v>
      </c>
      <c r="E88" s="1060">
        <v>9.6000000000000002E-2</v>
      </c>
      <c r="F88" s="1072"/>
    </row>
    <row r="89" spans="1:6" ht="14.25" thickBot="1">
      <c r="A89" s="838" t="s">
        <v>523</v>
      </c>
      <c r="B89" s="832" t="s">
        <v>325</v>
      </c>
      <c r="C89" s="1060">
        <v>0.1</v>
      </c>
      <c r="D89" s="1060">
        <v>0.1</v>
      </c>
      <c r="E89" s="1060">
        <v>9.7000000000000003E-2</v>
      </c>
      <c r="F89" s="1072"/>
    </row>
    <row r="90" spans="1:6" ht="14.25" thickBot="1">
      <c r="A90" s="838" t="s">
        <v>523</v>
      </c>
      <c r="B90" s="832" t="s">
        <v>336</v>
      </c>
      <c r="C90" s="1060">
        <v>9.8000000000000004E-2</v>
      </c>
      <c r="D90" s="1060">
        <v>9.8000000000000004E-2</v>
      </c>
      <c r="E90" s="1060">
        <v>8.7999999999999995E-2</v>
      </c>
      <c r="F90" s="1072"/>
    </row>
    <row r="91" spans="1:6" ht="14.25" thickBot="1">
      <c r="A91" s="838" t="s">
        <v>523</v>
      </c>
      <c r="B91" s="832" t="s">
        <v>346</v>
      </c>
      <c r="C91" s="1060">
        <v>9.9000000000000005E-2</v>
      </c>
      <c r="D91" s="1060">
        <v>9.9000000000000005E-2</v>
      </c>
      <c r="E91" s="1060">
        <v>9.0999999999999998E-2</v>
      </c>
      <c r="F91" s="1072"/>
    </row>
    <row r="92" spans="1:6" ht="14.25" thickBot="1">
      <c r="A92" s="838" t="s">
        <v>523</v>
      </c>
      <c r="B92" s="832" t="s">
        <v>356</v>
      </c>
      <c r="C92" s="1060">
        <v>9.6000000000000002E-2</v>
      </c>
      <c r="D92" s="1060">
        <v>9.6000000000000002E-2</v>
      </c>
      <c r="E92" s="1060">
        <v>7.2999999999999995E-2</v>
      </c>
      <c r="F92" s="1072"/>
    </row>
    <row r="93" spans="1:6" ht="14.25" thickBot="1">
      <c r="A93" s="838" t="s">
        <v>523</v>
      </c>
      <c r="B93" s="832" t="s">
        <v>366</v>
      </c>
      <c r="C93" s="1060">
        <v>9.6000000000000002E-2</v>
      </c>
      <c r="D93" s="1060">
        <v>9.6000000000000002E-2</v>
      </c>
      <c r="E93" s="1060">
        <v>9.9000000000000005E-2</v>
      </c>
      <c r="F93" s="1072"/>
    </row>
    <row r="94" spans="1:6" ht="14.25" thickBot="1">
      <c r="A94" s="838" t="s">
        <v>523</v>
      </c>
      <c r="B94" s="832" t="s">
        <v>376</v>
      </c>
      <c r="C94" s="1060">
        <v>7.5999999999999998E-2</v>
      </c>
      <c r="D94" s="1060">
        <v>7.3999999999999996E-2</v>
      </c>
      <c r="E94" s="1060">
        <v>9.7000000000000003E-2</v>
      </c>
      <c r="F94" s="1072"/>
    </row>
    <row r="95" spans="1:6" ht="14.25" thickBot="1">
      <c r="A95" s="838" t="s">
        <v>523</v>
      </c>
      <c r="B95" s="832" t="s">
        <v>385</v>
      </c>
      <c r="C95" s="1060">
        <v>9.9000000000000005E-2</v>
      </c>
      <c r="D95" s="1060">
        <v>9.4E-2</v>
      </c>
      <c r="E95" s="1060">
        <v>9.6000000000000002E-2</v>
      </c>
      <c r="F95" s="1072"/>
    </row>
    <row r="96" spans="1:6" ht="14.25" thickBot="1">
      <c r="A96" s="838" t="s">
        <v>523</v>
      </c>
      <c r="B96" s="832" t="s">
        <v>394</v>
      </c>
      <c r="C96" s="1060">
        <v>9.9000000000000005E-2</v>
      </c>
      <c r="D96" s="1060">
        <v>9.9000000000000005E-2</v>
      </c>
      <c r="E96" s="1060">
        <v>9.9000000000000005E-2</v>
      </c>
      <c r="F96" s="1072"/>
    </row>
    <row r="97" spans="1:6" ht="14.25" thickBot="1">
      <c r="A97" s="838" t="s">
        <v>523</v>
      </c>
      <c r="B97" s="832" t="s">
        <v>402</v>
      </c>
      <c r="C97" s="1060">
        <v>9.8000000000000004E-2</v>
      </c>
      <c r="D97" s="1060">
        <v>9.8000000000000004E-2</v>
      </c>
      <c r="E97" s="1060">
        <v>9.7000000000000003E-2</v>
      </c>
      <c r="F97" s="1072"/>
    </row>
    <row r="98" spans="1:6" ht="14.25" thickBot="1">
      <c r="A98" s="838" t="s">
        <v>523</v>
      </c>
      <c r="B98" s="832" t="s">
        <v>409</v>
      </c>
      <c r="C98" s="1060">
        <v>0.1</v>
      </c>
      <c r="D98" s="1060">
        <v>0.1</v>
      </c>
      <c r="E98" s="1060">
        <v>9.7000000000000003E-2</v>
      </c>
      <c r="F98" s="1072"/>
    </row>
    <row r="99" spans="1:6" ht="14.25" thickBot="1">
      <c r="A99" s="838" t="s">
        <v>523</v>
      </c>
      <c r="B99" s="832" t="s">
        <v>416</v>
      </c>
      <c r="C99" s="1060">
        <v>0.1</v>
      </c>
      <c r="D99" s="1060">
        <v>0.1</v>
      </c>
      <c r="E99" s="1073"/>
      <c r="F99" s="1072"/>
    </row>
    <row r="100" spans="1:6" ht="14.25" thickBot="1">
      <c r="A100" s="838" t="s">
        <v>523</v>
      </c>
      <c r="B100" s="832" t="s">
        <v>423</v>
      </c>
      <c r="C100" s="1060">
        <v>0.09</v>
      </c>
      <c r="D100" s="1060">
        <v>8.8999999999999996E-2</v>
      </c>
      <c r="E100" s="1073"/>
      <c r="F100" s="1072"/>
    </row>
    <row r="101" spans="1:6" ht="14.25" thickBot="1">
      <c r="A101" s="838" t="s">
        <v>523</v>
      </c>
      <c r="B101" s="832" t="s">
        <v>430</v>
      </c>
      <c r="C101" s="1060">
        <v>9.8000000000000004E-2</v>
      </c>
      <c r="D101" s="1060">
        <v>9.7000000000000003E-2</v>
      </c>
      <c r="E101" s="1073"/>
      <c r="F101" s="1072"/>
    </row>
    <row r="102" spans="1:6" ht="14.25" thickBot="1">
      <c r="A102" s="838" t="s">
        <v>523</v>
      </c>
      <c r="B102" s="832" t="s">
        <v>886</v>
      </c>
      <c r="C102" s="1073"/>
      <c r="D102" s="1073"/>
      <c r="E102" s="1073"/>
      <c r="F102" s="1061">
        <v>0.05</v>
      </c>
    </row>
    <row r="103" spans="1:6" ht="24.75" thickBot="1">
      <c r="A103" s="838" t="s">
        <v>523</v>
      </c>
      <c r="B103" s="832" t="s">
        <v>887</v>
      </c>
      <c r="C103" s="1073"/>
      <c r="D103" s="1073"/>
      <c r="E103" s="1073"/>
      <c r="F103" s="1061">
        <v>0.05</v>
      </c>
    </row>
    <row r="104" spans="1:6" ht="14.25" thickBot="1">
      <c r="A104" s="838" t="s">
        <v>523</v>
      </c>
      <c r="B104" s="832" t="s">
        <v>888</v>
      </c>
      <c r="C104" s="1073"/>
      <c r="D104" s="1073"/>
      <c r="E104" s="1073"/>
      <c r="F104" s="1061">
        <v>0.05</v>
      </c>
    </row>
    <row r="105" spans="1:6" ht="14.25" thickBot="1">
      <c r="A105" s="838" t="s">
        <v>523</v>
      </c>
      <c r="B105" s="832" t="s">
        <v>889</v>
      </c>
      <c r="C105" s="1073"/>
      <c r="D105" s="1073"/>
      <c r="E105" s="1073"/>
      <c r="F105" s="1061">
        <v>0.05</v>
      </c>
    </row>
    <row r="106" spans="1:6" ht="14.25" thickBot="1">
      <c r="A106" s="838" t="s">
        <v>523</v>
      </c>
      <c r="B106" s="832" t="s">
        <v>890</v>
      </c>
      <c r="C106" s="1073"/>
      <c r="D106" s="1073"/>
      <c r="E106" s="1073"/>
      <c r="F106" s="1061">
        <v>0.05</v>
      </c>
    </row>
    <row r="107" spans="1:6" ht="24.75" thickBot="1">
      <c r="A107" s="838" t="s">
        <v>523</v>
      </c>
      <c r="B107" s="832" t="s">
        <v>891</v>
      </c>
      <c r="C107" s="1073"/>
      <c r="D107" s="1073"/>
      <c r="E107" s="1073"/>
      <c r="F107" s="1061">
        <v>0.05</v>
      </c>
    </row>
    <row r="108" spans="1:6" ht="24.75" thickBot="1">
      <c r="A108" s="838" t="s">
        <v>523</v>
      </c>
      <c r="B108" s="832" t="s">
        <v>892</v>
      </c>
      <c r="C108" s="1073"/>
      <c r="D108" s="1073"/>
      <c r="E108" s="1073"/>
      <c r="F108" s="1061">
        <v>0.05</v>
      </c>
    </row>
    <row r="109" spans="1:6" ht="24.75" thickBot="1">
      <c r="A109" s="848" t="s">
        <v>523</v>
      </c>
      <c r="B109" s="844" t="s">
        <v>893</v>
      </c>
      <c r="C109" s="1070"/>
      <c r="D109" s="1070"/>
      <c r="E109" s="1070"/>
      <c r="F109" s="1063">
        <v>0.05</v>
      </c>
    </row>
    <row r="110" spans="1:6" ht="14.25" thickBot="1">
      <c r="A110" s="838" t="s">
        <v>56</v>
      </c>
      <c r="B110" s="839" t="s">
        <v>894</v>
      </c>
      <c r="C110" s="1058">
        <v>0.129</v>
      </c>
      <c r="D110" s="1058">
        <v>0.129</v>
      </c>
      <c r="E110" s="1058">
        <v>0.126</v>
      </c>
      <c r="F110" s="1059">
        <v>0.13</v>
      </c>
    </row>
    <row r="111" spans="1:6" ht="14.25" thickBot="1">
      <c r="A111" s="838" t="s">
        <v>56</v>
      </c>
      <c r="B111" s="832" t="s">
        <v>192</v>
      </c>
      <c r="C111" s="1060">
        <v>0.11</v>
      </c>
      <c r="D111" s="1060">
        <v>0.11</v>
      </c>
      <c r="E111" s="1060">
        <v>9.9000000000000005E-2</v>
      </c>
      <c r="F111" s="1061">
        <v>0.128</v>
      </c>
    </row>
    <row r="112" spans="1:6" ht="14.25" thickBot="1">
      <c r="A112" s="838" t="s">
        <v>56</v>
      </c>
      <c r="B112" s="832" t="s">
        <v>205</v>
      </c>
      <c r="C112" s="1060">
        <v>0.125</v>
      </c>
      <c r="D112" s="1060">
        <v>0.125</v>
      </c>
      <c r="E112" s="1060">
        <v>0.12</v>
      </c>
      <c r="F112" s="1061">
        <v>0.125</v>
      </c>
    </row>
    <row r="113" spans="1:6" ht="14.25" thickBot="1">
      <c r="A113" s="838" t="s">
        <v>56</v>
      </c>
      <c r="B113" s="832" t="s">
        <v>218</v>
      </c>
      <c r="C113" s="1060">
        <v>0.13</v>
      </c>
      <c r="D113" s="1060">
        <v>0.13</v>
      </c>
      <c r="E113" s="1060">
        <v>0.13</v>
      </c>
      <c r="F113" s="1061">
        <v>0.13</v>
      </c>
    </row>
    <row r="114" spans="1:6" ht="14.25" thickBot="1">
      <c r="A114" s="838" t="s">
        <v>56</v>
      </c>
      <c r="B114" s="832" t="s">
        <v>230</v>
      </c>
      <c r="C114" s="1060">
        <v>0.123</v>
      </c>
      <c r="D114" s="1060">
        <v>0.123</v>
      </c>
      <c r="E114" s="1060">
        <v>0.12</v>
      </c>
      <c r="F114" s="1061">
        <v>0.13</v>
      </c>
    </row>
    <row r="115" spans="1:6" ht="14.25" thickBot="1">
      <c r="A115" s="838" t="s">
        <v>56</v>
      </c>
      <c r="B115" s="832" t="s">
        <v>241</v>
      </c>
      <c r="C115" s="1060">
        <v>0.125</v>
      </c>
      <c r="D115" s="1060">
        <v>0.125</v>
      </c>
      <c r="E115" s="1060">
        <v>0.11700000000000001</v>
      </c>
      <c r="F115" s="1061">
        <v>0.13</v>
      </c>
    </row>
    <row r="116" spans="1:6" ht="14.25" thickBot="1">
      <c r="A116" s="838" t="s">
        <v>56</v>
      </c>
      <c r="B116" s="832" t="s">
        <v>252</v>
      </c>
      <c r="C116" s="1060">
        <v>0.11700000000000001</v>
      </c>
      <c r="D116" s="1060">
        <v>0.11700000000000001</v>
      </c>
      <c r="E116" s="1060">
        <v>8.7999999999999995E-2</v>
      </c>
      <c r="F116" s="1061">
        <v>0.13</v>
      </c>
    </row>
    <row r="117" spans="1:6" ht="14.25" thickBot="1">
      <c r="A117" s="838" t="s">
        <v>56</v>
      </c>
      <c r="B117" s="832" t="s">
        <v>263</v>
      </c>
      <c r="C117" s="1060">
        <v>0.13</v>
      </c>
      <c r="D117" s="1060">
        <v>0.13</v>
      </c>
      <c r="E117" s="1060">
        <v>0.129</v>
      </c>
      <c r="F117" s="1061">
        <v>0.13</v>
      </c>
    </row>
    <row r="118" spans="1:6" ht="14.25" thickBot="1">
      <c r="A118" s="838" t="s">
        <v>56</v>
      </c>
      <c r="B118" s="832" t="s">
        <v>275</v>
      </c>
      <c r="C118" s="1060">
        <v>0.123</v>
      </c>
      <c r="D118" s="1060">
        <v>0.123</v>
      </c>
      <c r="E118" s="1060">
        <v>0.11600000000000001</v>
      </c>
      <c r="F118" s="1061">
        <v>0.13</v>
      </c>
    </row>
    <row r="119" spans="1:6" ht="14.25" thickBot="1">
      <c r="A119" s="838" t="s">
        <v>56</v>
      </c>
      <c r="B119" s="832" t="s">
        <v>285</v>
      </c>
      <c r="C119" s="1060">
        <v>0.127</v>
      </c>
      <c r="D119" s="1060">
        <v>0.127</v>
      </c>
      <c r="E119" s="1060">
        <v>0.124</v>
      </c>
      <c r="F119" s="1061">
        <v>0.13</v>
      </c>
    </row>
    <row r="120" spans="1:6" ht="14.25" thickBot="1">
      <c r="A120" s="838" t="s">
        <v>56</v>
      </c>
      <c r="B120" s="832" t="s">
        <v>295</v>
      </c>
      <c r="C120" s="1060">
        <v>0.125</v>
      </c>
      <c r="D120" s="1060">
        <v>0.125</v>
      </c>
      <c r="E120" s="1060">
        <v>0.122</v>
      </c>
      <c r="F120" s="1061">
        <v>0.13</v>
      </c>
    </row>
    <row r="121" spans="1:6" ht="14.25" thickBot="1">
      <c r="A121" s="838" t="s">
        <v>56</v>
      </c>
      <c r="B121" s="832" t="s">
        <v>305</v>
      </c>
      <c r="C121" s="1060">
        <v>0.13</v>
      </c>
      <c r="D121" s="1060">
        <v>0.13</v>
      </c>
      <c r="E121" s="1060">
        <v>0.13</v>
      </c>
      <c r="F121" s="1061">
        <v>0.13</v>
      </c>
    </row>
    <row r="122" spans="1:6" ht="14.25" thickBot="1">
      <c r="A122" s="838" t="s">
        <v>56</v>
      </c>
      <c r="B122" s="832" t="s">
        <v>315</v>
      </c>
      <c r="C122" s="1060">
        <v>0.13</v>
      </c>
      <c r="D122" s="1060">
        <v>0.13</v>
      </c>
      <c r="E122" s="1060">
        <v>0.125</v>
      </c>
      <c r="F122" s="1061">
        <v>0.13</v>
      </c>
    </row>
    <row r="123" spans="1:6" ht="14.25" thickBot="1">
      <c r="A123" s="838" t="s">
        <v>56</v>
      </c>
      <c r="B123" s="832" t="s">
        <v>326</v>
      </c>
      <c r="C123" s="1060">
        <v>0.129</v>
      </c>
      <c r="D123" s="1060">
        <v>0.129</v>
      </c>
      <c r="E123" s="1060">
        <v>0.123</v>
      </c>
      <c r="F123" s="1061">
        <v>0.13</v>
      </c>
    </row>
    <row r="124" spans="1:6" ht="14.25" thickBot="1">
      <c r="A124" s="838" t="s">
        <v>56</v>
      </c>
      <c r="B124" s="832" t="s">
        <v>337</v>
      </c>
      <c r="C124" s="1060">
        <v>0.10199999999999999</v>
      </c>
      <c r="D124" s="1060">
        <v>0.10100000000000001</v>
      </c>
      <c r="E124" s="1060">
        <v>0.08</v>
      </c>
      <c r="F124" s="1072"/>
    </row>
    <row r="125" spans="1:6" ht="14.25" thickBot="1">
      <c r="A125" s="838" t="s">
        <v>56</v>
      </c>
      <c r="B125" s="832" t="s">
        <v>347</v>
      </c>
      <c r="C125" s="1060">
        <v>0.13</v>
      </c>
      <c r="D125" s="1060">
        <v>0.13</v>
      </c>
      <c r="E125" s="1060">
        <v>0.129</v>
      </c>
      <c r="F125" s="1072"/>
    </row>
    <row r="126" spans="1:6" ht="14.25" thickBot="1">
      <c r="A126" s="838" t="s">
        <v>56</v>
      </c>
      <c r="B126" s="832" t="s">
        <v>357</v>
      </c>
      <c r="C126" s="1060">
        <v>0.13</v>
      </c>
      <c r="D126" s="1060">
        <v>0.13</v>
      </c>
      <c r="E126" s="1060">
        <v>0.126</v>
      </c>
      <c r="F126" s="1072"/>
    </row>
    <row r="127" spans="1:6" ht="14.25" thickBot="1">
      <c r="A127" s="838" t="s">
        <v>56</v>
      </c>
      <c r="B127" s="832" t="s">
        <v>367</v>
      </c>
      <c r="C127" s="1060">
        <v>0.125</v>
      </c>
      <c r="D127" s="1060">
        <v>0.125</v>
      </c>
      <c r="E127" s="1060">
        <v>0.121</v>
      </c>
      <c r="F127" s="1072"/>
    </row>
    <row r="128" spans="1:6" ht="14.25" thickBot="1">
      <c r="A128" s="838" t="s">
        <v>56</v>
      </c>
      <c r="B128" s="832" t="s">
        <v>377</v>
      </c>
      <c r="C128" s="1060">
        <v>0.12</v>
      </c>
      <c r="D128" s="1060">
        <v>0.12</v>
      </c>
      <c r="E128" s="1060">
        <v>0.105</v>
      </c>
      <c r="F128" s="1072"/>
    </row>
    <row r="129" spans="1:6" ht="14.25" thickBot="1">
      <c r="A129" s="838" t="s">
        <v>56</v>
      </c>
      <c r="B129" s="832" t="s">
        <v>386</v>
      </c>
      <c r="C129" s="1060">
        <v>0.13</v>
      </c>
      <c r="D129" s="1060">
        <v>0.13</v>
      </c>
      <c r="E129" s="1060">
        <v>0.126</v>
      </c>
      <c r="F129" s="1072"/>
    </row>
    <row r="130" spans="1:6" ht="14.25" thickBot="1">
      <c r="A130" s="838" t="s">
        <v>56</v>
      </c>
      <c r="B130" s="832" t="s">
        <v>395</v>
      </c>
      <c r="C130" s="1060">
        <v>0.125</v>
      </c>
      <c r="D130" s="1060">
        <v>0.125</v>
      </c>
      <c r="E130" s="1060">
        <v>0.122</v>
      </c>
      <c r="F130" s="1072"/>
    </row>
    <row r="131" spans="1:6" ht="14.25" thickBot="1">
      <c r="A131" s="838" t="s">
        <v>56</v>
      </c>
      <c r="B131" s="832" t="s">
        <v>403</v>
      </c>
      <c r="C131" s="1060">
        <v>0.127</v>
      </c>
      <c r="D131" s="1060">
        <v>0.126</v>
      </c>
      <c r="E131" s="1060">
        <v>0.123</v>
      </c>
      <c r="F131" s="1072"/>
    </row>
    <row r="132" spans="1:6" ht="14.25" thickBot="1">
      <c r="A132" s="838" t="s">
        <v>56</v>
      </c>
      <c r="B132" s="832" t="s">
        <v>410</v>
      </c>
      <c r="C132" s="1060">
        <v>9.0999999999999998E-2</v>
      </c>
      <c r="D132" s="1060">
        <v>0.121</v>
      </c>
      <c r="E132" s="1060">
        <v>9.9000000000000005E-2</v>
      </c>
      <c r="F132" s="1072"/>
    </row>
    <row r="133" spans="1:6" ht="14.25" thickBot="1">
      <c r="A133" s="838" t="s">
        <v>56</v>
      </c>
      <c r="B133" s="832" t="s">
        <v>417</v>
      </c>
      <c r="C133" s="1060">
        <v>0.13</v>
      </c>
      <c r="D133" s="1060">
        <v>0.13</v>
      </c>
      <c r="E133" s="1060">
        <v>0.129</v>
      </c>
      <c r="F133" s="1072"/>
    </row>
    <row r="134" spans="1:6" ht="14.25" thickBot="1">
      <c r="A134" s="838" t="s">
        <v>56</v>
      </c>
      <c r="B134" s="832" t="s">
        <v>895</v>
      </c>
      <c r="C134" s="1060">
        <v>6.8000000000000005E-2</v>
      </c>
      <c r="D134" s="1060">
        <v>6.5000000000000002E-2</v>
      </c>
      <c r="E134" s="1060">
        <v>6.5000000000000002E-2</v>
      </c>
      <c r="F134" s="1061">
        <v>0.13</v>
      </c>
    </row>
    <row r="135" spans="1:6" ht="14.25" thickBot="1">
      <c r="A135" s="838" t="s">
        <v>56</v>
      </c>
      <c r="B135" s="832" t="s">
        <v>431</v>
      </c>
      <c r="C135" s="1060">
        <v>0.123</v>
      </c>
      <c r="D135" s="1060">
        <v>0.123</v>
      </c>
      <c r="E135" s="1060">
        <v>0.11</v>
      </c>
      <c r="F135" s="1072"/>
    </row>
    <row r="136" spans="1:6" ht="14.25" thickBot="1">
      <c r="A136" s="838" t="s">
        <v>56</v>
      </c>
      <c r="B136" s="832" t="s">
        <v>438</v>
      </c>
      <c r="C136" s="1060">
        <v>0.13</v>
      </c>
      <c r="D136" s="1060">
        <v>0.13</v>
      </c>
      <c r="E136" s="1060">
        <v>0.125</v>
      </c>
      <c r="F136" s="1072"/>
    </row>
    <row r="137" spans="1:6" ht="14.25" thickBot="1">
      <c r="A137" s="838" t="s">
        <v>56</v>
      </c>
      <c r="B137" s="832" t="s">
        <v>445</v>
      </c>
      <c r="C137" s="1060">
        <v>0.121</v>
      </c>
      <c r="D137" s="1060">
        <v>0.122</v>
      </c>
      <c r="E137" s="1060">
        <v>0.115</v>
      </c>
      <c r="F137" s="1072"/>
    </row>
    <row r="138" spans="1:6" ht="14.25" thickBot="1">
      <c r="A138" s="838" t="s">
        <v>56</v>
      </c>
      <c r="B138" s="832" t="s">
        <v>896</v>
      </c>
      <c r="C138" s="1060">
        <v>0.105</v>
      </c>
      <c r="D138" s="1060">
        <v>0.125</v>
      </c>
      <c r="E138" s="1060">
        <v>0.112</v>
      </c>
      <c r="F138" s="1072"/>
    </row>
    <row r="139" spans="1:6" ht="14.25" thickBot="1">
      <c r="A139" s="838" t="s">
        <v>56</v>
      </c>
      <c r="B139" s="832" t="s">
        <v>897</v>
      </c>
      <c r="C139" s="1060">
        <v>0.127</v>
      </c>
      <c r="D139" s="1060">
        <v>0.127</v>
      </c>
      <c r="E139" s="1060">
        <v>0.122</v>
      </c>
      <c r="F139" s="1061">
        <v>0.13</v>
      </c>
    </row>
    <row r="140" spans="1:6" ht="14.25" thickBot="1">
      <c r="A140" s="838" t="s">
        <v>56</v>
      </c>
      <c r="B140" s="832" t="s">
        <v>898</v>
      </c>
      <c r="C140" s="1060">
        <v>0.125</v>
      </c>
      <c r="D140" s="1060">
        <v>0.125</v>
      </c>
      <c r="E140" s="1060">
        <v>0.11899999999999999</v>
      </c>
      <c r="F140" s="1061">
        <v>0.13</v>
      </c>
    </row>
    <row r="141" spans="1:6" ht="14.25" thickBot="1">
      <c r="A141" s="838" t="s">
        <v>56</v>
      </c>
      <c r="B141" s="832" t="s">
        <v>464</v>
      </c>
      <c r="C141" s="1060">
        <v>0.125</v>
      </c>
      <c r="D141" s="1060">
        <v>0.125</v>
      </c>
      <c r="E141" s="1060">
        <v>0.11700000000000001</v>
      </c>
      <c r="F141" s="1072"/>
    </row>
    <row r="142" spans="1:6" ht="14.25" thickBot="1">
      <c r="A142" s="838" t="s">
        <v>56</v>
      </c>
      <c r="B142" s="832" t="s">
        <v>469</v>
      </c>
      <c r="C142" s="1060">
        <v>0.125</v>
      </c>
      <c r="D142" s="1060">
        <v>0.125</v>
      </c>
      <c r="E142" s="1060">
        <v>0.115</v>
      </c>
      <c r="F142" s="1072"/>
    </row>
    <row r="143" spans="1:6" ht="14.25" thickBot="1">
      <c r="A143" s="838" t="s">
        <v>56</v>
      </c>
      <c r="B143" s="832" t="s">
        <v>474</v>
      </c>
      <c r="C143" s="1060">
        <v>0.121</v>
      </c>
      <c r="D143" s="1060">
        <v>0.121</v>
      </c>
      <c r="E143" s="1060">
        <v>0.108</v>
      </c>
      <c r="F143" s="1072"/>
    </row>
    <row r="144" spans="1:6" ht="14.25" thickBot="1">
      <c r="A144" s="838" t="s">
        <v>56</v>
      </c>
      <c r="B144" s="1064" t="s">
        <v>899</v>
      </c>
      <c r="C144" s="1065">
        <v>0.126</v>
      </c>
      <c r="D144" s="1065">
        <v>0.126</v>
      </c>
      <c r="E144" s="1065">
        <v>0.121</v>
      </c>
      <c r="F144" s="1072"/>
    </row>
    <row r="145" spans="1:6" ht="14.25" thickBot="1">
      <c r="A145" s="848" t="s">
        <v>56</v>
      </c>
      <c r="B145" s="1066" t="s">
        <v>900</v>
      </c>
      <c r="C145" s="1074"/>
      <c r="D145" s="1074"/>
      <c r="E145" s="1074"/>
      <c r="F145" s="1067">
        <v>0.05</v>
      </c>
    </row>
    <row r="146" spans="1:6" ht="24.75" thickBot="1">
      <c r="A146" s="1068" t="s">
        <v>56</v>
      </c>
      <c r="B146" s="842" t="s">
        <v>901</v>
      </c>
      <c r="C146" s="1073"/>
      <c r="D146" s="1073"/>
      <c r="E146" s="1073"/>
      <c r="F146" s="1069">
        <v>0.05</v>
      </c>
    </row>
    <row r="147" spans="1:6" ht="24.75" thickBot="1">
      <c r="A147" s="838" t="s">
        <v>56</v>
      </c>
      <c r="B147" s="832" t="s">
        <v>902</v>
      </c>
      <c r="C147" s="1073"/>
      <c r="D147" s="1073"/>
      <c r="E147" s="1073"/>
      <c r="F147" s="1061">
        <v>0.05</v>
      </c>
    </row>
    <row r="148" spans="1:6" ht="24.75" thickBot="1">
      <c r="A148" s="838" t="s">
        <v>56</v>
      </c>
      <c r="B148" s="832" t="s">
        <v>903</v>
      </c>
      <c r="C148" s="1073"/>
      <c r="D148" s="1073"/>
      <c r="E148" s="1073"/>
      <c r="F148" s="1061">
        <v>0.05</v>
      </c>
    </row>
    <row r="149" spans="1:6" ht="24.75" thickBot="1">
      <c r="A149" s="838" t="s">
        <v>56</v>
      </c>
      <c r="B149" s="832" t="s">
        <v>904</v>
      </c>
      <c r="C149" s="1073"/>
      <c r="D149" s="1073"/>
      <c r="E149" s="1073"/>
      <c r="F149" s="1061">
        <v>0.05</v>
      </c>
    </row>
    <row r="150" spans="1:6" ht="24.75" thickBot="1">
      <c r="A150" s="838" t="s">
        <v>56</v>
      </c>
      <c r="B150" s="832" t="s">
        <v>905</v>
      </c>
      <c r="C150" s="1073"/>
      <c r="D150" s="1073"/>
      <c r="E150" s="1073"/>
      <c r="F150" s="1061">
        <v>0.05</v>
      </c>
    </row>
    <row r="151" spans="1:6" ht="24.75" thickBot="1">
      <c r="A151" s="838" t="s">
        <v>56</v>
      </c>
      <c r="B151" s="832" t="s">
        <v>906</v>
      </c>
      <c r="C151" s="1073"/>
      <c r="D151" s="1073"/>
      <c r="E151" s="1073"/>
      <c r="F151" s="1061">
        <v>0.05</v>
      </c>
    </row>
    <row r="152" spans="1:6" ht="24.75" thickBot="1">
      <c r="A152" s="838" t="s">
        <v>56</v>
      </c>
      <c r="B152" s="832" t="s">
        <v>507</v>
      </c>
      <c r="C152" s="1073"/>
      <c r="D152" s="1073"/>
      <c r="E152" s="1073"/>
      <c r="F152" s="1061">
        <v>0.05</v>
      </c>
    </row>
    <row r="153" spans="1:6" ht="14.25" thickBot="1">
      <c r="A153" s="838" t="s">
        <v>56</v>
      </c>
      <c r="B153" s="832" t="s">
        <v>907</v>
      </c>
      <c r="C153" s="1073"/>
      <c r="D153" s="1073"/>
      <c r="E153" s="1073"/>
      <c r="F153" s="1061">
        <v>0.05</v>
      </c>
    </row>
    <row r="154" spans="1:6" ht="14.25" thickBot="1">
      <c r="A154" s="838" t="s">
        <v>56</v>
      </c>
      <c r="B154" s="832" t="s">
        <v>908</v>
      </c>
      <c r="C154" s="1073"/>
      <c r="D154" s="1073"/>
      <c r="E154" s="1073"/>
      <c r="F154" s="1061">
        <v>0.05</v>
      </c>
    </row>
    <row r="155" spans="1:6" ht="24.75" thickBot="1">
      <c r="A155" s="838" t="s">
        <v>56</v>
      </c>
      <c r="B155" s="832" t="s">
        <v>909</v>
      </c>
      <c r="C155" s="1073"/>
      <c r="D155" s="1073"/>
      <c r="E155" s="1073"/>
      <c r="F155" s="1061">
        <v>0.05</v>
      </c>
    </row>
    <row r="156" spans="1:6" ht="24.75" thickBot="1">
      <c r="A156" s="838" t="s">
        <v>56</v>
      </c>
      <c r="B156" s="832" t="s">
        <v>910</v>
      </c>
      <c r="C156" s="1073"/>
      <c r="D156" s="1073"/>
      <c r="E156" s="1073"/>
      <c r="F156" s="1061">
        <v>0.05</v>
      </c>
    </row>
    <row r="157" spans="1:6" ht="14.25" thickBot="1">
      <c r="A157" s="848" t="s">
        <v>56</v>
      </c>
      <c r="B157" s="844" t="s">
        <v>911</v>
      </c>
      <c r="C157" s="1070"/>
      <c r="D157" s="1070"/>
      <c r="E157" s="1070"/>
      <c r="F157" s="1063">
        <v>0.05</v>
      </c>
    </row>
    <row r="158" spans="1:6" ht="14.25" thickBot="1">
      <c r="A158" s="838" t="s">
        <v>526</v>
      </c>
      <c r="B158" s="839" t="s">
        <v>912</v>
      </c>
      <c r="C158" s="1058">
        <v>0.13</v>
      </c>
      <c r="D158" s="1058">
        <v>0.13</v>
      </c>
      <c r="E158" s="1058">
        <v>0.13</v>
      </c>
      <c r="F158" s="1059">
        <v>0.13</v>
      </c>
    </row>
    <row r="159" spans="1:6" ht="14.25" thickBot="1">
      <c r="A159" s="838" t="s">
        <v>526</v>
      </c>
      <c r="B159" s="832" t="s">
        <v>193</v>
      </c>
      <c r="C159" s="1060">
        <v>0.13</v>
      </c>
      <c r="D159" s="1060">
        <v>0.13</v>
      </c>
      <c r="E159" s="1060">
        <v>0.13</v>
      </c>
      <c r="F159" s="1061">
        <v>0.13</v>
      </c>
    </row>
    <row r="160" spans="1:6" ht="14.25" thickBot="1">
      <c r="A160" s="838" t="s">
        <v>526</v>
      </c>
      <c r="B160" s="832" t="s">
        <v>206</v>
      </c>
      <c r="C160" s="1060">
        <v>0.13</v>
      </c>
      <c r="D160" s="1060">
        <v>0.13</v>
      </c>
      <c r="E160" s="1060">
        <v>0.129</v>
      </c>
      <c r="F160" s="1061">
        <v>0.13</v>
      </c>
    </row>
    <row r="161" spans="1:6" ht="14.25" thickBot="1">
      <c r="A161" s="838" t="s">
        <v>526</v>
      </c>
      <c r="B161" s="832" t="s">
        <v>219</v>
      </c>
      <c r="C161" s="1060">
        <v>0.128</v>
      </c>
      <c r="D161" s="1060">
        <v>0.128</v>
      </c>
      <c r="E161" s="1060">
        <v>0.125</v>
      </c>
      <c r="F161" s="1061">
        <v>0.13</v>
      </c>
    </row>
    <row r="162" spans="1:6" ht="14.25" thickBot="1">
      <c r="A162" s="838" t="s">
        <v>526</v>
      </c>
      <c r="B162" s="832" t="s">
        <v>231</v>
      </c>
      <c r="C162" s="1060">
        <v>0.122</v>
      </c>
      <c r="D162" s="1060">
        <v>0.122</v>
      </c>
      <c r="E162" s="1060">
        <v>0.126</v>
      </c>
      <c r="F162" s="1061">
        <v>0.122</v>
      </c>
    </row>
    <row r="163" spans="1:6" ht="14.25" thickBot="1">
      <c r="A163" s="838" t="s">
        <v>526</v>
      </c>
      <c r="B163" s="832" t="s">
        <v>242</v>
      </c>
      <c r="C163" s="1060">
        <v>0.13</v>
      </c>
      <c r="D163" s="1060">
        <v>0.13</v>
      </c>
      <c r="E163" s="1060">
        <v>0.125</v>
      </c>
      <c r="F163" s="1061">
        <v>0.13</v>
      </c>
    </row>
    <row r="164" spans="1:6" ht="14.25" thickBot="1">
      <c r="A164" s="838" t="s">
        <v>526</v>
      </c>
      <c r="B164" s="832" t="s">
        <v>253</v>
      </c>
      <c r="C164" s="1060">
        <v>0.13</v>
      </c>
      <c r="D164" s="1060">
        <v>0.13</v>
      </c>
      <c r="E164" s="1060">
        <v>0.13</v>
      </c>
      <c r="F164" s="1061">
        <v>0.13</v>
      </c>
    </row>
    <row r="165" spans="1:6" ht="14.25" thickBot="1">
      <c r="A165" s="838" t="s">
        <v>526</v>
      </c>
      <c r="B165" s="832" t="s">
        <v>264</v>
      </c>
      <c r="C165" s="1060">
        <v>0.13</v>
      </c>
      <c r="D165" s="1060">
        <v>0.13</v>
      </c>
      <c r="E165" s="1060">
        <v>0.124</v>
      </c>
      <c r="F165" s="1061">
        <v>0.13</v>
      </c>
    </row>
    <row r="166" spans="1:6" ht="14.25" thickBot="1">
      <c r="A166" s="838" t="s">
        <v>526</v>
      </c>
      <c r="B166" s="832" t="s">
        <v>276</v>
      </c>
      <c r="C166" s="1060">
        <v>0.13</v>
      </c>
      <c r="D166" s="1060">
        <v>0.13</v>
      </c>
      <c r="E166" s="1060">
        <v>0.13</v>
      </c>
      <c r="F166" s="1061">
        <v>0.13</v>
      </c>
    </row>
    <row r="167" spans="1:6" ht="14.25" thickBot="1">
      <c r="A167" s="838" t="s">
        <v>526</v>
      </c>
      <c r="B167" s="832" t="s">
        <v>286</v>
      </c>
      <c r="C167" s="1060">
        <v>0.125</v>
      </c>
      <c r="D167" s="1060">
        <v>0.125</v>
      </c>
      <c r="E167" s="1060">
        <v>0.121</v>
      </c>
      <c r="F167" s="1072"/>
    </row>
    <row r="168" spans="1:6" ht="14.25" thickBot="1">
      <c r="A168" s="838" t="s">
        <v>526</v>
      </c>
      <c r="B168" s="832" t="s">
        <v>296</v>
      </c>
      <c r="C168" s="1060">
        <v>0.13</v>
      </c>
      <c r="D168" s="1060">
        <v>0.13</v>
      </c>
      <c r="E168" s="1060">
        <v>0.126</v>
      </c>
      <c r="F168" s="1072"/>
    </row>
    <row r="169" spans="1:6" ht="14.25" thickBot="1">
      <c r="A169" s="838" t="s">
        <v>526</v>
      </c>
      <c r="B169" s="832" t="s">
        <v>306</v>
      </c>
      <c r="C169" s="1060">
        <v>0.128</v>
      </c>
      <c r="D169" s="1060">
        <v>0.129</v>
      </c>
      <c r="E169" s="1060">
        <v>0.13</v>
      </c>
      <c r="F169" s="1072"/>
    </row>
    <row r="170" spans="1:6" ht="14.25" thickBot="1">
      <c r="A170" s="838" t="s">
        <v>526</v>
      </c>
      <c r="B170" s="832" t="s">
        <v>316</v>
      </c>
      <c r="C170" s="1060">
        <v>0.14099999999999999</v>
      </c>
      <c r="D170" s="1060">
        <v>0.13</v>
      </c>
      <c r="E170" s="1060">
        <v>0.125</v>
      </c>
      <c r="F170" s="1072"/>
    </row>
    <row r="171" spans="1:6" ht="14.25" thickBot="1">
      <c r="A171" s="838" t="s">
        <v>526</v>
      </c>
      <c r="B171" s="832" t="s">
        <v>913</v>
      </c>
      <c r="C171" s="1060">
        <v>0.127</v>
      </c>
      <c r="D171" s="1060">
        <v>0.126</v>
      </c>
      <c r="E171" s="1060">
        <v>0.126</v>
      </c>
      <c r="F171" s="1061">
        <v>0.11799999999999999</v>
      </c>
    </row>
    <row r="172" spans="1:6" ht="14.25" thickBot="1">
      <c r="A172" s="838" t="s">
        <v>526</v>
      </c>
      <c r="B172" s="832" t="s">
        <v>914</v>
      </c>
      <c r="C172" s="1060">
        <v>0.13</v>
      </c>
      <c r="D172" s="1060">
        <v>0.13</v>
      </c>
      <c r="E172" s="1060">
        <v>0.13</v>
      </c>
      <c r="F172" s="1072"/>
    </row>
    <row r="173" spans="1:6" ht="14.25" thickBot="1">
      <c r="A173" s="838" t="s">
        <v>526</v>
      </c>
      <c r="B173" s="832" t="s">
        <v>348</v>
      </c>
      <c r="C173" s="1060">
        <v>0.13</v>
      </c>
      <c r="D173" s="1060">
        <v>0.13</v>
      </c>
      <c r="E173" s="1060">
        <v>0.13</v>
      </c>
      <c r="F173" s="1072"/>
    </row>
    <row r="174" spans="1:6" ht="14.25" thickBot="1">
      <c r="A174" s="838" t="s">
        <v>526</v>
      </c>
      <c r="B174" s="832" t="s">
        <v>915</v>
      </c>
      <c r="C174" s="1060">
        <v>0.13</v>
      </c>
      <c r="D174" s="1060">
        <v>0.13</v>
      </c>
      <c r="E174" s="1060">
        <v>0.13</v>
      </c>
      <c r="F174" s="1061">
        <v>0.13</v>
      </c>
    </row>
    <row r="175" spans="1:6" ht="14.25" thickBot="1">
      <c r="A175" s="838" t="s">
        <v>526</v>
      </c>
      <c r="B175" s="832" t="s">
        <v>916</v>
      </c>
      <c r="C175" s="1060">
        <v>0.13</v>
      </c>
      <c r="D175" s="1060">
        <v>0.13</v>
      </c>
      <c r="E175" s="1060">
        <v>0.13</v>
      </c>
      <c r="F175" s="1061">
        <v>0.13</v>
      </c>
    </row>
    <row r="176" spans="1:6" ht="14.25" thickBot="1">
      <c r="A176" s="838" t="s">
        <v>526</v>
      </c>
      <c r="B176" s="832" t="s">
        <v>378</v>
      </c>
      <c r="C176" s="1060">
        <v>0.13</v>
      </c>
      <c r="D176" s="1060">
        <v>0.13</v>
      </c>
      <c r="E176" s="1060">
        <v>0.13</v>
      </c>
      <c r="F176" s="1061">
        <v>0.13</v>
      </c>
    </row>
    <row r="177" spans="1:6" ht="14.25" thickBot="1">
      <c r="A177" s="838" t="s">
        <v>526</v>
      </c>
      <c r="B177" s="832" t="s">
        <v>917</v>
      </c>
      <c r="C177" s="1060">
        <v>0.13</v>
      </c>
      <c r="D177" s="1060">
        <v>0.13</v>
      </c>
      <c r="E177" s="1060">
        <v>0.13</v>
      </c>
      <c r="F177" s="1061">
        <v>0.13</v>
      </c>
    </row>
    <row r="178" spans="1:6" ht="14.25" thickBot="1">
      <c r="A178" s="838" t="s">
        <v>526</v>
      </c>
      <c r="B178" s="832" t="s">
        <v>396</v>
      </c>
      <c r="C178" s="1060">
        <v>0.13</v>
      </c>
      <c r="D178" s="1060">
        <v>0.13</v>
      </c>
      <c r="E178" s="1060">
        <v>0.13</v>
      </c>
      <c r="F178" s="1061">
        <v>0.127</v>
      </c>
    </row>
    <row r="179" spans="1:6" ht="14.25" thickBot="1">
      <c r="A179" s="838" t="s">
        <v>526</v>
      </c>
      <c r="B179" s="832" t="s">
        <v>404</v>
      </c>
      <c r="C179" s="1060">
        <v>0.13</v>
      </c>
      <c r="D179" s="1060">
        <v>0.13</v>
      </c>
      <c r="E179" s="1060">
        <v>0.13</v>
      </c>
      <c r="F179" s="1072"/>
    </row>
    <row r="180" spans="1:6" ht="14.25" thickBot="1">
      <c r="A180" s="838" t="s">
        <v>526</v>
      </c>
      <c r="B180" s="832" t="s">
        <v>918</v>
      </c>
      <c r="C180" s="1060">
        <v>0.13</v>
      </c>
      <c r="D180" s="1060">
        <v>0.13</v>
      </c>
      <c r="E180" s="1060">
        <v>0.125</v>
      </c>
      <c r="F180" s="1061">
        <v>0.13</v>
      </c>
    </row>
    <row r="181" spans="1:6" ht="14.25" thickBot="1">
      <c r="A181" s="838" t="s">
        <v>526</v>
      </c>
      <c r="B181" s="832" t="s">
        <v>418</v>
      </c>
      <c r="C181" s="1060">
        <v>0.122</v>
      </c>
      <c r="D181" s="1060">
        <v>0.123</v>
      </c>
      <c r="E181" s="1060">
        <v>0.126</v>
      </c>
      <c r="F181" s="1061">
        <v>0.121</v>
      </c>
    </row>
    <row r="182" spans="1:6" ht="14.25" thickBot="1">
      <c r="A182" s="838" t="s">
        <v>526</v>
      </c>
      <c r="B182" s="832" t="s">
        <v>425</v>
      </c>
      <c r="C182" s="1060">
        <v>0.125</v>
      </c>
      <c r="D182" s="1060">
        <v>0.125</v>
      </c>
      <c r="E182" s="1060">
        <v>0.11700000000000001</v>
      </c>
      <c r="F182" s="1061">
        <v>0.13</v>
      </c>
    </row>
    <row r="183" spans="1:6" ht="14.25" thickBot="1">
      <c r="A183" s="838" t="s">
        <v>526</v>
      </c>
      <c r="B183" s="832" t="s">
        <v>432</v>
      </c>
      <c r="C183" s="1060">
        <v>0.127</v>
      </c>
      <c r="D183" s="1060">
        <v>0.127</v>
      </c>
      <c r="E183" s="1060">
        <v>0.128</v>
      </c>
      <c r="F183" s="1072"/>
    </row>
    <row r="184" spans="1:6" ht="14.25" thickBot="1">
      <c r="A184" s="838" t="s">
        <v>526</v>
      </c>
      <c r="B184" s="832" t="s">
        <v>439</v>
      </c>
      <c r="C184" s="1060">
        <v>0.125</v>
      </c>
      <c r="D184" s="1060">
        <v>0.125</v>
      </c>
      <c r="E184" s="1060">
        <v>0.127</v>
      </c>
      <c r="F184" s="1072"/>
    </row>
    <row r="185" spans="1:6" ht="14.25" thickBot="1">
      <c r="A185" s="838" t="s">
        <v>526</v>
      </c>
      <c r="B185" s="832" t="s">
        <v>919</v>
      </c>
      <c r="C185" s="1060">
        <v>0.127</v>
      </c>
      <c r="D185" s="1060">
        <v>0.127</v>
      </c>
      <c r="E185" s="1060">
        <v>0.128</v>
      </c>
      <c r="F185" s="1061">
        <v>0.13</v>
      </c>
    </row>
    <row r="186" spans="1:6" ht="24.75" thickBot="1">
      <c r="A186" s="838" t="s">
        <v>526</v>
      </c>
      <c r="B186" s="832" t="s">
        <v>920</v>
      </c>
      <c r="C186" s="1073"/>
      <c r="D186" s="1073"/>
      <c r="E186" s="1073"/>
      <c r="F186" s="1061">
        <v>0.05</v>
      </c>
    </row>
    <row r="187" spans="1:6" ht="14.25" thickBot="1">
      <c r="A187" s="838" t="s">
        <v>526</v>
      </c>
      <c r="B187" s="832" t="s">
        <v>921</v>
      </c>
      <c r="C187" s="1073"/>
      <c r="D187" s="1073"/>
      <c r="E187" s="1073"/>
      <c r="F187" s="1061">
        <v>0.05</v>
      </c>
    </row>
    <row r="188" spans="1:6" ht="14.25" thickBot="1">
      <c r="A188" s="838" t="s">
        <v>526</v>
      </c>
      <c r="B188" s="832" t="s">
        <v>922</v>
      </c>
      <c r="C188" s="1073"/>
      <c r="D188" s="1073"/>
      <c r="E188" s="1073"/>
      <c r="F188" s="1061">
        <v>0.05</v>
      </c>
    </row>
    <row r="189" spans="1:6" ht="24.75" thickBot="1">
      <c r="A189" s="838" t="s">
        <v>526</v>
      </c>
      <c r="B189" s="832" t="s">
        <v>923</v>
      </c>
      <c r="C189" s="1073"/>
      <c r="D189" s="1073"/>
      <c r="E189" s="1073"/>
      <c r="F189" s="1061">
        <v>0.05</v>
      </c>
    </row>
    <row r="190" spans="1:6" ht="24.75" thickBot="1">
      <c r="A190" s="838" t="s">
        <v>526</v>
      </c>
      <c r="B190" s="832" t="s">
        <v>924</v>
      </c>
      <c r="C190" s="1073"/>
      <c r="D190" s="1073"/>
      <c r="E190" s="1073"/>
      <c r="F190" s="1061">
        <v>0.05</v>
      </c>
    </row>
    <row r="191" spans="1:6" ht="24.75" thickBot="1">
      <c r="A191" s="838" t="s">
        <v>526</v>
      </c>
      <c r="B191" s="832" t="s">
        <v>925</v>
      </c>
      <c r="C191" s="1073"/>
      <c r="D191" s="1073"/>
      <c r="E191" s="1073"/>
      <c r="F191" s="1061">
        <v>0.05</v>
      </c>
    </row>
    <row r="192" spans="1:6" ht="24.75" thickBot="1">
      <c r="A192" s="838" t="s">
        <v>526</v>
      </c>
      <c r="B192" s="832" t="s">
        <v>926</v>
      </c>
      <c r="C192" s="1073"/>
      <c r="D192" s="1073"/>
      <c r="E192" s="1073"/>
      <c r="F192" s="1061">
        <v>0.05</v>
      </c>
    </row>
    <row r="193" spans="1:6" ht="24.75" thickBot="1">
      <c r="A193" s="838" t="s">
        <v>526</v>
      </c>
      <c r="B193" s="832" t="s">
        <v>927</v>
      </c>
      <c r="C193" s="1073"/>
      <c r="D193" s="1073"/>
      <c r="E193" s="1073"/>
      <c r="F193" s="1061">
        <v>0.05</v>
      </c>
    </row>
    <row r="194" spans="1:6" ht="24.75" thickBot="1">
      <c r="A194" s="838" t="s">
        <v>526</v>
      </c>
      <c r="B194" s="832" t="s">
        <v>928</v>
      </c>
      <c r="C194" s="1073"/>
      <c r="D194" s="1073"/>
      <c r="E194" s="1073"/>
      <c r="F194" s="1061">
        <v>0.05</v>
      </c>
    </row>
    <row r="195" spans="1:6" ht="14.25" thickBot="1">
      <c r="A195" s="838" t="s">
        <v>526</v>
      </c>
      <c r="B195" s="832" t="s">
        <v>929</v>
      </c>
      <c r="C195" s="1073"/>
      <c r="D195" s="1073"/>
      <c r="E195" s="1073"/>
      <c r="F195" s="1061">
        <v>0.05</v>
      </c>
    </row>
    <row r="196" spans="1:6" ht="24.75" thickBot="1">
      <c r="A196" s="838" t="s">
        <v>526</v>
      </c>
      <c r="B196" s="832" t="s">
        <v>930</v>
      </c>
      <c r="C196" s="1073"/>
      <c r="D196" s="1073"/>
      <c r="E196" s="1073"/>
      <c r="F196" s="1061">
        <v>0.05</v>
      </c>
    </row>
    <row r="197" spans="1:6" ht="24.75" thickBot="1">
      <c r="A197" s="838" t="s">
        <v>526</v>
      </c>
      <c r="B197" s="832" t="s">
        <v>931</v>
      </c>
      <c r="C197" s="1073"/>
      <c r="D197" s="1073"/>
      <c r="E197" s="1073"/>
      <c r="F197" s="1061">
        <v>0.05</v>
      </c>
    </row>
    <row r="198" spans="1:6" ht="24.75" thickBot="1">
      <c r="A198" s="838" t="s">
        <v>526</v>
      </c>
      <c r="B198" s="832" t="s">
        <v>932</v>
      </c>
      <c r="C198" s="1073"/>
      <c r="D198" s="1073"/>
      <c r="E198" s="1073"/>
      <c r="F198" s="1061">
        <v>0.05</v>
      </c>
    </row>
    <row r="199" spans="1:6" ht="24.75" thickBot="1">
      <c r="A199" s="838" t="s">
        <v>526</v>
      </c>
      <c r="B199" s="832" t="s">
        <v>933</v>
      </c>
      <c r="C199" s="1073"/>
      <c r="D199" s="1073"/>
      <c r="E199" s="1073"/>
      <c r="F199" s="1061">
        <v>0.05</v>
      </c>
    </row>
    <row r="200" spans="1:6" ht="24.75" thickBot="1">
      <c r="A200" s="838" t="s">
        <v>526</v>
      </c>
      <c r="B200" s="832" t="s">
        <v>934</v>
      </c>
      <c r="C200" s="1073"/>
      <c r="D200" s="1073"/>
      <c r="E200" s="1073"/>
      <c r="F200" s="1061">
        <v>0.05</v>
      </c>
    </row>
    <row r="201" spans="1:6" ht="24.75" thickBot="1">
      <c r="A201" s="838" t="s">
        <v>526</v>
      </c>
      <c r="B201" s="832" t="s">
        <v>935</v>
      </c>
      <c r="C201" s="1073"/>
      <c r="D201" s="1073"/>
      <c r="E201" s="1073"/>
      <c r="F201" s="1061">
        <v>0.05</v>
      </c>
    </row>
    <row r="202" spans="1:6" ht="24.75" thickBot="1">
      <c r="A202" s="838" t="s">
        <v>526</v>
      </c>
      <c r="B202" s="832" t="s">
        <v>936</v>
      </c>
      <c r="C202" s="1073"/>
      <c r="D202" s="1073"/>
      <c r="E202" s="1073"/>
      <c r="F202" s="1061">
        <v>0.05</v>
      </c>
    </row>
    <row r="203" spans="1:6" ht="24.75" thickBot="1">
      <c r="A203" s="838" t="s">
        <v>526</v>
      </c>
      <c r="B203" s="832" t="s">
        <v>937</v>
      </c>
      <c r="C203" s="1073"/>
      <c r="D203" s="1073"/>
      <c r="E203" s="1073"/>
      <c r="F203" s="1061">
        <v>0.05</v>
      </c>
    </row>
    <row r="204" spans="1:6" ht="14.25" thickBot="1">
      <c r="A204" s="838" t="s">
        <v>526</v>
      </c>
      <c r="B204" s="832" t="s">
        <v>938</v>
      </c>
      <c r="C204" s="1073"/>
      <c r="D204" s="1073"/>
      <c r="E204" s="1073"/>
      <c r="F204" s="1061">
        <v>0.05</v>
      </c>
    </row>
    <row r="205" spans="1:6" ht="14.25" thickBot="1">
      <c r="A205" s="848" t="s">
        <v>526</v>
      </c>
      <c r="B205" s="844" t="s">
        <v>939</v>
      </c>
      <c r="C205" s="1070"/>
      <c r="D205" s="1070"/>
      <c r="E205" s="1070"/>
      <c r="F205" s="1063">
        <v>0.05</v>
      </c>
    </row>
    <row r="206" spans="1:6" ht="14.25" thickBot="1">
      <c r="A206" s="838" t="s">
        <v>528</v>
      </c>
      <c r="B206" s="839" t="s">
        <v>940</v>
      </c>
      <c r="C206" s="1058">
        <v>0.15</v>
      </c>
      <c r="D206" s="1058">
        <v>0.15</v>
      </c>
      <c r="E206" s="1058">
        <v>0.15</v>
      </c>
      <c r="F206" s="1059">
        <v>0.15</v>
      </c>
    </row>
    <row r="207" spans="1:6" ht="14.25" thickBot="1">
      <c r="A207" s="838" t="s">
        <v>528</v>
      </c>
      <c r="B207" s="832" t="s">
        <v>194</v>
      </c>
      <c r="C207" s="1060">
        <v>0.15</v>
      </c>
      <c r="D207" s="1060">
        <v>0.15</v>
      </c>
      <c r="E207" s="1060">
        <v>0.15</v>
      </c>
      <c r="F207" s="1061">
        <v>0.14399999999999999</v>
      </c>
    </row>
    <row r="208" spans="1:6" ht="14.25" thickBot="1">
      <c r="A208" s="838" t="s">
        <v>528</v>
      </c>
      <c r="B208" s="832" t="s">
        <v>207</v>
      </c>
      <c r="C208" s="1060">
        <v>0.15</v>
      </c>
      <c r="D208" s="1060">
        <v>0.15</v>
      </c>
      <c r="E208" s="1060">
        <v>0.15</v>
      </c>
      <c r="F208" s="1061">
        <v>0.15</v>
      </c>
    </row>
    <row r="209" spans="1:6" ht="14.25" thickBot="1">
      <c r="A209" s="838" t="s">
        <v>528</v>
      </c>
      <c r="B209" s="832" t="s">
        <v>220</v>
      </c>
      <c r="C209" s="1060">
        <v>0.13700000000000001</v>
      </c>
      <c r="D209" s="1060">
        <v>0.13700000000000001</v>
      </c>
      <c r="E209" s="1060">
        <v>0.14000000000000001</v>
      </c>
      <c r="F209" s="1061">
        <v>0.11700000000000001</v>
      </c>
    </row>
    <row r="210" spans="1:6" ht="14.25" thickBot="1">
      <c r="A210" s="838" t="s">
        <v>528</v>
      </c>
      <c r="B210" s="832" t="s">
        <v>941</v>
      </c>
      <c r="C210" s="1060">
        <v>0.15</v>
      </c>
      <c r="D210" s="1060">
        <v>0.15</v>
      </c>
      <c r="E210" s="1060">
        <v>0.15</v>
      </c>
      <c r="F210" s="1061">
        <v>0.13800000000000001</v>
      </c>
    </row>
    <row r="211" spans="1:6" ht="14.25" thickBot="1">
      <c r="A211" s="838" t="s">
        <v>528</v>
      </c>
      <c r="B211" s="832" t="s">
        <v>942</v>
      </c>
      <c r="C211" s="1060">
        <v>0.13700000000000001</v>
      </c>
      <c r="D211" s="1060">
        <v>0.13500000000000001</v>
      </c>
      <c r="E211" s="1060">
        <v>0.13600000000000001</v>
      </c>
      <c r="F211" s="1061">
        <v>0.1</v>
      </c>
    </row>
    <row r="212" spans="1:6" ht="14.25" thickBot="1">
      <c r="A212" s="838" t="s">
        <v>528</v>
      </c>
      <c r="B212" s="832" t="s">
        <v>943</v>
      </c>
      <c r="C212" s="1060">
        <v>0.15</v>
      </c>
      <c r="D212" s="1060">
        <v>0.15</v>
      </c>
      <c r="E212" s="1060">
        <v>0.14799999999999999</v>
      </c>
      <c r="F212" s="1061">
        <v>0.13600000000000001</v>
      </c>
    </row>
    <row r="213" spans="1:6" ht="14.25" thickBot="1">
      <c r="A213" s="838" t="s">
        <v>528</v>
      </c>
      <c r="B213" s="832" t="s">
        <v>265</v>
      </c>
      <c r="C213" s="1060">
        <v>0.15</v>
      </c>
      <c r="D213" s="1060">
        <v>0.15</v>
      </c>
      <c r="E213" s="1060">
        <v>0.15</v>
      </c>
      <c r="F213" s="1061">
        <v>0.13800000000000001</v>
      </c>
    </row>
    <row r="214" spans="1:6" ht="14.25" thickBot="1">
      <c r="A214" s="838" t="s">
        <v>528</v>
      </c>
      <c r="B214" s="832" t="s">
        <v>277</v>
      </c>
      <c r="C214" s="1060">
        <v>9.0999999999999998E-2</v>
      </c>
      <c r="D214" s="1060">
        <v>0.09</v>
      </c>
      <c r="E214" s="1060">
        <v>9.1999999999999998E-2</v>
      </c>
      <c r="F214" s="1072"/>
    </row>
    <row r="215" spans="1:6" ht="14.25" thickBot="1">
      <c r="A215" s="838" t="s">
        <v>528</v>
      </c>
      <c r="B215" s="832" t="s">
        <v>944</v>
      </c>
      <c r="C215" s="1060">
        <v>0.15</v>
      </c>
      <c r="D215" s="1060">
        <v>0.15</v>
      </c>
      <c r="E215" s="1060">
        <v>0.15</v>
      </c>
      <c r="F215" s="1061">
        <v>0.15</v>
      </c>
    </row>
    <row r="216" spans="1:6" ht="14.25" thickBot="1">
      <c r="A216" s="838" t="s">
        <v>528</v>
      </c>
      <c r="B216" s="832" t="s">
        <v>297</v>
      </c>
      <c r="C216" s="1060">
        <v>0.14699999999999999</v>
      </c>
      <c r="D216" s="1060">
        <v>0.14699999999999999</v>
      </c>
      <c r="E216" s="1060">
        <v>0.15</v>
      </c>
      <c r="F216" s="1061">
        <v>0.14000000000000001</v>
      </c>
    </row>
    <row r="217" spans="1:6" ht="14.25" thickBot="1">
      <c r="A217" s="838" t="s">
        <v>528</v>
      </c>
      <c r="B217" s="832" t="s">
        <v>307</v>
      </c>
      <c r="C217" s="1060">
        <v>0.15</v>
      </c>
      <c r="D217" s="1060">
        <v>0.15</v>
      </c>
      <c r="E217" s="1060">
        <v>0.15</v>
      </c>
      <c r="F217" s="1061">
        <v>0.15</v>
      </c>
    </row>
    <row r="218" spans="1:6" ht="14.25" thickBot="1">
      <c r="A218" s="838" t="s">
        <v>528</v>
      </c>
      <c r="B218" s="832" t="s">
        <v>945</v>
      </c>
      <c r="C218" s="1060">
        <v>0.15</v>
      </c>
      <c r="D218" s="1060">
        <v>0.15</v>
      </c>
      <c r="E218" s="1060">
        <v>0.15</v>
      </c>
      <c r="F218" s="1061">
        <v>0.15</v>
      </c>
    </row>
    <row r="219" spans="1:6" ht="14.25" thickBot="1">
      <c r="A219" s="838" t="s">
        <v>528</v>
      </c>
      <c r="B219" s="832" t="s">
        <v>328</v>
      </c>
      <c r="C219" s="1060">
        <v>0.15</v>
      </c>
      <c r="D219" s="1060">
        <v>0.15</v>
      </c>
      <c r="E219" s="1060">
        <v>0.15</v>
      </c>
      <c r="F219" s="1061">
        <v>0.14799999999999999</v>
      </c>
    </row>
    <row r="220" spans="1:6" ht="14.25" thickBot="1">
      <c r="A220" s="838" t="s">
        <v>528</v>
      </c>
      <c r="B220" s="832" t="s">
        <v>946</v>
      </c>
      <c r="C220" s="1060">
        <v>0.15</v>
      </c>
      <c r="D220" s="1060">
        <v>0.15</v>
      </c>
      <c r="E220" s="1060">
        <v>0.15</v>
      </c>
      <c r="F220" s="1061">
        <v>0.15</v>
      </c>
    </row>
    <row r="221" spans="1:6" ht="14.25" thickBot="1">
      <c r="A221" s="838" t="s">
        <v>528</v>
      </c>
      <c r="B221" s="832" t="s">
        <v>349</v>
      </c>
      <c r="C221" s="1060"/>
      <c r="D221" s="1073"/>
      <c r="E221" s="1073"/>
      <c r="F221" s="1061">
        <v>0.14799999999999999</v>
      </c>
    </row>
    <row r="222" spans="1:6" ht="14.25" thickBot="1">
      <c r="A222" s="838" t="s">
        <v>528</v>
      </c>
      <c r="B222" s="832" t="s">
        <v>359</v>
      </c>
      <c r="C222" s="1060"/>
      <c r="D222" s="1073"/>
      <c r="E222" s="1073"/>
      <c r="F222" s="1061">
        <v>0.1</v>
      </c>
    </row>
    <row r="223" spans="1:6" ht="14.25" thickBot="1">
      <c r="A223" s="838" t="s">
        <v>528</v>
      </c>
      <c r="B223" s="832" t="s">
        <v>369</v>
      </c>
      <c r="C223" s="1060"/>
      <c r="D223" s="1073"/>
      <c r="E223" s="1073"/>
      <c r="F223" s="1061">
        <v>0.15</v>
      </c>
    </row>
    <row r="224" spans="1:6" ht="14.25" thickBot="1">
      <c r="A224" s="838" t="s">
        <v>528</v>
      </c>
      <c r="B224" s="832" t="s">
        <v>379</v>
      </c>
      <c r="C224" s="1060"/>
      <c r="D224" s="1073"/>
      <c r="E224" s="1073"/>
      <c r="F224" s="1061">
        <v>0.15</v>
      </c>
    </row>
    <row r="225" spans="1:6" ht="14.25" thickBot="1">
      <c r="A225" s="838" t="s">
        <v>528</v>
      </c>
      <c r="B225" s="832" t="s">
        <v>947</v>
      </c>
      <c r="C225" s="1060">
        <v>0.15</v>
      </c>
      <c r="D225" s="1060">
        <v>0.15</v>
      </c>
      <c r="E225" s="1060">
        <v>0.15</v>
      </c>
      <c r="F225" s="1061">
        <v>0.15</v>
      </c>
    </row>
    <row r="226" spans="1:6" ht="14.25" thickBot="1">
      <c r="A226" s="838" t="s">
        <v>528</v>
      </c>
      <c r="B226" s="832" t="s">
        <v>397</v>
      </c>
      <c r="C226" s="1060">
        <v>0.15</v>
      </c>
      <c r="D226" s="1060">
        <v>0.15</v>
      </c>
      <c r="E226" s="1060">
        <v>0.15</v>
      </c>
      <c r="F226" s="1061">
        <v>0.14799999999999999</v>
      </c>
    </row>
    <row r="227" spans="1:6" ht="14.25" thickBot="1">
      <c r="A227" s="838" t="s">
        <v>528</v>
      </c>
      <c r="B227" s="832" t="s">
        <v>948</v>
      </c>
      <c r="C227" s="1060">
        <v>0.15</v>
      </c>
      <c r="D227" s="1060">
        <v>0.15</v>
      </c>
      <c r="E227" s="1060">
        <v>0.15</v>
      </c>
      <c r="F227" s="1061">
        <v>0.15</v>
      </c>
    </row>
    <row r="228" spans="1:6" ht="14.25" thickBot="1">
      <c r="A228" s="838" t="s">
        <v>528</v>
      </c>
      <c r="B228" s="832" t="s">
        <v>412</v>
      </c>
      <c r="C228" s="1060">
        <v>0.15</v>
      </c>
      <c r="D228" s="1060">
        <v>0.15</v>
      </c>
      <c r="E228" s="1060">
        <v>0.15</v>
      </c>
      <c r="F228" s="1061">
        <v>0.15</v>
      </c>
    </row>
    <row r="229" spans="1:6" ht="14.25" thickBot="1">
      <c r="A229" s="838" t="s">
        <v>528</v>
      </c>
      <c r="B229" s="832" t="s">
        <v>419</v>
      </c>
      <c r="C229" s="1060">
        <v>0.15</v>
      </c>
      <c r="D229" s="1060">
        <v>0.15</v>
      </c>
      <c r="E229" s="1060">
        <v>0.15</v>
      </c>
      <c r="F229" s="1072"/>
    </row>
    <row r="230" spans="1:6" ht="14.25" thickBot="1">
      <c r="A230" s="838" t="s">
        <v>528</v>
      </c>
      <c r="B230" s="832" t="s">
        <v>426</v>
      </c>
      <c r="C230" s="1060">
        <v>0.14499999999999999</v>
      </c>
      <c r="D230" s="1060">
        <v>0.14499999999999999</v>
      </c>
      <c r="E230" s="1060">
        <v>0.14399999999999999</v>
      </c>
      <c r="F230" s="1072"/>
    </row>
    <row r="231" spans="1:6" ht="14.25" thickBot="1">
      <c r="A231" s="838" t="s">
        <v>528</v>
      </c>
      <c r="B231" s="832" t="s">
        <v>949</v>
      </c>
      <c r="C231" s="1060">
        <v>0.128</v>
      </c>
      <c r="D231" s="1060">
        <v>0.125</v>
      </c>
      <c r="E231" s="1060">
        <v>0.13200000000000001</v>
      </c>
      <c r="F231" s="1072"/>
    </row>
    <row r="232" spans="1:6" ht="14.25" thickBot="1">
      <c r="A232" s="838" t="s">
        <v>528</v>
      </c>
      <c r="B232" s="832" t="s">
        <v>950</v>
      </c>
      <c r="C232" s="1060">
        <v>0.14499999999999999</v>
      </c>
      <c r="D232" s="1060">
        <v>0.14399999999999999</v>
      </c>
      <c r="E232" s="1060">
        <v>0.14599999999999999</v>
      </c>
      <c r="F232" s="1061">
        <v>0.13800000000000001</v>
      </c>
    </row>
    <row r="233" spans="1:6" ht="14.25" thickBot="1">
      <c r="A233" s="838" t="s">
        <v>528</v>
      </c>
      <c r="B233" s="832" t="s">
        <v>951</v>
      </c>
      <c r="C233" s="1060">
        <v>0.14499999999999999</v>
      </c>
      <c r="D233" s="1060">
        <v>0.14299999999999999</v>
      </c>
      <c r="E233" s="1060">
        <v>0.14199999999999999</v>
      </c>
      <c r="F233" s="1072"/>
    </row>
    <row r="234" spans="1:6" ht="14.25" thickBot="1">
      <c r="A234" s="838" t="s">
        <v>528</v>
      </c>
      <c r="B234" s="832" t="s">
        <v>952</v>
      </c>
      <c r="C234" s="1060">
        <v>0.14000000000000001</v>
      </c>
      <c r="D234" s="1060">
        <v>0.14000000000000001</v>
      </c>
      <c r="E234" s="1060">
        <v>0.14399999999999999</v>
      </c>
      <c r="F234" s="1072"/>
    </row>
    <row r="235" spans="1:6" ht="14.25" thickBot="1">
      <c r="A235" s="838" t="s">
        <v>528</v>
      </c>
      <c r="B235" s="832" t="s">
        <v>953</v>
      </c>
      <c r="C235" s="1060">
        <v>0.14099999999999999</v>
      </c>
      <c r="D235" s="1060">
        <v>0.14199999999999999</v>
      </c>
      <c r="E235" s="1060">
        <v>0.14499999999999999</v>
      </c>
      <c r="F235" s="1061">
        <v>0.15</v>
      </c>
    </row>
    <row r="236" spans="1:6" ht="14.25" thickBot="1">
      <c r="A236" s="838" t="s">
        <v>528</v>
      </c>
      <c r="B236" s="832" t="s">
        <v>461</v>
      </c>
      <c r="C236" s="1073"/>
      <c r="D236" s="1073"/>
      <c r="E236" s="1073"/>
      <c r="F236" s="1061">
        <v>0.14299999999999999</v>
      </c>
    </row>
    <row r="237" spans="1:6" ht="24.75" thickBot="1">
      <c r="A237" s="838" t="s">
        <v>528</v>
      </c>
      <c r="B237" s="832" t="s">
        <v>954</v>
      </c>
      <c r="C237" s="1073"/>
      <c r="D237" s="1073"/>
      <c r="E237" s="1073"/>
      <c r="F237" s="1061">
        <v>0.05</v>
      </c>
    </row>
    <row r="238" spans="1:6" ht="24.75" thickBot="1">
      <c r="A238" s="838" t="s">
        <v>528</v>
      </c>
      <c r="B238" s="832" t="s">
        <v>955</v>
      </c>
      <c r="C238" s="1073"/>
      <c r="D238" s="1073"/>
      <c r="E238" s="1073"/>
      <c r="F238" s="1061">
        <v>0.05</v>
      </c>
    </row>
    <row r="239" spans="1:6" ht="24.75" thickBot="1">
      <c r="A239" s="838" t="s">
        <v>528</v>
      </c>
      <c r="B239" s="832" t="s">
        <v>956</v>
      </c>
      <c r="C239" s="1073"/>
      <c r="D239" s="1073"/>
      <c r="E239" s="1073"/>
      <c r="F239" s="1061">
        <v>0.05</v>
      </c>
    </row>
    <row r="240" spans="1:6" ht="24.75" thickBot="1">
      <c r="A240" s="838" t="s">
        <v>528</v>
      </c>
      <c r="B240" s="832" t="s">
        <v>957</v>
      </c>
      <c r="C240" s="1073"/>
      <c r="D240" s="1073"/>
      <c r="E240" s="1073"/>
      <c r="F240" s="1061">
        <v>0.05</v>
      </c>
    </row>
    <row r="241" spans="1:6" ht="24.75" thickBot="1">
      <c r="A241" s="838" t="s">
        <v>528</v>
      </c>
      <c r="B241" s="832" t="s">
        <v>958</v>
      </c>
      <c r="C241" s="1073"/>
      <c r="D241" s="1073"/>
      <c r="E241" s="1073"/>
      <c r="F241" s="1061">
        <v>0.05</v>
      </c>
    </row>
    <row r="242" spans="1:6" ht="24.75" thickBot="1">
      <c r="A242" s="838" t="s">
        <v>528</v>
      </c>
      <c r="B242" s="832" t="s">
        <v>959</v>
      </c>
      <c r="C242" s="1073"/>
      <c r="D242" s="1073"/>
      <c r="E242" s="1073"/>
      <c r="F242" s="1061">
        <v>0.05</v>
      </c>
    </row>
    <row r="243" spans="1:6" ht="24.75" thickBot="1">
      <c r="A243" s="838" t="s">
        <v>528</v>
      </c>
      <c r="B243" s="832" t="s">
        <v>960</v>
      </c>
      <c r="C243" s="1073"/>
      <c r="D243" s="1073"/>
      <c r="E243" s="1073"/>
      <c r="F243" s="1061">
        <v>0.05</v>
      </c>
    </row>
    <row r="244" spans="1:6" ht="24.75" thickBot="1">
      <c r="A244" s="848" t="s">
        <v>528</v>
      </c>
      <c r="B244" s="844" t="s">
        <v>961</v>
      </c>
      <c r="C244" s="1070"/>
      <c r="D244" s="1070"/>
      <c r="E244" s="1070"/>
      <c r="F244" s="1063">
        <v>0.05</v>
      </c>
    </row>
    <row r="245" spans="1:6" ht="14.25" thickBot="1">
      <c r="A245" s="838" t="s">
        <v>530</v>
      </c>
      <c r="B245" s="839" t="s">
        <v>962</v>
      </c>
      <c r="C245" s="1058">
        <v>0.15</v>
      </c>
      <c r="D245" s="1058">
        <v>0.15</v>
      </c>
      <c r="E245" s="1058">
        <v>0.15</v>
      </c>
      <c r="F245" s="1059">
        <v>0.14299999999999999</v>
      </c>
    </row>
    <row r="246" spans="1:6" ht="14.25" thickBot="1">
      <c r="A246" s="838" t="s">
        <v>530</v>
      </c>
      <c r="B246" s="832" t="s">
        <v>195</v>
      </c>
      <c r="C246" s="1060">
        <v>0.15</v>
      </c>
      <c r="D246" s="1060">
        <v>0.15</v>
      </c>
      <c r="E246" s="1060">
        <v>0.15</v>
      </c>
      <c r="F246" s="1061">
        <v>0.114</v>
      </c>
    </row>
    <row r="247" spans="1:6" ht="14.25" thickBot="1">
      <c r="A247" s="838" t="s">
        <v>530</v>
      </c>
      <c r="B247" s="832" t="s">
        <v>963</v>
      </c>
      <c r="C247" s="1060">
        <v>0.15</v>
      </c>
      <c r="D247" s="1060">
        <v>0.15</v>
      </c>
      <c r="E247" s="1060">
        <v>0.15</v>
      </c>
      <c r="F247" s="1061">
        <v>0.15</v>
      </c>
    </row>
    <row r="248" spans="1:6" ht="14.25" thickBot="1">
      <c r="A248" s="838" t="s">
        <v>530</v>
      </c>
      <c r="B248" s="832" t="s">
        <v>964</v>
      </c>
      <c r="C248" s="1060">
        <v>0.15</v>
      </c>
      <c r="D248" s="1060">
        <v>0.15</v>
      </c>
      <c r="E248" s="1060">
        <v>0.15</v>
      </c>
      <c r="F248" s="1061">
        <v>0.14000000000000001</v>
      </c>
    </row>
    <row r="249" spans="1:6" ht="14.25" thickBot="1">
      <c r="A249" s="838" t="s">
        <v>530</v>
      </c>
      <c r="B249" s="832" t="s">
        <v>965</v>
      </c>
      <c r="C249" s="1060">
        <v>0.15</v>
      </c>
      <c r="D249" s="1060">
        <v>0.14899999999999999</v>
      </c>
      <c r="E249" s="1060">
        <v>0.15</v>
      </c>
      <c r="F249" s="1061">
        <v>0.1</v>
      </c>
    </row>
    <row r="250" spans="1:6" ht="14.25" thickBot="1">
      <c r="A250" s="838" t="s">
        <v>530</v>
      </c>
      <c r="B250" s="832" t="s">
        <v>966</v>
      </c>
      <c r="C250" s="1060">
        <v>0.15</v>
      </c>
      <c r="D250" s="1060">
        <v>0.15</v>
      </c>
      <c r="E250" s="1060">
        <v>0.15</v>
      </c>
      <c r="F250" s="1061">
        <v>0.14399999999999999</v>
      </c>
    </row>
    <row r="251" spans="1:6" ht="14.25" thickBot="1">
      <c r="A251" s="838" t="s">
        <v>530</v>
      </c>
      <c r="B251" s="832" t="s">
        <v>255</v>
      </c>
      <c r="C251" s="1060">
        <v>0.15</v>
      </c>
      <c r="D251" s="1060">
        <v>0.15</v>
      </c>
      <c r="E251" s="1060">
        <v>0.15</v>
      </c>
      <c r="F251" s="1061">
        <v>0.14299999999999999</v>
      </c>
    </row>
    <row r="252" spans="1:6" ht="14.25" thickBot="1">
      <c r="A252" s="838" t="s">
        <v>530</v>
      </c>
      <c r="B252" s="832" t="s">
        <v>266</v>
      </c>
      <c r="C252" s="1060">
        <v>0.15</v>
      </c>
      <c r="D252" s="1060">
        <v>0.15</v>
      </c>
      <c r="E252" s="1060">
        <v>0.15</v>
      </c>
      <c r="F252" s="1061">
        <v>0.1</v>
      </c>
    </row>
    <row r="253" spans="1:6" ht="14.25" thickBot="1">
      <c r="A253" s="838" t="s">
        <v>530</v>
      </c>
      <c r="B253" s="832" t="s">
        <v>278</v>
      </c>
      <c r="C253" s="1060">
        <v>0.15</v>
      </c>
      <c r="D253" s="1060">
        <v>0.15</v>
      </c>
      <c r="E253" s="1060">
        <v>0.15</v>
      </c>
      <c r="F253" s="1061">
        <v>0.1</v>
      </c>
    </row>
    <row r="254" spans="1:6" ht="14.25" thickBot="1">
      <c r="A254" s="838" t="s">
        <v>530</v>
      </c>
      <c r="B254" s="832" t="s">
        <v>288</v>
      </c>
      <c r="C254" s="1073"/>
      <c r="D254" s="1073"/>
      <c r="E254" s="1073"/>
      <c r="F254" s="1061">
        <v>0.15</v>
      </c>
    </row>
    <row r="255" spans="1:6" ht="14.25" thickBot="1">
      <c r="A255" s="838" t="s">
        <v>530</v>
      </c>
      <c r="B255" s="832" t="s">
        <v>298</v>
      </c>
      <c r="C255" s="1073"/>
      <c r="D255" s="1073"/>
      <c r="E255" s="1073"/>
      <c r="F255" s="1061">
        <v>0.14299999999999999</v>
      </c>
    </row>
    <row r="256" spans="1:6" ht="14.25" thickBot="1">
      <c r="A256" s="838" t="s">
        <v>530</v>
      </c>
      <c r="B256" s="832" t="s">
        <v>967</v>
      </c>
      <c r="C256" s="1060">
        <v>0.14599999999999999</v>
      </c>
      <c r="D256" s="1060">
        <v>0.14699999999999999</v>
      </c>
      <c r="E256" s="1060">
        <v>0.15</v>
      </c>
      <c r="F256" s="1061">
        <v>0.13200000000000001</v>
      </c>
    </row>
    <row r="257" spans="1:6" ht="14.25" thickBot="1">
      <c r="A257" s="838" t="s">
        <v>530</v>
      </c>
      <c r="B257" s="832" t="s">
        <v>318</v>
      </c>
      <c r="C257" s="1060">
        <v>0.15</v>
      </c>
      <c r="D257" s="1060">
        <v>0.15</v>
      </c>
      <c r="E257" s="1060">
        <v>0.15</v>
      </c>
      <c r="F257" s="1061">
        <v>0.13900000000000001</v>
      </c>
    </row>
    <row r="258" spans="1:6" ht="14.25" thickBot="1">
      <c r="A258" s="838" t="s">
        <v>530</v>
      </c>
      <c r="B258" s="832" t="s">
        <v>329</v>
      </c>
      <c r="C258" s="1060">
        <v>0.15</v>
      </c>
      <c r="D258" s="1060">
        <v>0.15</v>
      </c>
      <c r="E258" s="1060">
        <v>0.15</v>
      </c>
      <c r="F258" s="1061">
        <v>0.13</v>
      </c>
    </row>
    <row r="259" spans="1:6" ht="14.25" thickBot="1">
      <c r="A259" s="838" t="s">
        <v>530</v>
      </c>
      <c r="B259" s="832" t="s">
        <v>968</v>
      </c>
      <c r="C259" s="1060">
        <v>0.14799999999999999</v>
      </c>
      <c r="D259" s="1060">
        <v>0.14899999999999999</v>
      </c>
      <c r="E259" s="1060">
        <v>0.15</v>
      </c>
      <c r="F259" s="1061">
        <v>0.13700000000000001</v>
      </c>
    </row>
    <row r="260" spans="1:6" ht="14.25" thickBot="1">
      <c r="A260" s="838" t="s">
        <v>530</v>
      </c>
      <c r="B260" s="832" t="s">
        <v>350</v>
      </c>
      <c r="C260" s="1060">
        <v>0.15</v>
      </c>
      <c r="D260" s="1060">
        <v>0.15</v>
      </c>
      <c r="E260" s="1060">
        <v>0.15</v>
      </c>
      <c r="F260" s="1061">
        <v>0.14199999999999999</v>
      </c>
    </row>
    <row r="261" spans="1:6" ht="14.25" thickBot="1">
      <c r="A261" s="838" t="s">
        <v>530</v>
      </c>
      <c r="B261" s="832" t="s">
        <v>360</v>
      </c>
      <c r="C261" s="1060">
        <v>0.15</v>
      </c>
      <c r="D261" s="1060">
        <v>0.15</v>
      </c>
      <c r="E261" s="1060">
        <v>0.14899999999999999</v>
      </c>
      <c r="F261" s="1061">
        <v>0.14799999999999999</v>
      </c>
    </row>
    <row r="262" spans="1:6" ht="14.25" thickBot="1">
      <c r="A262" s="838" t="s">
        <v>530</v>
      </c>
      <c r="B262" s="832" t="s">
        <v>370</v>
      </c>
      <c r="C262" s="1060">
        <v>0.15</v>
      </c>
      <c r="D262" s="1060">
        <v>0.15</v>
      </c>
      <c r="E262" s="1060">
        <v>0.15</v>
      </c>
      <c r="F262" s="1072"/>
    </row>
    <row r="263" spans="1:6" ht="14.25" thickBot="1">
      <c r="A263" s="838" t="s">
        <v>530</v>
      </c>
      <c r="B263" s="832" t="s">
        <v>969</v>
      </c>
      <c r="C263" s="1060">
        <v>0.14899999999999999</v>
      </c>
      <c r="D263" s="1060">
        <v>0.14899999999999999</v>
      </c>
      <c r="E263" s="1060">
        <v>0.15</v>
      </c>
      <c r="F263" s="1061">
        <v>0.13</v>
      </c>
    </row>
    <row r="264" spans="1:6" ht="14.25" thickBot="1">
      <c r="A264" s="838" t="s">
        <v>530</v>
      </c>
      <c r="B264" s="832" t="s">
        <v>389</v>
      </c>
      <c r="C264" s="1060">
        <v>0.14799999999999999</v>
      </c>
      <c r="D264" s="1060">
        <v>0.14699999999999999</v>
      </c>
      <c r="E264" s="1060">
        <v>0.15</v>
      </c>
      <c r="F264" s="1061">
        <v>7.8E-2</v>
      </c>
    </row>
    <row r="265" spans="1:6" ht="14.25" thickBot="1">
      <c r="A265" s="838" t="s">
        <v>530</v>
      </c>
      <c r="B265" s="832" t="s">
        <v>398</v>
      </c>
      <c r="C265" s="1060">
        <v>0.15</v>
      </c>
      <c r="D265" s="1060">
        <v>0.15</v>
      </c>
      <c r="E265" s="1060">
        <v>0.15</v>
      </c>
      <c r="F265" s="1061">
        <v>7.3999999999999996E-2</v>
      </c>
    </row>
    <row r="266" spans="1:6" ht="14.25" thickBot="1">
      <c r="A266" s="838" t="s">
        <v>530</v>
      </c>
      <c r="B266" s="832" t="s">
        <v>406</v>
      </c>
      <c r="C266" s="1060">
        <v>0.14699999999999999</v>
      </c>
      <c r="D266" s="1060">
        <v>0.14699999999999999</v>
      </c>
      <c r="E266" s="1060">
        <v>0.15</v>
      </c>
      <c r="F266" s="1061">
        <v>0.14299999999999999</v>
      </c>
    </row>
    <row r="267" spans="1:6" ht="14.25" thickBot="1">
      <c r="A267" s="838" t="s">
        <v>530</v>
      </c>
      <c r="B267" s="832" t="s">
        <v>413</v>
      </c>
      <c r="C267" s="1060">
        <v>0.14199999999999999</v>
      </c>
      <c r="D267" s="1060">
        <v>0.14299999999999999</v>
      </c>
      <c r="E267" s="1060">
        <v>0.15</v>
      </c>
      <c r="F267" s="1072"/>
    </row>
    <row r="268" spans="1:6" ht="14.25" thickBot="1">
      <c r="A268" s="838" t="s">
        <v>530</v>
      </c>
      <c r="B268" s="832" t="s">
        <v>970</v>
      </c>
      <c r="C268" s="1060">
        <v>0.15</v>
      </c>
      <c r="D268" s="1060">
        <v>0.15</v>
      </c>
      <c r="E268" s="1060">
        <v>0.15</v>
      </c>
      <c r="F268" s="1061">
        <v>0.13</v>
      </c>
    </row>
    <row r="269" spans="1:6" ht="14.25" thickBot="1">
      <c r="A269" s="838" t="s">
        <v>530</v>
      </c>
      <c r="B269" s="832" t="s">
        <v>427</v>
      </c>
      <c r="C269" s="1060">
        <v>0.15</v>
      </c>
      <c r="D269" s="1060">
        <v>0.15</v>
      </c>
      <c r="E269" s="1060">
        <v>0.15</v>
      </c>
      <c r="F269" s="1061">
        <v>0.14299999999999999</v>
      </c>
    </row>
    <row r="270" spans="1:6" ht="14.25" thickBot="1">
      <c r="A270" s="838" t="s">
        <v>530</v>
      </c>
      <c r="B270" s="832" t="s">
        <v>434</v>
      </c>
      <c r="C270" s="1060">
        <v>0.14499999999999999</v>
      </c>
      <c r="D270" s="1060">
        <v>0.14499999999999999</v>
      </c>
      <c r="E270" s="1060">
        <v>0.15</v>
      </c>
      <c r="F270" s="1061">
        <v>0.14699999999999999</v>
      </c>
    </row>
    <row r="271" spans="1:6" ht="14.25" thickBot="1">
      <c r="A271" s="838" t="s">
        <v>530</v>
      </c>
      <c r="B271" s="832" t="s">
        <v>441</v>
      </c>
      <c r="C271" s="1060">
        <v>0.15</v>
      </c>
      <c r="D271" s="1060">
        <v>0.15</v>
      </c>
      <c r="E271" s="1060">
        <v>0.15</v>
      </c>
      <c r="F271" s="1061">
        <v>0.13800000000000001</v>
      </c>
    </row>
    <row r="272" spans="1:6" ht="14.25" thickBot="1">
      <c r="A272" s="838" t="s">
        <v>530</v>
      </c>
      <c r="B272" s="832" t="s">
        <v>448</v>
      </c>
      <c r="C272" s="1073"/>
      <c r="D272" s="1073"/>
      <c r="E272" s="1073"/>
      <c r="F272" s="1061">
        <v>0.14000000000000001</v>
      </c>
    </row>
    <row r="273" spans="1:6" ht="14.25" thickBot="1">
      <c r="A273" s="838" t="s">
        <v>530</v>
      </c>
      <c r="B273" s="832" t="s">
        <v>971</v>
      </c>
      <c r="C273" s="1060">
        <v>0.14199999999999999</v>
      </c>
      <c r="D273" s="1060">
        <v>0.14299999999999999</v>
      </c>
      <c r="E273" s="1060">
        <v>0.15</v>
      </c>
      <c r="F273" s="1061">
        <v>0.1</v>
      </c>
    </row>
    <row r="274" spans="1:6" ht="14.25" thickBot="1">
      <c r="A274" s="838" t="s">
        <v>530</v>
      </c>
      <c r="B274" s="832" t="s">
        <v>972</v>
      </c>
      <c r="C274" s="1060">
        <v>0.14799999999999999</v>
      </c>
      <c r="D274" s="1060">
        <v>0.14799999999999999</v>
      </c>
      <c r="E274" s="1060">
        <v>0.15</v>
      </c>
      <c r="F274" s="1061">
        <v>6.7000000000000004E-2</v>
      </c>
    </row>
    <row r="275" spans="1:6" ht="14.25" thickBot="1">
      <c r="A275" s="838" t="s">
        <v>530</v>
      </c>
      <c r="B275" s="832" t="s">
        <v>973</v>
      </c>
      <c r="C275" s="1060">
        <v>0.15</v>
      </c>
      <c r="D275" s="1060">
        <v>0.15</v>
      </c>
      <c r="E275" s="1060">
        <v>0.15</v>
      </c>
      <c r="F275" s="1061">
        <v>0.15</v>
      </c>
    </row>
    <row r="276" spans="1:6" ht="14.25" thickBot="1">
      <c r="A276" s="838" t="s">
        <v>530</v>
      </c>
      <c r="B276" s="832" t="s">
        <v>974</v>
      </c>
      <c r="C276" s="1060">
        <v>0.14499999999999999</v>
      </c>
      <c r="D276" s="1060">
        <v>0.14299999999999999</v>
      </c>
      <c r="E276" s="1060">
        <v>0.15</v>
      </c>
      <c r="F276" s="1061">
        <v>5.8999999999999997E-2</v>
      </c>
    </row>
    <row r="277" spans="1:6" ht="14.25" thickBot="1">
      <c r="A277" s="838" t="s">
        <v>530</v>
      </c>
      <c r="B277" s="832" t="s">
        <v>975</v>
      </c>
      <c r="C277" s="1060">
        <v>0.15</v>
      </c>
      <c r="D277" s="1060">
        <v>0.15</v>
      </c>
      <c r="E277" s="1060">
        <v>0.15</v>
      </c>
      <c r="F277" s="1061">
        <v>0.121</v>
      </c>
    </row>
    <row r="278" spans="1:6" ht="14.25" thickBot="1">
      <c r="A278" s="838" t="s">
        <v>530</v>
      </c>
      <c r="B278" s="832" t="s">
        <v>976</v>
      </c>
      <c r="C278" s="1060">
        <v>0.15</v>
      </c>
      <c r="D278" s="1060">
        <v>0.15</v>
      </c>
      <c r="E278" s="1060">
        <v>0.15</v>
      </c>
      <c r="F278" s="1061">
        <v>0.13800000000000001</v>
      </c>
    </row>
    <row r="279" spans="1:6" ht="24.75" thickBot="1">
      <c r="A279" s="838" t="s">
        <v>530</v>
      </c>
      <c r="B279" s="832" t="s">
        <v>977</v>
      </c>
      <c r="C279" s="1073"/>
      <c r="D279" s="1073"/>
      <c r="E279" s="1073"/>
      <c r="F279" s="1061">
        <v>0.05</v>
      </c>
    </row>
    <row r="280" spans="1:6" ht="24.75" thickBot="1">
      <c r="A280" s="838" t="s">
        <v>530</v>
      </c>
      <c r="B280" s="832" t="s">
        <v>978</v>
      </c>
      <c r="C280" s="1073"/>
      <c r="D280" s="1073"/>
      <c r="E280" s="1073"/>
      <c r="F280" s="1061">
        <v>0.05</v>
      </c>
    </row>
    <row r="281" spans="1:6" ht="24.75" thickBot="1">
      <c r="A281" s="838" t="s">
        <v>530</v>
      </c>
      <c r="B281" s="832" t="s">
        <v>979</v>
      </c>
      <c r="C281" s="1073"/>
      <c r="D281" s="1073"/>
      <c r="E281" s="1073"/>
      <c r="F281" s="1061">
        <v>0.05</v>
      </c>
    </row>
    <row r="282" spans="1:6" ht="24.75" thickBot="1">
      <c r="A282" s="838" t="s">
        <v>530</v>
      </c>
      <c r="B282" s="832" t="s">
        <v>980</v>
      </c>
      <c r="C282" s="1073"/>
      <c r="D282" s="1073"/>
      <c r="E282" s="1073"/>
      <c r="F282" s="1061">
        <v>0.05</v>
      </c>
    </row>
    <row r="283" spans="1:6" ht="24.75" thickBot="1">
      <c r="A283" s="838" t="s">
        <v>530</v>
      </c>
      <c r="B283" s="832" t="s">
        <v>981</v>
      </c>
      <c r="C283" s="1073"/>
      <c r="D283" s="1073"/>
      <c r="E283" s="1073"/>
      <c r="F283" s="1061">
        <v>0.05</v>
      </c>
    </row>
    <row r="284" spans="1:6" ht="24.75" thickBot="1">
      <c r="A284" s="838" t="s">
        <v>530</v>
      </c>
      <c r="B284" s="832" t="s">
        <v>982</v>
      </c>
      <c r="C284" s="1073"/>
      <c r="D284" s="1073"/>
      <c r="E284" s="1073"/>
      <c r="F284" s="1061">
        <v>0.05</v>
      </c>
    </row>
    <row r="285" spans="1:6" ht="24.75" thickBot="1">
      <c r="A285" s="838" t="s">
        <v>530</v>
      </c>
      <c r="B285" s="832" t="s">
        <v>983</v>
      </c>
      <c r="C285" s="1073"/>
      <c r="D285" s="1073"/>
      <c r="E285" s="1073"/>
      <c r="F285" s="1061">
        <v>0.05</v>
      </c>
    </row>
    <row r="286" spans="1:6" ht="24.75" thickBot="1">
      <c r="A286" s="838" t="s">
        <v>530</v>
      </c>
      <c r="B286" s="832" t="s">
        <v>984</v>
      </c>
      <c r="C286" s="1073"/>
      <c r="D286" s="1073"/>
      <c r="E286" s="1073"/>
      <c r="F286" s="1061">
        <v>0.05</v>
      </c>
    </row>
    <row r="287" spans="1:6" ht="24.75" thickBot="1">
      <c r="A287" s="838" t="s">
        <v>530</v>
      </c>
      <c r="B287" s="832" t="s">
        <v>985</v>
      </c>
      <c r="C287" s="1073"/>
      <c r="D287" s="1073"/>
      <c r="E287" s="1073"/>
      <c r="F287" s="1061">
        <v>0.05</v>
      </c>
    </row>
    <row r="288" spans="1:6" ht="24.75" thickBot="1">
      <c r="A288" s="838" t="s">
        <v>530</v>
      </c>
      <c r="B288" s="832" t="s">
        <v>986</v>
      </c>
      <c r="C288" s="1073"/>
      <c r="D288" s="1073"/>
      <c r="E288" s="1073"/>
      <c r="F288" s="1061">
        <v>0.05</v>
      </c>
    </row>
    <row r="289" spans="1:6" ht="24.75" thickBot="1">
      <c r="A289" s="848" t="s">
        <v>530</v>
      </c>
      <c r="B289" s="844" t="s">
        <v>987</v>
      </c>
      <c r="C289" s="1070"/>
      <c r="D289" s="1070"/>
      <c r="E289" s="1070"/>
      <c r="F289" s="1063">
        <v>0.05</v>
      </c>
    </row>
    <row r="290" spans="1:6" ht="14.25" thickBot="1">
      <c r="A290" s="838" t="s">
        <v>534</v>
      </c>
      <c r="B290" s="839" t="s">
        <v>988</v>
      </c>
      <c r="C290" s="1058">
        <v>0.15</v>
      </c>
      <c r="D290" s="1058">
        <v>0.15</v>
      </c>
      <c r="E290" s="1058">
        <v>0.15</v>
      </c>
      <c r="F290" s="1075"/>
    </row>
    <row r="291" spans="1:6" ht="14.25" thickBot="1">
      <c r="A291" s="838" t="s">
        <v>534</v>
      </c>
      <c r="B291" s="832" t="s">
        <v>196</v>
      </c>
      <c r="C291" s="1060">
        <v>0.15</v>
      </c>
      <c r="D291" s="1060">
        <v>0.15</v>
      </c>
      <c r="E291" s="1060">
        <v>0.15</v>
      </c>
      <c r="F291" s="1072"/>
    </row>
    <row r="292" spans="1:6" ht="14.25" thickBot="1">
      <c r="A292" s="838" t="s">
        <v>534</v>
      </c>
      <c r="B292" s="832" t="s">
        <v>989</v>
      </c>
      <c r="C292" s="1060">
        <v>0.15</v>
      </c>
      <c r="D292" s="1060">
        <v>0.15</v>
      </c>
      <c r="E292" s="1060">
        <v>0.15</v>
      </c>
      <c r="F292" s="1061">
        <v>0.14699999999999999</v>
      </c>
    </row>
    <row r="293" spans="1:6" ht="14.25" thickBot="1">
      <c r="A293" s="838" t="s">
        <v>534</v>
      </c>
      <c r="B293" s="832" t="s">
        <v>990</v>
      </c>
      <c r="C293" s="1073"/>
      <c r="D293" s="1073"/>
      <c r="E293" s="1073"/>
      <c r="F293" s="1061">
        <v>0.1</v>
      </c>
    </row>
    <row r="294" spans="1:6" ht="14.25" thickBot="1">
      <c r="A294" s="838" t="s">
        <v>534</v>
      </c>
      <c r="B294" s="832" t="s">
        <v>991</v>
      </c>
      <c r="C294" s="1060">
        <v>0.15</v>
      </c>
      <c r="D294" s="1060">
        <v>0.15</v>
      </c>
      <c r="E294" s="1060">
        <v>0.15</v>
      </c>
      <c r="F294" s="1061">
        <v>0.15</v>
      </c>
    </row>
    <row r="295" spans="1:6" ht="14.25" thickBot="1">
      <c r="A295" s="838" t="s">
        <v>534</v>
      </c>
      <c r="B295" s="832" t="s">
        <v>234</v>
      </c>
      <c r="C295" s="1060">
        <v>0.15</v>
      </c>
      <c r="D295" s="1060">
        <v>0.15</v>
      </c>
      <c r="E295" s="1060">
        <v>0.15</v>
      </c>
      <c r="F295" s="1061">
        <v>0.15</v>
      </c>
    </row>
    <row r="296" spans="1:6" ht="14.25" thickBot="1">
      <c r="A296" s="838" t="s">
        <v>534</v>
      </c>
      <c r="B296" s="832" t="s">
        <v>992</v>
      </c>
      <c r="C296" s="1060">
        <v>0.15</v>
      </c>
      <c r="D296" s="1060">
        <v>0.15</v>
      </c>
      <c r="E296" s="1060">
        <v>0.15</v>
      </c>
      <c r="F296" s="1061">
        <v>0.15</v>
      </c>
    </row>
    <row r="297" spans="1:6" ht="14.25" thickBot="1">
      <c r="A297" s="838" t="s">
        <v>534</v>
      </c>
      <c r="B297" s="832" t="s">
        <v>993</v>
      </c>
      <c r="C297" s="1060">
        <v>0.14799999999999999</v>
      </c>
      <c r="D297" s="1060">
        <v>0.14899999999999999</v>
      </c>
      <c r="E297" s="1060">
        <v>0.15</v>
      </c>
      <c r="F297" s="1061">
        <v>0.13700000000000001</v>
      </c>
    </row>
    <row r="298" spans="1:6" ht="14.25" thickBot="1">
      <c r="A298" s="838" t="s">
        <v>534</v>
      </c>
      <c r="B298" s="832" t="s">
        <v>267</v>
      </c>
      <c r="C298" s="1060">
        <v>0.13400000000000001</v>
      </c>
      <c r="D298" s="1060">
        <v>0.13400000000000001</v>
      </c>
      <c r="E298" s="1060">
        <v>0.14499999999999999</v>
      </c>
      <c r="F298" s="1061">
        <v>0.14799999999999999</v>
      </c>
    </row>
    <row r="299" spans="1:6" ht="14.25" thickBot="1">
      <c r="A299" s="838" t="s">
        <v>534</v>
      </c>
      <c r="B299" s="832" t="s">
        <v>279</v>
      </c>
      <c r="C299" s="1060">
        <v>0.15</v>
      </c>
      <c r="D299" s="1060">
        <v>0.15</v>
      </c>
      <c r="E299" s="1060">
        <v>0.15</v>
      </c>
      <c r="F299" s="1072"/>
    </row>
    <row r="300" spans="1:6" ht="14.25" thickBot="1">
      <c r="A300" s="838" t="s">
        <v>534</v>
      </c>
      <c r="B300" s="832" t="s">
        <v>994</v>
      </c>
      <c r="C300" s="1060">
        <v>0.15</v>
      </c>
      <c r="D300" s="1060">
        <v>0.15</v>
      </c>
      <c r="E300" s="1060">
        <v>0.15</v>
      </c>
      <c r="F300" s="1061">
        <v>0.15</v>
      </c>
    </row>
    <row r="301" spans="1:6" ht="14.25" thickBot="1">
      <c r="A301" s="838" t="s">
        <v>534</v>
      </c>
      <c r="B301" s="832" t="s">
        <v>299</v>
      </c>
      <c r="C301" s="1060">
        <v>0.15</v>
      </c>
      <c r="D301" s="1060">
        <v>0.15</v>
      </c>
      <c r="E301" s="1060">
        <v>0.15</v>
      </c>
      <c r="F301" s="1072"/>
    </row>
    <row r="302" spans="1:6" ht="14.25" thickBot="1">
      <c r="A302" s="838" t="s">
        <v>534</v>
      </c>
      <c r="B302" s="832" t="s">
        <v>995</v>
      </c>
      <c r="C302" s="1060">
        <v>0.15</v>
      </c>
      <c r="D302" s="1060">
        <v>0.15</v>
      </c>
      <c r="E302" s="1060">
        <v>0.15</v>
      </c>
      <c r="F302" s="1061">
        <v>0.15</v>
      </c>
    </row>
    <row r="303" spans="1:6" ht="14.25" thickBot="1">
      <c r="A303" s="838" t="s">
        <v>534</v>
      </c>
      <c r="B303" s="832" t="s">
        <v>319</v>
      </c>
      <c r="C303" s="1060">
        <v>0.15</v>
      </c>
      <c r="D303" s="1060">
        <v>0.15</v>
      </c>
      <c r="E303" s="1060">
        <v>0.15</v>
      </c>
      <c r="F303" s="1061">
        <v>0.15</v>
      </c>
    </row>
    <row r="304" spans="1:6" ht="14.25" thickBot="1">
      <c r="A304" s="838" t="s">
        <v>534</v>
      </c>
      <c r="B304" s="832" t="s">
        <v>330</v>
      </c>
      <c r="C304" s="1060">
        <v>0.15</v>
      </c>
      <c r="D304" s="1060">
        <v>0.15</v>
      </c>
      <c r="E304" s="1060">
        <v>0.15</v>
      </c>
      <c r="F304" s="1072"/>
    </row>
    <row r="305" spans="1:6" ht="14.25" thickBot="1">
      <c r="A305" s="838" t="s">
        <v>534</v>
      </c>
      <c r="B305" s="832" t="s">
        <v>996</v>
      </c>
      <c r="C305" s="1060">
        <v>0.15</v>
      </c>
      <c r="D305" s="1060">
        <v>0.15</v>
      </c>
      <c r="E305" s="1060">
        <v>0.15</v>
      </c>
      <c r="F305" s="1061">
        <v>0.14000000000000001</v>
      </c>
    </row>
    <row r="306" spans="1:6" ht="14.25" thickBot="1">
      <c r="A306" s="838" t="s">
        <v>534</v>
      </c>
      <c r="B306" s="832" t="s">
        <v>351</v>
      </c>
      <c r="C306" s="1060">
        <v>0.15</v>
      </c>
      <c r="D306" s="1060">
        <v>0.15</v>
      </c>
      <c r="E306" s="1060">
        <v>0.15</v>
      </c>
      <c r="F306" s="1072"/>
    </row>
    <row r="307" spans="1:6" ht="14.25" thickBot="1">
      <c r="A307" s="838" t="s">
        <v>534</v>
      </c>
      <c r="B307" s="832" t="s">
        <v>997</v>
      </c>
      <c r="C307" s="1060">
        <v>0.15</v>
      </c>
      <c r="D307" s="1060">
        <v>0.15</v>
      </c>
      <c r="E307" s="1060">
        <v>0.15</v>
      </c>
      <c r="F307" s="1061">
        <v>0.14299999999999999</v>
      </c>
    </row>
    <row r="308" spans="1:6" ht="14.25" thickBot="1">
      <c r="A308" s="838" t="s">
        <v>534</v>
      </c>
      <c r="B308" s="832" t="s">
        <v>371</v>
      </c>
      <c r="C308" s="1060">
        <v>0.15</v>
      </c>
      <c r="D308" s="1060">
        <v>0.15</v>
      </c>
      <c r="E308" s="1060">
        <v>0.15</v>
      </c>
      <c r="F308" s="1061">
        <v>0.15</v>
      </c>
    </row>
    <row r="309" spans="1:6" ht="14.25" thickBot="1">
      <c r="A309" s="838" t="s">
        <v>534</v>
      </c>
      <c r="B309" s="832" t="s">
        <v>381</v>
      </c>
      <c r="C309" s="1060">
        <v>0.15</v>
      </c>
      <c r="D309" s="1060">
        <v>0.15</v>
      </c>
      <c r="E309" s="1060">
        <v>0.15</v>
      </c>
      <c r="F309" s="1072"/>
    </row>
    <row r="310" spans="1:6" ht="14.25" thickBot="1">
      <c r="A310" s="838" t="s">
        <v>534</v>
      </c>
      <c r="B310" s="832" t="s">
        <v>998</v>
      </c>
      <c r="C310" s="1060">
        <v>0.15</v>
      </c>
      <c r="D310" s="1060">
        <v>0.15</v>
      </c>
      <c r="E310" s="1060">
        <v>0.15</v>
      </c>
      <c r="F310" s="1061">
        <v>0.13700000000000001</v>
      </c>
    </row>
    <row r="311" spans="1:6" ht="14.25" thickBot="1">
      <c r="A311" s="838" t="s">
        <v>534</v>
      </c>
      <c r="B311" s="832" t="s">
        <v>999</v>
      </c>
      <c r="C311" s="1060">
        <v>0.15</v>
      </c>
      <c r="D311" s="1060">
        <v>0.15</v>
      </c>
      <c r="E311" s="1060">
        <v>0.15</v>
      </c>
      <c r="F311" s="1061">
        <v>0.15</v>
      </c>
    </row>
    <row r="312" spans="1:6" ht="14.25" thickBot="1">
      <c r="A312" s="838" t="s">
        <v>534</v>
      </c>
      <c r="B312" s="832" t="s">
        <v>407</v>
      </c>
      <c r="C312" s="1060">
        <v>0.15</v>
      </c>
      <c r="D312" s="1060">
        <v>0.15</v>
      </c>
      <c r="E312" s="1060">
        <v>0.15</v>
      </c>
      <c r="F312" s="1061">
        <v>0.1</v>
      </c>
    </row>
    <row r="313" spans="1:6" ht="14.25" thickBot="1">
      <c r="A313" s="838" t="s">
        <v>534</v>
      </c>
      <c r="B313" s="832" t="s">
        <v>1000</v>
      </c>
      <c r="C313" s="1060">
        <v>0.15</v>
      </c>
      <c r="D313" s="1060">
        <v>0.15</v>
      </c>
      <c r="E313" s="1060">
        <v>0.15</v>
      </c>
      <c r="F313" s="1061">
        <v>0.15</v>
      </c>
    </row>
    <row r="314" spans="1:6" ht="24.75" thickBot="1">
      <c r="A314" s="838" t="s">
        <v>534</v>
      </c>
      <c r="B314" s="832" t="s">
        <v>1001</v>
      </c>
      <c r="C314" s="1073"/>
      <c r="D314" s="1073"/>
      <c r="E314" s="1073"/>
      <c r="F314" s="1061">
        <v>0.05</v>
      </c>
    </row>
    <row r="315" spans="1:6" ht="24.75" thickBot="1">
      <c r="A315" s="838" t="s">
        <v>534</v>
      </c>
      <c r="B315" s="832" t="s">
        <v>1002</v>
      </c>
      <c r="C315" s="1073"/>
      <c r="D315" s="1073"/>
      <c r="E315" s="1073"/>
      <c r="F315" s="1061">
        <v>0.05</v>
      </c>
    </row>
    <row r="316" spans="1:6" ht="24.75" thickBot="1">
      <c r="A316" s="848" t="s">
        <v>534</v>
      </c>
      <c r="B316" s="844" t="s">
        <v>1003</v>
      </c>
      <c r="C316" s="1070"/>
      <c r="D316" s="1070"/>
      <c r="E316" s="1070"/>
      <c r="F316" s="1063">
        <v>0.05</v>
      </c>
    </row>
    <row r="317" spans="1:6" ht="14.25" thickBot="1">
      <c r="A317" s="838" t="s">
        <v>1004</v>
      </c>
      <c r="B317" s="839" t="s">
        <v>1005</v>
      </c>
      <c r="C317" s="1058">
        <v>0.15</v>
      </c>
      <c r="D317" s="1058">
        <v>0.15</v>
      </c>
      <c r="E317" s="1058">
        <v>0.15</v>
      </c>
      <c r="F317" s="1059">
        <v>0.15</v>
      </c>
    </row>
    <row r="318" spans="1:6" ht="14.25" thickBot="1">
      <c r="A318" s="838" t="s">
        <v>1004</v>
      </c>
      <c r="B318" s="832" t="s">
        <v>1006</v>
      </c>
      <c r="C318" s="1060">
        <v>0.107</v>
      </c>
      <c r="D318" s="1060">
        <v>0.11</v>
      </c>
      <c r="E318" s="1060">
        <v>0.112</v>
      </c>
      <c r="F318" s="1072"/>
    </row>
    <row r="319" spans="1:6" ht="14.25" thickBot="1">
      <c r="A319" s="838" t="s">
        <v>1004</v>
      </c>
      <c r="B319" s="832" t="s">
        <v>1007</v>
      </c>
      <c r="C319" s="1060">
        <v>0.15</v>
      </c>
      <c r="D319" s="1060">
        <v>0.15</v>
      </c>
      <c r="E319" s="1060">
        <v>0.15</v>
      </c>
      <c r="F319" s="1061">
        <v>0.15</v>
      </c>
    </row>
    <row r="320" spans="1:6" ht="14.25" thickBot="1">
      <c r="A320" s="838" t="s">
        <v>1004</v>
      </c>
      <c r="B320" s="832" t="s">
        <v>223</v>
      </c>
      <c r="C320" s="1060">
        <v>0.15</v>
      </c>
      <c r="D320" s="1060">
        <v>0.15</v>
      </c>
      <c r="E320" s="1060">
        <v>0.15</v>
      </c>
      <c r="F320" s="1072"/>
    </row>
    <row r="321" spans="1:6" ht="14.25" thickBot="1">
      <c r="A321" s="838" t="s">
        <v>1004</v>
      </c>
      <c r="B321" s="832" t="s">
        <v>1008</v>
      </c>
      <c r="C321" s="1060">
        <v>0.15</v>
      </c>
      <c r="D321" s="1060">
        <v>0.15</v>
      </c>
      <c r="E321" s="1060">
        <v>0.15</v>
      </c>
      <c r="F321" s="1072"/>
    </row>
    <row r="322" spans="1:6" ht="14.25" thickBot="1">
      <c r="A322" s="838" t="s">
        <v>1004</v>
      </c>
      <c r="B322" s="832" t="s">
        <v>1009</v>
      </c>
      <c r="C322" s="1060">
        <v>0.15</v>
      </c>
      <c r="D322" s="1060">
        <v>0.15</v>
      </c>
      <c r="E322" s="1060">
        <v>0.15</v>
      </c>
      <c r="F322" s="1061">
        <v>0.15</v>
      </c>
    </row>
    <row r="323" spans="1:6" ht="14.25" thickBot="1">
      <c r="A323" s="838" t="s">
        <v>1004</v>
      </c>
      <c r="B323" s="832" t="s">
        <v>1010</v>
      </c>
      <c r="C323" s="1060">
        <v>0.15</v>
      </c>
      <c r="D323" s="1060">
        <v>0.15</v>
      </c>
      <c r="E323" s="1060">
        <v>0.15</v>
      </c>
      <c r="F323" s="1072"/>
    </row>
    <row r="324" spans="1:6" ht="14.25" thickBot="1">
      <c r="A324" s="838" t="s">
        <v>1004</v>
      </c>
      <c r="B324" s="832" t="s">
        <v>1011</v>
      </c>
      <c r="C324" s="1060">
        <v>0.15</v>
      </c>
      <c r="D324" s="1060">
        <v>0.15</v>
      </c>
      <c r="E324" s="1060">
        <v>0.15</v>
      </c>
      <c r="F324" s="1072"/>
    </row>
    <row r="325" spans="1:6" ht="14.25" thickBot="1">
      <c r="A325" s="838" t="s">
        <v>1004</v>
      </c>
      <c r="B325" s="832" t="s">
        <v>1012</v>
      </c>
      <c r="C325" s="1060">
        <v>0.15</v>
      </c>
      <c r="D325" s="1060">
        <v>0.15</v>
      </c>
      <c r="E325" s="1060">
        <v>0.15</v>
      </c>
      <c r="F325" s="1061">
        <v>0.14699999999999999</v>
      </c>
    </row>
    <row r="326" spans="1:6" ht="14.25" thickBot="1">
      <c r="A326" s="838" t="s">
        <v>1004</v>
      </c>
      <c r="B326" s="832" t="s">
        <v>290</v>
      </c>
      <c r="C326" s="1060">
        <v>0.15</v>
      </c>
      <c r="D326" s="1060">
        <v>0.15</v>
      </c>
      <c r="E326" s="1060">
        <v>0.15</v>
      </c>
      <c r="F326" s="1072"/>
    </row>
    <row r="327" spans="1:6" ht="14.25" thickBot="1">
      <c r="A327" s="838" t="s">
        <v>1004</v>
      </c>
      <c r="B327" s="832" t="s">
        <v>1013</v>
      </c>
      <c r="C327" s="1060">
        <v>0.15</v>
      </c>
      <c r="D327" s="1060">
        <v>0.15</v>
      </c>
      <c r="E327" s="1060">
        <v>0.15</v>
      </c>
      <c r="F327" s="1061">
        <v>0.15</v>
      </c>
    </row>
    <row r="328" spans="1:6" ht="14.25" thickBot="1">
      <c r="A328" s="838" t="s">
        <v>1004</v>
      </c>
      <c r="B328" s="832" t="s">
        <v>310</v>
      </c>
      <c r="C328" s="1060">
        <v>0.15</v>
      </c>
      <c r="D328" s="1060">
        <v>0.15</v>
      </c>
      <c r="E328" s="1060">
        <v>0.15</v>
      </c>
      <c r="F328" s="1061">
        <v>0.14099999999999999</v>
      </c>
    </row>
    <row r="329" spans="1:6" ht="14.25" thickBot="1">
      <c r="A329" s="838" t="s">
        <v>1004</v>
      </c>
      <c r="B329" s="832" t="s">
        <v>320</v>
      </c>
      <c r="C329" s="1060">
        <v>0.15</v>
      </c>
      <c r="D329" s="1060">
        <v>0.15</v>
      </c>
      <c r="E329" s="1060">
        <v>0.15</v>
      </c>
      <c r="F329" s="1061">
        <v>0.15</v>
      </c>
    </row>
    <row r="330" spans="1:6" ht="14.25" thickBot="1">
      <c r="A330" s="838" t="s">
        <v>1004</v>
      </c>
      <c r="B330" s="832" t="s">
        <v>331</v>
      </c>
      <c r="C330" s="1060">
        <v>0.15</v>
      </c>
      <c r="D330" s="1060">
        <v>0.15</v>
      </c>
      <c r="E330" s="1060">
        <v>0.15</v>
      </c>
      <c r="F330" s="1072"/>
    </row>
    <row r="331" spans="1:6" ht="14.25" thickBot="1">
      <c r="A331" s="838" t="s">
        <v>1004</v>
      </c>
      <c r="B331" s="832" t="s">
        <v>1014</v>
      </c>
      <c r="C331" s="1060">
        <v>0.15</v>
      </c>
      <c r="D331" s="1060">
        <v>0.15</v>
      </c>
      <c r="E331" s="1060">
        <v>0.15</v>
      </c>
      <c r="F331" s="1061">
        <v>0.15</v>
      </c>
    </row>
    <row r="332" spans="1:6" ht="14.25" thickBot="1">
      <c r="A332" s="838" t="s">
        <v>1004</v>
      </c>
      <c r="B332" s="832" t="s">
        <v>352</v>
      </c>
      <c r="C332" s="1060">
        <v>0.15</v>
      </c>
      <c r="D332" s="1060">
        <v>0.15</v>
      </c>
      <c r="E332" s="1060">
        <v>0.15</v>
      </c>
      <c r="F332" s="1061">
        <v>0.15</v>
      </c>
    </row>
    <row r="333" spans="1:6" ht="14.25" thickBot="1">
      <c r="A333" s="838" t="s">
        <v>1004</v>
      </c>
      <c r="B333" s="832" t="s">
        <v>1015</v>
      </c>
      <c r="C333" s="1060">
        <v>0.15</v>
      </c>
      <c r="D333" s="1060">
        <v>0.15</v>
      </c>
      <c r="E333" s="1060">
        <v>0.15</v>
      </c>
      <c r="F333" s="1061">
        <v>0.14099999999999999</v>
      </c>
    </row>
    <row r="334" spans="1:6" ht="14.25" thickBot="1">
      <c r="A334" s="838" t="s">
        <v>1004</v>
      </c>
      <c r="B334" s="832" t="s">
        <v>372</v>
      </c>
      <c r="C334" s="1060">
        <v>0.15</v>
      </c>
      <c r="D334" s="1060">
        <v>0.15</v>
      </c>
      <c r="E334" s="1060">
        <v>0.15</v>
      </c>
      <c r="F334" s="1061">
        <v>0.15</v>
      </c>
    </row>
    <row r="335" spans="1:6" ht="14.25" thickBot="1">
      <c r="A335" s="838" t="s">
        <v>1004</v>
      </c>
      <c r="B335" s="832" t="s">
        <v>382</v>
      </c>
      <c r="C335" s="1060">
        <v>0.15</v>
      </c>
      <c r="D335" s="1060">
        <v>0.15</v>
      </c>
      <c r="E335" s="1060">
        <v>0.15</v>
      </c>
      <c r="F335" s="1072"/>
    </row>
    <row r="336" spans="1:6" ht="14.25" thickBot="1">
      <c r="A336" s="838" t="s">
        <v>1004</v>
      </c>
      <c r="B336" s="832" t="s">
        <v>1016</v>
      </c>
      <c r="C336" s="1060">
        <v>0.15</v>
      </c>
      <c r="D336" s="1060">
        <v>0.15</v>
      </c>
      <c r="E336" s="1060">
        <v>0.15</v>
      </c>
      <c r="F336" s="1061">
        <v>0.11799999999999999</v>
      </c>
    </row>
    <row r="337" spans="1:6" ht="14.25" thickBot="1">
      <c r="A337" s="848" t="s">
        <v>1004</v>
      </c>
      <c r="B337" s="844" t="s">
        <v>400</v>
      </c>
      <c r="C337" s="1070"/>
      <c r="D337" s="1070"/>
      <c r="E337" s="1070"/>
      <c r="F337" s="1063">
        <v>0.14299999999999999</v>
      </c>
    </row>
    <row r="338" spans="1:6" ht="14.25" thickBot="1">
      <c r="A338" s="838" t="s">
        <v>1017</v>
      </c>
      <c r="B338" s="839" t="s">
        <v>1018</v>
      </c>
      <c r="C338" s="1058">
        <v>0.15</v>
      </c>
      <c r="D338" s="1058">
        <v>0.15</v>
      </c>
      <c r="E338" s="1058">
        <v>0.15</v>
      </c>
      <c r="F338" s="1075"/>
    </row>
    <row r="339" spans="1:6" ht="14.25" thickBot="1">
      <c r="A339" s="838" t="s">
        <v>1017</v>
      </c>
      <c r="B339" s="832" t="s">
        <v>1019</v>
      </c>
      <c r="C339" s="1060">
        <v>0.15</v>
      </c>
      <c r="D339" s="1060">
        <v>0.15</v>
      </c>
      <c r="E339" s="1060">
        <v>0.15</v>
      </c>
      <c r="F339" s="1072"/>
    </row>
    <row r="340" spans="1:6" ht="14.25" thickBot="1">
      <c r="A340" s="838" t="s">
        <v>1017</v>
      </c>
      <c r="B340" s="832" t="s">
        <v>1020</v>
      </c>
      <c r="C340" s="1060">
        <v>0.15</v>
      </c>
      <c r="D340" s="1060">
        <v>0.15</v>
      </c>
      <c r="E340" s="1060">
        <v>0.15</v>
      </c>
      <c r="F340" s="1072"/>
    </row>
    <row r="341" spans="1:6" ht="14.25" thickBot="1">
      <c r="A341" s="838" t="s">
        <v>1017</v>
      </c>
      <c r="B341" s="832" t="s">
        <v>1021</v>
      </c>
      <c r="C341" s="1060">
        <v>0.15</v>
      </c>
      <c r="D341" s="1060">
        <v>0.15</v>
      </c>
      <c r="E341" s="1060">
        <v>0.15</v>
      </c>
      <c r="F341" s="1061">
        <v>0.15</v>
      </c>
    </row>
    <row r="342" spans="1:6" ht="14.25" thickBot="1">
      <c r="A342" s="838" t="s">
        <v>1017</v>
      </c>
      <c r="B342" s="832" t="s">
        <v>1022</v>
      </c>
      <c r="C342" s="1060">
        <v>0.15</v>
      </c>
      <c r="D342" s="1060">
        <v>0.15</v>
      </c>
      <c r="E342" s="1060">
        <v>0.15</v>
      </c>
      <c r="F342" s="1061">
        <v>0.15</v>
      </c>
    </row>
    <row r="343" spans="1:6" ht="14.25" thickBot="1">
      <c r="A343" s="838" t="s">
        <v>1017</v>
      </c>
      <c r="B343" s="832" t="s">
        <v>1023</v>
      </c>
      <c r="C343" s="1060">
        <v>0.15</v>
      </c>
      <c r="D343" s="1060">
        <v>0.15</v>
      </c>
      <c r="E343" s="1060">
        <v>0.15</v>
      </c>
      <c r="F343" s="1061">
        <v>0.15</v>
      </c>
    </row>
    <row r="344" spans="1:6" ht="14.25" thickBot="1">
      <c r="A344" s="848" t="s">
        <v>1017</v>
      </c>
      <c r="B344" s="844" t="s">
        <v>1024</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2" customWidth="1"/>
    <col min="2" max="2" width="13.25" style="1638" customWidth="1"/>
    <col min="3" max="3" width="15.625" style="1638" customWidth="1"/>
    <col min="4" max="4" width="9.375" style="1638" bestFit="1" customWidth="1"/>
    <col min="5" max="5" width="13.5" style="1638" customWidth="1"/>
    <col min="6" max="6" width="9" style="1638"/>
    <col min="7" max="7" width="9.375" style="1638" bestFit="1" customWidth="1"/>
    <col min="8" max="8" width="12.25" style="1638" customWidth="1"/>
    <col min="9" max="9" width="9" style="1638"/>
    <col min="10" max="10" width="9.375" style="1638" bestFit="1" customWidth="1"/>
    <col min="11" max="11" width="4" style="1632" customWidth="1"/>
    <col min="12" max="12" width="5.125" style="1638" customWidth="1"/>
    <col min="13" max="13" width="13.75" style="1638" customWidth="1"/>
    <col min="14" max="256" width="9" style="1638"/>
    <col min="257" max="257" width="4.875" style="1629" customWidth="1"/>
    <col min="258" max="258" width="13.25" style="1629" customWidth="1"/>
    <col min="259" max="259" width="15.625" style="1629" customWidth="1"/>
    <col min="260" max="260" width="9.375" style="1629" bestFit="1" customWidth="1"/>
    <col min="261" max="261" width="13.5" style="1629" customWidth="1"/>
    <col min="262" max="262" width="9" style="1629"/>
    <col min="263" max="263" width="9.375" style="1629" bestFit="1" customWidth="1"/>
    <col min="264" max="265" width="9" style="1629"/>
    <col min="266" max="266" width="9.375" style="1629" bestFit="1" customWidth="1"/>
    <col min="267" max="267" width="4" style="1629" customWidth="1"/>
    <col min="268" max="268" width="5.125" style="1629" customWidth="1"/>
    <col min="269" max="269" width="13.75" style="1629" customWidth="1"/>
    <col min="270" max="512" width="9" style="1629"/>
    <col min="513" max="513" width="4.875" style="1629" customWidth="1"/>
    <col min="514" max="514" width="13.25" style="1629" customWidth="1"/>
    <col min="515" max="515" width="15.625" style="1629" customWidth="1"/>
    <col min="516" max="516" width="9.375" style="1629" bestFit="1" customWidth="1"/>
    <col min="517" max="517" width="13.5" style="1629" customWidth="1"/>
    <col min="518" max="518" width="9" style="1629"/>
    <col min="519" max="519" width="9.375" style="1629" bestFit="1" customWidth="1"/>
    <col min="520" max="521" width="9" style="1629"/>
    <col min="522" max="522" width="9.375" style="1629" bestFit="1" customWidth="1"/>
    <col min="523" max="523" width="4" style="1629" customWidth="1"/>
    <col min="524" max="524" width="5.125" style="1629" customWidth="1"/>
    <col min="525" max="525" width="13.75" style="1629" customWidth="1"/>
    <col min="526" max="768" width="9" style="1629"/>
    <col min="769" max="769" width="4.875" style="1629" customWidth="1"/>
    <col min="770" max="770" width="13.25" style="1629" customWidth="1"/>
    <col min="771" max="771" width="15.625" style="1629" customWidth="1"/>
    <col min="772" max="772" width="9.375" style="1629" bestFit="1" customWidth="1"/>
    <col min="773" max="773" width="13.5" style="1629" customWidth="1"/>
    <col min="774" max="774" width="9" style="1629"/>
    <col min="775" max="775" width="9.375" style="1629" bestFit="1" customWidth="1"/>
    <col min="776" max="777" width="9" style="1629"/>
    <col min="778" max="778" width="9.375" style="1629" bestFit="1" customWidth="1"/>
    <col min="779" max="779" width="4" style="1629" customWidth="1"/>
    <col min="780" max="780" width="5.125" style="1629" customWidth="1"/>
    <col min="781" max="781" width="13.75" style="1629" customWidth="1"/>
    <col min="782" max="1024" width="9" style="1629"/>
    <col min="1025" max="1025" width="4.875" style="1629" customWidth="1"/>
    <col min="1026" max="1026" width="13.25" style="1629" customWidth="1"/>
    <col min="1027" max="1027" width="15.625" style="1629" customWidth="1"/>
    <col min="1028" max="1028" width="9.375" style="1629" bestFit="1" customWidth="1"/>
    <col min="1029" max="1029" width="13.5" style="1629" customWidth="1"/>
    <col min="1030" max="1030" width="9" style="1629"/>
    <col min="1031" max="1031" width="9.375" style="1629" bestFit="1" customWidth="1"/>
    <col min="1032" max="1033" width="9" style="1629"/>
    <col min="1034" max="1034" width="9.375" style="1629" bestFit="1" customWidth="1"/>
    <col min="1035" max="1035" width="4" style="1629" customWidth="1"/>
    <col min="1036" max="1036" width="5.125" style="1629" customWidth="1"/>
    <col min="1037" max="1037" width="13.75" style="1629" customWidth="1"/>
    <col min="1038" max="1280" width="9" style="1629"/>
    <col min="1281" max="1281" width="4.875" style="1629" customWidth="1"/>
    <col min="1282" max="1282" width="13.25" style="1629" customWidth="1"/>
    <col min="1283" max="1283" width="15.625" style="1629" customWidth="1"/>
    <col min="1284" max="1284" width="9.375" style="1629" bestFit="1" customWidth="1"/>
    <col min="1285" max="1285" width="13.5" style="1629" customWidth="1"/>
    <col min="1286" max="1286" width="9" style="1629"/>
    <col min="1287" max="1287" width="9.375" style="1629" bestFit="1" customWidth="1"/>
    <col min="1288" max="1289" width="9" style="1629"/>
    <col min="1290" max="1290" width="9.375" style="1629" bestFit="1" customWidth="1"/>
    <col min="1291" max="1291" width="4" style="1629" customWidth="1"/>
    <col min="1292" max="1292" width="5.125" style="1629" customWidth="1"/>
    <col min="1293" max="1293" width="13.75" style="1629" customWidth="1"/>
    <col min="1294" max="1536" width="9" style="1629"/>
    <col min="1537" max="1537" width="4.875" style="1629" customWidth="1"/>
    <col min="1538" max="1538" width="13.25" style="1629" customWidth="1"/>
    <col min="1539" max="1539" width="15.625" style="1629" customWidth="1"/>
    <col min="1540" max="1540" width="9.375" style="1629" bestFit="1" customWidth="1"/>
    <col min="1541" max="1541" width="13.5" style="1629" customWidth="1"/>
    <col min="1542" max="1542" width="9" style="1629"/>
    <col min="1543" max="1543" width="9.375" style="1629" bestFit="1" customWidth="1"/>
    <col min="1544" max="1545" width="9" style="1629"/>
    <col min="1546" max="1546" width="9.375" style="1629" bestFit="1" customWidth="1"/>
    <col min="1547" max="1547" width="4" style="1629" customWidth="1"/>
    <col min="1548" max="1548" width="5.125" style="1629" customWidth="1"/>
    <col min="1549" max="1549" width="13.75" style="1629" customWidth="1"/>
    <col min="1550" max="1792" width="9" style="1629"/>
    <col min="1793" max="1793" width="4.875" style="1629" customWidth="1"/>
    <col min="1794" max="1794" width="13.25" style="1629" customWidth="1"/>
    <col min="1795" max="1795" width="15.625" style="1629" customWidth="1"/>
    <col min="1796" max="1796" width="9.375" style="1629" bestFit="1" customWidth="1"/>
    <col min="1797" max="1797" width="13.5" style="1629" customWidth="1"/>
    <col min="1798" max="1798" width="9" style="1629"/>
    <col min="1799" max="1799" width="9.375" style="1629" bestFit="1" customWidth="1"/>
    <col min="1800" max="1801" width="9" style="1629"/>
    <col min="1802" max="1802" width="9.375" style="1629" bestFit="1" customWidth="1"/>
    <col min="1803" max="1803" width="4" style="1629" customWidth="1"/>
    <col min="1804" max="1804" width="5.125" style="1629" customWidth="1"/>
    <col min="1805" max="1805" width="13.75" style="1629" customWidth="1"/>
    <col min="1806" max="2048" width="9" style="1629"/>
    <col min="2049" max="2049" width="4.875" style="1629" customWidth="1"/>
    <col min="2050" max="2050" width="13.25" style="1629" customWidth="1"/>
    <col min="2051" max="2051" width="15.625" style="1629" customWidth="1"/>
    <col min="2052" max="2052" width="9.375" style="1629" bestFit="1" customWidth="1"/>
    <col min="2053" max="2053" width="13.5" style="1629" customWidth="1"/>
    <col min="2054" max="2054" width="9" style="1629"/>
    <col min="2055" max="2055" width="9.375" style="1629" bestFit="1" customWidth="1"/>
    <col min="2056" max="2057" width="9" style="1629"/>
    <col min="2058" max="2058" width="9.375" style="1629" bestFit="1" customWidth="1"/>
    <col min="2059" max="2059" width="4" style="1629" customWidth="1"/>
    <col min="2060" max="2060" width="5.125" style="1629" customWidth="1"/>
    <col min="2061" max="2061" width="13.75" style="1629" customWidth="1"/>
    <col min="2062" max="2304" width="9" style="1629"/>
    <col min="2305" max="2305" width="4.875" style="1629" customWidth="1"/>
    <col min="2306" max="2306" width="13.25" style="1629" customWidth="1"/>
    <col min="2307" max="2307" width="15.625" style="1629" customWidth="1"/>
    <col min="2308" max="2308" width="9.375" style="1629" bestFit="1" customWidth="1"/>
    <col min="2309" max="2309" width="13.5" style="1629" customWidth="1"/>
    <col min="2310" max="2310" width="9" style="1629"/>
    <col min="2311" max="2311" width="9.375" style="1629" bestFit="1" customWidth="1"/>
    <col min="2312" max="2313" width="9" style="1629"/>
    <col min="2314" max="2314" width="9.375" style="1629" bestFit="1" customWidth="1"/>
    <col min="2315" max="2315" width="4" style="1629" customWidth="1"/>
    <col min="2316" max="2316" width="5.125" style="1629" customWidth="1"/>
    <col min="2317" max="2317" width="13.75" style="1629" customWidth="1"/>
    <col min="2318" max="2560" width="9" style="1629"/>
    <col min="2561" max="2561" width="4.875" style="1629" customWidth="1"/>
    <col min="2562" max="2562" width="13.25" style="1629" customWidth="1"/>
    <col min="2563" max="2563" width="15.625" style="1629" customWidth="1"/>
    <col min="2564" max="2564" width="9.375" style="1629" bestFit="1" customWidth="1"/>
    <col min="2565" max="2565" width="13.5" style="1629" customWidth="1"/>
    <col min="2566" max="2566" width="9" style="1629"/>
    <col min="2567" max="2567" width="9.375" style="1629" bestFit="1" customWidth="1"/>
    <col min="2568" max="2569" width="9" style="1629"/>
    <col min="2570" max="2570" width="9.375" style="1629" bestFit="1" customWidth="1"/>
    <col min="2571" max="2571" width="4" style="1629" customWidth="1"/>
    <col min="2572" max="2572" width="5.125" style="1629" customWidth="1"/>
    <col min="2573" max="2573" width="13.75" style="1629" customWidth="1"/>
    <col min="2574" max="2816" width="9" style="1629"/>
    <col min="2817" max="2817" width="4.875" style="1629" customWidth="1"/>
    <col min="2818" max="2818" width="13.25" style="1629" customWidth="1"/>
    <col min="2819" max="2819" width="15.625" style="1629" customWidth="1"/>
    <col min="2820" max="2820" width="9.375" style="1629" bestFit="1" customWidth="1"/>
    <col min="2821" max="2821" width="13.5" style="1629" customWidth="1"/>
    <col min="2822" max="2822" width="9" style="1629"/>
    <col min="2823" max="2823" width="9.375" style="1629" bestFit="1" customWidth="1"/>
    <col min="2824" max="2825" width="9" style="1629"/>
    <col min="2826" max="2826" width="9.375" style="1629" bestFit="1" customWidth="1"/>
    <col min="2827" max="2827" width="4" style="1629" customWidth="1"/>
    <col min="2828" max="2828" width="5.125" style="1629" customWidth="1"/>
    <col min="2829" max="2829" width="13.75" style="1629" customWidth="1"/>
    <col min="2830" max="3072" width="9" style="1629"/>
    <col min="3073" max="3073" width="4.875" style="1629" customWidth="1"/>
    <col min="3074" max="3074" width="13.25" style="1629" customWidth="1"/>
    <col min="3075" max="3075" width="15.625" style="1629" customWidth="1"/>
    <col min="3076" max="3076" width="9.375" style="1629" bestFit="1" customWidth="1"/>
    <col min="3077" max="3077" width="13.5" style="1629" customWidth="1"/>
    <col min="3078" max="3078" width="9" style="1629"/>
    <col min="3079" max="3079" width="9.375" style="1629" bestFit="1" customWidth="1"/>
    <col min="3080" max="3081" width="9" style="1629"/>
    <col min="3082" max="3082" width="9.375" style="1629" bestFit="1" customWidth="1"/>
    <col min="3083" max="3083" width="4" style="1629" customWidth="1"/>
    <col min="3084" max="3084" width="5.125" style="1629" customWidth="1"/>
    <col min="3085" max="3085" width="13.75" style="1629" customWidth="1"/>
    <col min="3086" max="3328" width="9" style="1629"/>
    <col min="3329" max="3329" width="4.875" style="1629" customWidth="1"/>
    <col min="3330" max="3330" width="13.25" style="1629" customWidth="1"/>
    <col min="3331" max="3331" width="15.625" style="1629" customWidth="1"/>
    <col min="3332" max="3332" width="9.375" style="1629" bestFit="1" customWidth="1"/>
    <col min="3333" max="3333" width="13.5" style="1629" customWidth="1"/>
    <col min="3334" max="3334" width="9" style="1629"/>
    <col min="3335" max="3335" width="9.375" style="1629" bestFit="1" customWidth="1"/>
    <col min="3336" max="3337" width="9" style="1629"/>
    <col min="3338" max="3338" width="9.375" style="1629" bestFit="1" customWidth="1"/>
    <col min="3339" max="3339" width="4" style="1629" customWidth="1"/>
    <col min="3340" max="3340" width="5.125" style="1629" customWidth="1"/>
    <col min="3341" max="3341" width="13.75" style="1629" customWidth="1"/>
    <col min="3342" max="3584" width="9" style="1629"/>
    <col min="3585" max="3585" width="4.875" style="1629" customWidth="1"/>
    <col min="3586" max="3586" width="13.25" style="1629" customWidth="1"/>
    <col min="3587" max="3587" width="15.625" style="1629" customWidth="1"/>
    <col min="3588" max="3588" width="9.375" style="1629" bestFit="1" customWidth="1"/>
    <col min="3589" max="3589" width="13.5" style="1629" customWidth="1"/>
    <col min="3590" max="3590" width="9" style="1629"/>
    <col min="3591" max="3591" width="9.375" style="1629" bestFit="1" customWidth="1"/>
    <col min="3592" max="3593" width="9" style="1629"/>
    <col min="3594" max="3594" width="9.375" style="1629" bestFit="1" customWidth="1"/>
    <col min="3595" max="3595" width="4" style="1629" customWidth="1"/>
    <col min="3596" max="3596" width="5.125" style="1629" customWidth="1"/>
    <col min="3597" max="3597" width="13.75" style="1629" customWidth="1"/>
    <col min="3598" max="3840" width="9" style="1629"/>
    <col min="3841" max="3841" width="4.875" style="1629" customWidth="1"/>
    <col min="3842" max="3842" width="13.25" style="1629" customWidth="1"/>
    <col min="3843" max="3843" width="15.625" style="1629" customWidth="1"/>
    <col min="3844" max="3844" width="9.375" style="1629" bestFit="1" customWidth="1"/>
    <col min="3845" max="3845" width="13.5" style="1629" customWidth="1"/>
    <col min="3846" max="3846" width="9" style="1629"/>
    <col min="3847" max="3847" width="9.375" style="1629" bestFit="1" customWidth="1"/>
    <col min="3848" max="3849" width="9" style="1629"/>
    <col min="3850" max="3850" width="9.375" style="1629" bestFit="1" customWidth="1"/>
    <col min="3851" max="3851" width="4" style="1629" customWidth="1"/>
    <col min="3852" max="3852" width="5.125" style="1629" customWidth="1"/>
    <col min="3853" max="3853" width="13.75" style="1629" customWidth="1"/>
    <col min="3854" max="4096" width="9" style="1629"/>
    <col min="4097" max="4097" width="4.875" style="1629" customWidth="1"/>
    <col min="4098" max="4098" width="13.25" style="1629" customWidth="1"/>
    <col min="4099" max="4099" width="15.625" style="1629" customWidth="1"/>
    <col min="4100" max="4100" width="9.375" style="1629" bestFit="1" customWidth="1"/>
    <col min="4101" max="4101" width="13.5" style="1629" customWidth="1"/>
    <col min="4102" max="4102" width="9" style="1629"/>
    <col min="4103" max="4103" width="9.375" style="1629" bestFit="1" customWidth="1"/>
    <col min="4104" max="4105" width="9" style="1629"/>
    <col min="4106" max="4106" width="9.375" style="1629" bestFit="1" customWidth="1"/>
    <col min="4107" max="4107" width="4" style="1629" customWidth="1"/>
    <col min="4108" max="4108" width="5.125" style="1629" customWidth="1"/>
    <col min="4109" max="4109" width="13.75" style="1629" customWidth="1"/>
    <col min="4110" max="4352" width="9" style="1629"/>
    <col min="4353" max="4353" width="4.875" style="1629" customWidth="1"/>
    <col min="4354" max="4354" width="13.25" style="1629" customWidth="1"/>
    <col min="4355" max="4355" width="15.625" style="1629" customWidth="1"/>
    <col min="4356" max="4356" width="9.375" style="1629" bestFit="1" customWidth="1"/>
    <col min="4357" max="4357" width="13.5" style="1629" customWidth="1"/>
    <col min="4358" max="4358" width="9" style="1629"/>
    <col min="4359" max="4359" width="9.375" style="1629" bestFit="1" customWidth="1"/>
    <col min="4360" max="4361" width="9" style="1629"/>
    <col min="4362" max="4362" width="9.375" style="1629" bestFit="1" customWidth="1"/>
    <col min="4363" max="4363" width="4" style="1629" customWidth="1"/>
    <col min="4364" max="4364" width="5.125" style="1629" customWidth="1"/>
    <col min="4365" max="4365" width="13.75" style="1629" customWidth="1"/>
    <col min="4366" max="4608" width="9" style="1629"/>
    <col min="4609" max="4609" width="4.875" style="1629" customWidth="1"/>
    <col min="4610" max="4610" width="13.25" style="1629" customWidth="1"/>
    <col min="4611" max="4611" width="15.625" style="1629" customWidth="1"/>
    <col min="4612" max="4612" width="9.375" style="1629" bestFit="1" customWidth="1"/>
    <col min="4613" max="4613" width="13.5" style="1629" customWidth="1"/>
    <col min="4614" max="4614" width="9" style="1629"/>
    <col min="4615" max="4615" width="9.375" style="1629" bestFit="1" customWidth="1"/>
    <col min="4616" max="4617" width="9" style="1629"/>
    <col min="4618" max="4618" width="9.375" style="1629" bestFit="1" customWidth="1"/>
    <col min="4619" max="4619" width="4" style="1629" customWidth="1"/>
    <col min="4620" max="4620" width="5.125" style="1629" customWidth="1"/>
    <col min="4621" max="4621" width="13.75" style="1629" customWidth="1"/>
    <col min="4622" max="4864" width="9" style="1629"/>
    <col min="4865" max="4865" width="4.875" style="1629" customWidth="1"/>
    <col min="4866" max="4866" width="13.25" style="1629" customWidth="1"/>
    <col min="4867" max="4867" width="15.625" style="1629" customWidth="1"/>
    <col min="4868" max="4868" width="9.375" style="1629" bestFit="1" customWidth="1"/>
    <col min="4869" max="4869" width="13.5" style="1629" customWidth="1"/>
    <col min="4870" max="4870" width="9" style="1629"/>
    <col min="4871" max="4871" width="9.375" style="1629" bestFit="1" customWidth="1"/>
    <col min="4872" max="4873" width="9" style="1629"/>
    <col min="4874" max="4874" width="9.375" style="1629" bestFit="1" customWidth="1"/>
    <col min="4875" max="4875" width="4" style="1629" customWidth="1"/>
    <col min="4876" max="4876" width="5.125" style="1629" customWidth="1"/>
    <col min="4877" max="4877" width="13.75" style="1629" customWidth="1"/>
    <col min="4878" max="5120" width="9" style="1629"/>
    <col min="5121" max="5121" width="4.875" style="1629" customWidth="1"/>
    <col min="5122" max="5122" width="13.25" style="1629" customWidth="1"/>
    <col min="5123" max="5123" width="15.625" style="1629" customWidth="1"/>
    <col min="5124" max="5124" width="9.375" style="1629" bestFit="1" customWidth="1"/>
    <col min="5125" max="5125" width="13.5" style="1629" customWidth="1"/>
    <col min="5126" max="5126" width="9" style="1629"/>
    <col min="5127" max="5127" width="9.375" style="1629" bestFit="1" customWidth="1"/>
    <col min="5128" max="5129" width="9" style="1629"/>
    <col min="5130" max="5130" width="9.375" style="1629" bestFit="1" customWidth="1"/>
    <col min="5131" max="5131" width="4" style="1629" customWidth="1"/>
    <col min="5132" max="5132" width="5.125" style="1629" customWidth="1"/>
    <col min="5133" max="5133" width="13.75" style="1629" customWidth="1"/>
    <col min="5134" max="5376" width="9" style="1629"/>
    <col min="5377" max="5377" width="4.875" style="1629" customWidth="1"/>
    <col min="5378" max="5378" width="13.25" style="1629" customWidth="1"/>
    <col min="5379" max="5379" width="15.625" style="1629" customWidth="1"/>
    <col min="5380" max="5380" width="9.375" style="1629" bestFit="1" customWidth="1"/>
    <col min="5381" max="5381" width="13.5" style="1629" customWidth="1"/>
    <col min="5382" max="5382" width="9" style="1629"/>
    <col min="5383" max="5383" width="9.375" style="1629" bestFit="1" customWidth="1"/>
    <col min="5384" max="5385" width="9" style="1629"/>
    <col min="5386" max="5386" width="9.375" style="1629" bestFit="1" customWidth="1"/>
    <col min="5387" max="5387" width="4" style="1629" customWidth="1"/>
    <col min="5388" max="5388" width="5.125" style="1629" customWidth="1"/>
    <col min="5389" max="5389" width="13.75" style="1629" customWidth="1"/>
    <col min="5390" max="5632" width="9" style="1629"/>
    <col min="5633" max="5633" width="4.875" style="1629" customWidth="1"/>
    <col min="5634" max="5634" width="13.25" style="1629" customWidth="1"/>
    <col min="5635" max="5635" width="15.625" style="1629" customWidth="1"/>
    <col min="5636" max="5636" width="9.375" style="1629" bestFit="1" customWidth="1"/>
    <col min="5637" max="5637" width="13.5" style="1629" customWidth="1"/>
    <col min="5638" max="5638" width="9" style="1629"/>
    <col min="5639" max="5639" width="9.375" style="1629" bestFit="1" customWidth="1"/>
    <col min="5640" max="5641" width="9" style="1629"/>
    <col min="5642" max="5642" width="9.375" style="1629" bestFit="1" customWidth="1"/>
    <col min="5643" max="5643" width="4" style="1629" customWidth="1"/>
    <col min="5644" max="5644" width="5.125" style="1629" customWidth="1"/>
    <col min="5645" max="5645" width="13.75" style="1629" customWidth="1"/>
    <col min="5646" max="5888" width="9" style="1629"/>
    <col min="5889" max="5889" width="4.875" style="1629" customWidth="1"/>
    <col min="5890" max="5890" width="13.25" style="1629" customWidth="1"/>
    <col min="5891" max="5891" width="15.625" style="1629" customWidth="1"/>
    <col min="5892" max="5892" width="9.375" style="1629" bestFit="1" customWidth="1"/>
    <col min="5893" max="5893" width="13.5" style="1629" customWidth="1"/>
    <col min="5894" max="5894" width="9" style="1629"/>
    <col min="5895" max="5895" width="9.375" style="1629" bestFit="1" customWidth="1"/>
    <col min="5896" max="5897" width="9" style="1629"/>
    <col min="5898" max="5898" width="9.375" style="1629" bestFit="1" customWidth="1"/>
    <col min="5899" max="5899" width="4" style="1629" customWidth="1"/>
    <col min="5900" max="5900" width="5.125" style="1629" customWidth="1"/>
    <col min="5901" max="5901" width="13.75" style="1629" customWidth="1"/>
    <col min="5902" max="6144" width="9" style="1629"/>
    <col min="6145" max="6145" width="4.875" style="1629" customWidth="1"/>
    <col min="6146" max="6146" width="13.25" style="1629" customWidth="1"/>
    <col min="6147" max="6147" width="15.625" style="1629" customWidth="1"/>
    <col min="6148" max="6148" width="9.375" style="1629" bestFit="1" customWidth="1"/>
    <col min="6149" max="6149" width="13.5" style="1629" customWidth="1"/>
    <col min="6150" max="6150" width="9" style="1629"/>
    <col min="6151" max="6151" width="9.375" style="1629" bestFit="1" customWidth="1"/>
    <col min="6152" max="6153" width="9" style="1629"/>
    <col min="6154" max="6154" width="9.375" style="1629" bestFit="1" customWidth="1"/>
    <col min="6155" max="6155" width="4" style="1629" customWidth="1"/>
    <col min="6156" max="6156" width="5.125" style="1629" customWidth="1"/>
    <col min="6157" max="6157" width="13.75" style="1629" customWidth="1"/>
    <col min="6158" max="6400" width="9" style="1629"/>
    <col min="6401" max="6401" width="4.875" style="1629" customWidth="1"/>
    <col min="6402" max="6402" width="13.25" style="1629" customWidth="1"/>
    <col min="6403" max="6403" width="15.625" style="1629" customWidth="1"/>
    <col min="6404" max="6404" width="9.375" style="1629" bestFit="1" customWidth="1"/>
    <col min="6405" max="6405" width="13.5" style="1629" customWidth="1"/>
    <col min="6406" max="6406" width="9" style="1629"/>
    <col min="6407" max="6407" width="9.375" style="1629" bestFit="1" customWidth="1"/>
    <col min="6408" max="6409" width="9" style="1629"/>
    <col min="6410" max="6410" width="9.375" style="1629" bestFit="1" customWidth="1"/>
    <col min="6411" max="6411" width="4" style="1629" customWidth="1"/>
    <col min="6412" max="6412" width="5.125" style="1629" customWidth="1"/>
    <col min="6413" max="6413" width="13.75" style="1629" customWidth="1"/>
    <col min="6414" max="6656" width="9" style="1629"/>
    <col min="6657" max="6657" width="4.875" style="1629" customWidth="1"/>
    <col min="6658" max="6658" width="13.25" style="1629" customWidth="1"/>
    <col min="6659" max="6659" width="15.625" style="1629" customWidth="1"/>
    <col min="6660" max="6660" width="9.375" style="1629" bestFit="1" customWidth="1"/>
    <col min="6661" max="6661" width="13.5" style="1629" customWidth="1"/>
    <col min="6662" max="6662" width="9" style="1629"/>
    <col min="6663" max="6663" width="9.375" style="1629" bestFit="1" customWidth="1"/>
    <col min="6664" max="6665" width="9" style="1629"/>
    <col min="6666" max="6666" width="9.375" style="1629" bestFit="1" customWidth="1"/>
    <col min="6667" max="6667" width="4" style="1629" customWidth="1"/>
    <col min="6668" max="6668" width="5.125" style="1629" customWidth="1"/>
    <col min="6669" max="6669" width="13.75" style="1629" customWidth="1"/>
    <col min="6670" max="6912" width="9" style="1629"/>
    <col min="6913" max="6913" width="4.875" style="1629" customWidth="1"/>
    <col min="6914" max="6914" width="13.25" style="1629" customWidth="1"/>
    <col min="6915" max="6915" width="15.625" style="1629" customWidth="1"/>
    <col min="6916" max="6916" width="9.375" style="1629" bestFit="1" customWidth="1"/>
    <col min="6917" max="6917" width="13.5" style="1629" customWidth="1"/>
    <col min="6918" max="6918" width="9" style="1629"/>
    <col min="6919" max="6919" width="9.375" style="1629" bestFit="1" customWidth="1"/>
    <col min="6920" max="6921" width="9" style="1629"/>
    <col min="6922" max="6922" width="9.375" style="1629" bestFit="1" customWidth="1"/>
    <col min="6923" max="6923" width="4" style="1629" customWidth="1"/>
    <col min="6924" max="6924" width="5.125" style="1629" customWidth="1"/>
    <col min="6925" max="6925" width="13.75" style="1629" customWidth="1"/>
    <col min="6926" max="7168" width="9" style="1629"/>
    <col min="7169" max="7169" width="4.875" style="1629" customWidth="1"/>
    <col min="7170" max="7170" width="13.25" style="1629" customWidth="1"/>
    <col min="7171" max="7171" width="15.625" style="1629" customWidth="1"/>
    <col min="7172" max="7172" width="9.375" style="1629" bestFit="1" customWidth="1"/>
    <col min="7173" max="7173" width="13.5" style="1629" customWidth="1"/>
    <col min="7174" max="7174" width="9" style="1629"/>
    <col min="7175" max="7175" width="9.375" style="1629" bestFit="1" customWidth="1"/>
    <col min="7176" max="7177" width="9" style="1629"/>
    <col min="7178" max="7178" width="9.375" style="1629" bestFit="1" customWidth="1"/>
    <col min="7179" max="7179" width="4" style="1629" customWidth="1"/>
    <col min="7180" max="7180" width="5.125" style="1629" customWidth="1"/>
    <col min="7181" max="7181" width="13.75" style="1629" customWidth="1"/>
    <col min="7182" max="7424" width="9" style="1629"/>
    <col min="7425" max="7425" width="4.875" style="1629" customWidth="1"/>
    <col min="7426" max="7426" width="13.25" style="1629" customWidth="1"/>
    <col min="7427" max="7427" width="15.625" style="1629" customWidth="1"/>
    <col min="7428" max="7428" width="9.375" style="1629" bestFit="1" customWidth="1"/>
    <col min="7429" max="7429" width="13.5" style="1629" customWidth="1"/>
    <col min="7430" max="7430" width="9" style="1629"/>
    <col min="7431" max="7431" width="9.375" style="1629" bestFit="1" customWidth="1"/>
    <col min="7432" max="7433" width="9" style="1629"/>
    <col min="7434" max="7434" width="9.375" style="1629" bestFit="1" customWidth="1"/>
    <col min="7435" max="7435" width="4" style="1629" customWidth="1"/>
    <col min="7436" max="7436" width="5.125" style="1629" customWidth="1"/>
    <col min="7437" max="7437" width="13.75" style="1629" customWidth="1"/>
    <col min="7438" max="7680" width="9" style="1629"/>
    <col min="7681" max="7681" width="4.875" style="1629" customWidth="1"/>
    <col min="7682" max="7682" width="13.25" style="1629" customWidth="1"/>
    <col min="7683" max="7683" width="15.625" style="1629" customWidth="1"/>
    <col min="7684" max="7684" width="9.375" style="1629" bestFit="1" customWidth="1"/>
    <col min="7685" max="7685" width="13.5" style="1629" customWidth="1"/>
    <col min="7686" max="7686" width="9" style="1629"/>
    <col min="7687" max="7687" width="9.375" style="1629" bestFit="1" customWidth="1"/>
    <col min="7688" max="7689" width="9" style="1629"/>
    <col min="7690" max="7690" width="9.375" style="1629" bestFit="1" customWidth="1"/>
    <col min="7691" max="7691" width="4" style="1629" customWidth="1"/>
    <col min="7692" max="7692" width="5.125" style="1629" customWidth="1"/>
    <col min="7693" max="7693" width="13.75" style="1629" customWidth="1"/>
    <col min="7694" max="7936" width="9" style="1629"/>
    <col min="7937" max="7937" width="4.875" style="1629" customWidth="1"/>
    <col min="7938" max="7938" width="13.25" style="1629" customWidth="1"/>
    <col min="7939" max="7939" width="15.625" style="1629" customWidth="1"/>
    <col min="7940" max="7940" width="9.375" style="1629" bestFit="1" customWidth="1"/>
    <col min="7941" max="7941" width="13.5" style="1629" customWidth="1"/>
    <col min="7942" max="7942" width="9" style="1629"/>
    <col min="7943" max="7943" width="9.375" style="1629" bestFit="1" customWidth="1"/>
    <col min="7944" max="7945" width="9" style="1629"/>
    <col min="7946" max="7946" width="9.375" style="1629" bestFit="1" customWidth="1"/>
    <col min="7947" max="7947" width="4" style="1629" customWidth="1"/>
    <col min="7948" max="7948" width="5.125" style="1629" customWidth="1"/>
    <col min="7949" max="7949" width="13.75" style="1629" customWidth="1"/>
    <col min="7950" max="8192" width="9" style="1629"/>
    <col min="8193" max="8193" width="4.875" style="1629" customWidth="1"/>
    <col min="8194" max="8194" width="13.25" style="1629" customWidth="1"/>
    <col min="8195" max="8195" width="15.625" style="1629" customWidth="1"/>
    <col min="8196" max="8196" width="9.375" style="1629" bestFit="1" customWidth="1"/>
    <col min="8197" max="8197" width="13.5" style="1629" customWidth="1"/>
    <col min="8198" max="8198" width="9" style="1629"/>
    <col min="8199" max="8199" width="9.375" style="1629" bestFit="1" customWidth="1"/>
    <col min="8200" max="8201" width="9" style="1629"/>
    <col min="8202" max="8202" width="9.375" style="1629" bestFit="1" customWidth="1"/>
    <col min="8203" max="8203" width="4" style="1629" customWidth="1"/>
    <col min="8204" max="8204" width="5.125" style="1629" customWidth="1"/>
    <col min="8205" max="8205" width="13.75" style="1629" customWidth="1"/>
    <col min="8206" max="8448" width="9" style="1629"/>
    <col min="8449" max="8449" width="4.875" style="1629" customWidth="1"/>
    <col min="8450" max="8450" width="13.25" style="1629" customWidth="1"/>
    <col min="8451" max="8451" width="15.625" style="1629" customWidth="1"/>
    <col min="8452" max="8452" width="9.375" style="1629" bestFit="1" customWidth="1"/>
    <col min="8453" max="8453" width="13.5" style="1629" customWidth="1"/>
    <col min="8454" max="8454" width="9" style="1629"/>
    <col min="8455" max="8455" width="9.375" style="1629" bestFit="1" customWidth="1"/>
    <col min="8456" max="8457" width="9" style="1629"/>
    <col min="8458" max="8458" width="9.375" style="1629" bestFit="1" customWidth="1"/>
    <col min="8459" max="8459" width="4" style="1629" customWidth="1"/>
    <col min="8460" max="8460" width="5.125" style="1629" customWidth="1"/>
    <col min="8461" max="8461" width="13.75" style="1629" customWidth="1"/>
    <col min="8462" max="8704" width="9" style="1629"/>
    <col min="8705" max="8705" width="4.875" style="1629" customWidth="1"/>
    <col min="8706" max="8706" width="13.25" style="1629" customWidth="1"/>
    <col min="8707" max="8707" width="15.625" style="1629" customWidth="1"/>
    <col min="8708" max="8708" width="9.375" style="1629" bestFit="1" customWidth="1"/>
    <col min="8709" max="8709" width="13.5" style="1629" customWidth="1"/>
    <col min="8710" max="8710" width="9" style="1629"/>
    <col min="8711" max="8711" width="9.375" style="1629" bestFit="1" customWidth="1"/>
    <col min="8712" max="8713" width="9" style="1629"/>
    <col min="8714" max="8714" width="9.375" style="1629" bestFit="1" customWidth="1"/>
    <col min="8715" max="8715" width="4" style="1629" customWidth="1"/>
    <col min="8716" max="8716" width="5.125" style="1629" customWidth="1"/>
    <col min="8717" max="8717" width="13.75" style="1629" customWidth="1"/>
    <col min="8718" max="8960" width="9" style="1629"/>
    <col min="8961" max="8961" width="4.875" style="1629" customWidth="1"/>
    <col min="8962" max="8962" width="13.25" style="1629" customWidth="1"/>
    <col min="8963" max="8963" width="15.625" style="1629" customWidth="1"/>
    <col min="8964" max="8964" width="9.375" style="1629" bestFit="1" customWidth="1"/>
    <col min="8965" max="8965" width="13.5" style="1629" customWidth="1"/>
    <col min="8966" max="8966" width="9" style="1629"/>
    <col min="8967" max="8967" width="9.375" style="1629" bestFit="1" customWidth="1"/>
    <col min="8968" max="8969" width="9" style="1629"/>
    <col min="8970" max="8970" width="9.375" style="1629" bestFit="1" customWidth="1"/>
    <col min="8971" max="8971" width="4" style="1629" customWidth="1"/>
    <col min="8972" max="8972" width="5.125" style="1629" customWidth="1"/>
    <col min="8973" max="8973" width="13.75" style="1629" customWidth="1"/>
    <col min="8974" max="9216" width="9" style="1629"/>
    <col min="9217" max="9217" width="4.875" style="1629" customWidth="1"/>
    <col min="9218" max="9218" width="13.25" style="1629" customWidth="1"/>
    <col min="9219" max="9219" width="15.625" style="1629" customWidth="1"/>
    <col min="9220" max="9220" width="9.375" style="1629" bestFit="1" customWidth="1"/>
    <col min="9221" max="9221" width="13.5" style="1629" customWidth="1"/>
    <col min="9222" max="9222" width="9" style="1629"/>
    <col min="9223" max="9223" width="9.375" style="1629" bestFit="1" customWidth="1"/>
    <col min="9224" max="9225" width="9" style="1629"/>
    <col min="9226" max="9226" width="9.375" style="1629" bestFit="1" customWidth="1"/>
    <col min="9227" max="9227" width="4" style="1629" customWidth="1"/>
    <col min="9228" max="9228" width="5.125" style="1629" customWidth="1"/>
    <col min="9229" max="9229" width="13.75" style="1629" customWidth="1"/>
    <col min="9230" max="9472" width="9" style="1629"/>
    <col min="9473" max="9473" width="4.875" style="1629" customWidth="1"/>
    <col min="9474" max="9474" width="13.25" style="1629" customWidth="1"/>
    <col min="9475" max="9475" width="15.625" style="1629" customWidth="1"/>
    <col min="9476" max="9476" width="9.375" style="1629" bestFit="1" customWidth="1"/>
    <col min="9477" max="9477" width="13.5" style="1629" customWidth="1"/>
    <col min="9478" max="9478" width="9" style="1629"/>
    <col min="9479" max="9479" width="9.375" style="1629" bestFit="1" customWidth="1"/>
    <col min="9480" max="9481" width="9" style="1629"/>
    <col min="9482" max="9482" width="9.375" style="1629" bestFit="1" customWidth="1"/>
    <col min="9483" max="9483" width="4" style="1629" customWidth="1"/>
    <col min="9484" max="9484" width="5.125" style="1629" customWidth="1"/>
    <col min="9485" max="9485" width="13.75" style="1629" customWidth="1"/>
    <col min="9486" max="9728" width="9" style="1629"/>
    <col min="9729" max="9729" width="4.875" style="1629" customWidth="1"/>
    <col min="9730" max="9730" width="13.25" style="1629" customWidth="1"/>
    <col min="9731" max="9731" width="15.625" style="1629" customWidth="1"/>
    <col min="9732" max="9732" width="9.375" style="1629" bestFit="1" customWidth="1"/>
    <col min="9733" max="9733" width="13.5" style="1629" customWidth="1"/>
    <col min="9734" max="9734" width="9" style="1629"/>
    <col min="9735" max="9735" width="9.375" style="1629" bestFit="1" customWidth="1"/>
    <col min="9736" max="9737" width="9" style="1629"/>
    <col min="9738" max="9738" width="9.375" style="1629" bestFit="1" customWidth="1"/>
    <col min="9739" max="9739" width="4" style="1629" customWidth="1"/>
    <col min="9740" max="9740" width="5.125" style="1629" customWidth="1"/>
    <col min="9741" max="9741" width="13.75" style="1629" customWidth="1"/>
    <col min="9742" max="9984" width="9" style="1629"/>
    <col min="9985" max="9985" width="4.875" style="1629" customWidth="1"/>
    <col min="9986" max="9986" width="13.25" style="1629" customWidth="1"/>
    <col min="9987" max="9987" width="15.625" style="1629" customWidth="1"/>
    <col min="9988" max="9988" width="9.375" style="1629" bestFit="1" customWidth="1"/>
    <col min="9989" max="9989" width="13.5" style="1629" customWidth="1"/>
    <col min="9990" max="9990" width="9" style="1629"/>
    <col min="9991" max="9991" width="9.375" style="1629" bestFit="1" customWidth="1"/>
    <col min="9992" max="9993" width="9" style="1629"/>
    <col min="9994" max="9994" width="9.375" style="1629" bestFit="1" customWidth="1"/>
    <col min="9995" max="9995" width="4" style="1629" customWidth="1"/>
    <col min="9996" max="9996" width="5.125" style="1629" customWidth="1"/>
    <col min="9997" max="9997" width="13.75" style="1629" customWidth="1"/>
    <col min="9998" max="10240" width="9" style="1629"/>
    <col min="10241" max="10241" width="4.875" style="1629" customWidth="1"/>
    <col min="10242" max="10242" width="13.25" style="1629" customWidth="1"/>
    <col min="10243" max="10243" width="15.625" style="1629" customWidth="1"/>
    <col min="10244" max="10244" width="9.375" style="1629" bestFit="1" customWidth="1"/>
    <col min="10245" max="10245" width="13.5" style="1629" customWidth="1"/>
    <col min="10246" max="10246" width="9" style="1629"/>
    <col min="10247" max="10247" width="9.375" style="1629" bestFit="1" customWidth="1"/>
    <col min="10248" max="10249" width="9" style="1629"/>
    <col min="10250" max="10250" width="9.375" style="1629" bestFit="1" customWidth="1"/>
    <col min="10251" max="10251" width="4" style="1629" customWidth="1"/>
    <col min="10252" max="10252" width="5.125" style="1629" customWidth="1"/>
    <col min="10253" max="10253" width="13.75" style="1629" customWidth="1"/>
    <col min="10254" max="10496" width="9" style="1629"/>
    <col min="10497" max="10497" width="4.875" style="1629" customWidth="1"/>
    <col min="10498" max="10498" width="13.25" style="1629" customWidth="1"/>
    <col min="10499" max="10499" width="15.625" style="1629" customWidth="1"/>
    <col min="10500" max="10500" width="9.375" style="1629" bestFit="1" customWidth="1"/>
    <col min="10501" max="10501" width="13.5" style="1629" customWidth="1"/>
    <col min="10502" max="10502" width="9" style="1629"/>
    <col min="10503" max="10503" width="9.375" style="1629" bestFit="1" customWidth="1"/>
    <col min="10504" max="10505" width="9" style="1629"/>
    <col min="10506" max="10506" width="9.375" style="1629" bestFit="1" customWidth="1"/>
    <col min="10507" max="10507" width="4" style="1629" customWidth="1"/>
    <col min="10508" max="10508" width="5.125" style="1629" customWidth="1"/>
    <col min="10509" max="10509" width="13.75" style="1629" customWidth="1"/>
    <col min="10510" max="10752" width="9" style="1629"/>
    <col min="10753" max="10753" width="4.875" style="1629" customWidth="1"/>
    <col min="10754" max="10754" width="13.25" style="1629" customWidth="1"/>
    <col min="10755" max="10755" width="15.625" style="1629" customWidth="1"/>
    <col min="10756" max="10756" width="9.375" style="1629" bestFit="1" customWidth="1"/>
    <col min="10757" max="10757" width="13.5" style="1629" customWidth="1"/>
    <col min="10758" max="10758" width="9" style="1629"/>
    <col min="10759" max="10759" width="9.375" style="1629" bestFit="1" customWidth="1"/>
    <col min="10760" max="10761" width="9" style="1629"/>
    <col min="10762" max="10762" width="9.375" style="1629" bestFit="1" customWidth="1"/>
    <col min="10763" max="10763" width="4" style="1629" customWidth="1"/>
    <col min="10764" max="10764" width="5.125" style="1629" customWidth="1"/>
    <col min="10765" max="10765" width="13.75" style="1629" customWidth="1"/>
    <col min="10766" max="11008" width="9" style="1629"/>
    <col min="11009" max="11009" width="4.875" style="1629" customWidth="1"/>
    <col min="11010" max="11010" width="13.25" style="1629" customWidth="1"/>
    <col min="11011" max="11011" width="15.625" style="1629" customWidth="1"/>
    <col min="11012" max="11012" width="9.375" style="1629" bestFit="1" customWidth="1"/>
    <col min="11013" max="11013" width="13.5" style="1629" customWidth="1"/>
    <col min="11014" max="11014" width="9" style="1629"/>
    <col min="11015" max="11015" width="9.375" style="1629" bestFit="1" customWidth="1"/>
    <col min="11016" max="11017" width="9" style="1629"/>
    <col min="11018" max="11018" width="9.375" style="1629" bestFit="1" customWidth="1"/>
    <col min="11019" max="11019" width="4" style="1629" customWidth="1"/>
    <col min="11020" max="11020" width="5.125" style="1629" customWidth="1"/>
    <col min="11021" max="11021" width="13.75" style="1629" customWidth="1"/>
    <col min="11022" max="11264" width="9" style="1629"/>
    <col min="11265" max="11265" width="4.875" style="1629" customWidth="1"/>
    <col min="11266" max="11266" width="13.25" style="1629" customWidth="1"/>
    <col min="11267" max="11267" width="15.625" style="1629" customWidth="1"/>
    <col min="11268" max="11268" width="9.375" style="1629" bestFit="1" customWidth="1"/>
    <col min="11269" max="11269" width="13.5" style="1629" customWidth="1"/>
    <col min="11270" max="11270" width="9" style="1629"/>
    <col min="11271" max="11271" width="9.375" style="1629" bestFit="1" customWidth="1"/>
    <col min="11272" max="11273" width="9" style="1629"/>
    <col min="11274" max="11274" width="9.375" style="1629" bestFit="1" customWidth="1"/>
    <col min="11275" max="11275" width="4" style="1629" customWidth="1"/>
    <col min="11276" max="11276" width="5.125" style="1629" customWidth="1"/>
    <col min="11277" max="11277" width="13.75" style="1629" customWidth="1"/>
    <col min="11278" max="11520" width="9" style="1629"/>
    <col min="11521" max="11521" width="4.875" style="1629" customWidth="1"/>
    <col min="11522" max="11522" width="13.25" style="1629" customWidth="1"/>
    <col min="11523" max="11523" width="15.625" style="1629" customWidth="1"/>
    <col min="11524" max="11524" width="9.375" style="1629" bestFit="1" customWidth="1"/>
    <col min="11525" max="11525" width="13.5" style="1629" customWidth="1"/>
    <col min="11526" max="11526" width="9" style="1629"/>
    <col min="11527" max="11527" width="9.375" style="1629" bestFit="1" customWidth="1"/>
    <col min="11528" max="11529" width="9" style="1629"/>
    <col min="11530" max="11530" width="9.375" style="1629" bestFit="1" customWidth="1"/>
    <col min="11531" max="11531" width="4" style="1629" customWidth="1"/>
    <col min="11532" max="11532" width="5.125" style="1629" customWidth="1"/>
    <col min="11533" max="11533" width="13.75" style="1629" customWidth="1"/>
    <col min="11534" max="11776" width="9" style="1629"/>
    <col min="11777" max="11777" width="4.875" style="1629" customWidth="1"/>
    <col min="11778" max="11778" width="13.25" style="1629" customWidth="1"/>
    <col min="11779" max="11779" width="15.625" style="1629" customWidth="1"/>
    <col min="11780" max="11780" width="9.375" style="1629" bestFit="1" customWidth="1"/>
    <col min="11781" max="11781" width="13.5" style="1629" customWidth="1"/>
    <col min="11782" max="11782" width="9" style="1629"/>
    <col min="11783" max="11783" width="9.375" style="1629" bestFit="1" customWidth="1"/>
    <col min="11784" max="11785" width="9" style="1629"/>
    <col min="11786" max="11786" width="9.375" style="1629" bestFit="1" customWidth="1"/>
    <col min="11787" max="11787" width="4" style="1629" customWidth="1"/>
    <col min="11788" max="11788" width="5.125" style="1629" customWidth="1"/>
    <col min="11789" max="11789" width="13.75" style="1629" customWidth="1"/>
    <col min="11790" max="12032" width="9" style="1629"/>
    <col min="12033" max="12033" width="4.875" style="1629" customWidth="1"/>
    <col min="12034" max="12034" width="13.25" style="1629" customWidth="1"/>
    <col min="12035" max="12035" width="15.625" style="1629" customWidth="1"/>
    <col min="12036" max="12036" width="9.375" style="1629" bestFit="1" customWidth="1"/>
    <col min="12037" max="12037" width="13.5" style="1629" customWidth="1"/>
    <col min="12038" max="12038" width="9" style="1629"/>
    <col min="12039" max="12039" width="9.375" style="1629" bestFit="1" customWidth="1"/>
    <col min="12040" max="12041" width="9" style="1629"/>
    <col min="12042" max="12042" width="9.375" style="1629" bestFit="1" customWidth="1"/>
    <col min="12043" max="12043" width="4" style="1629" customWidth="1"/>
    <col min="12044" max="12044" width="5.125" style="1629" customWidth="1"/>
    <col min="12045" max="12045" width="13.75" style="1629" customWidth="1"/>
    <col min="12046" max="12288" width="9" style="1629"/>
    <col min="12289" max="12289" width="4.875" style="1629" customWidth="1"/>
    <col min="12290" max="12290" width="13.25" style="1629" customWidth="1"/>
    <col min="12291" max="12291" width="15.625" style="1629" customWidth="1"/>
    <col min="12292" max="12292" width="9.375" style="1629" bestFit="1" customWidth="1"/>
    <col min="12293" max="12293" width="13.5" style="1629" customWidth="1"/>
    <col min="12294" max="12294" width="9" style="1629"/>
    <col min="12295" max="12295" width="9.375" style="1629" bestFit="1" customWidth="1"/>
    <col min="12296" max="12297" width="9" style="1629"/>
    <col min="12298" max="12298" width="9.375" style="1629" bestFit="1" customWidth="1"/>
    <col min="12299" max="12299" width="4" style="1629" customWidth="1"/>
    <col min="12300" max="12300" width="5.125" style="1629" customWidth="1"/>
    <col min="12301" max="12301" width="13.75" style="1629" customWidth="1"/>
    <col min="12302" max="12544" width="9" style="1629"/>
    <col min="12545" max="12545" width="4.875" style="1629" customWidth="1"/>
    <col min="12546" max="12546" width="13.25" style="1629" customWidth="1"/>
    <col min="12547" max="12547" width="15.625" style="1629" customWidth="1"/>
    <col min="12548" max="12548" width="9.375" style="1629" bestFit="1" customWidth="1"/>
    <col min="12549" max="12549" width="13.5" style="1629" customWidth="1"/>
    <col min="12550" max="12550" width="9" style="1629"/>
    <col min="12551" max="12551" width="9.375" style="1629" bestFit="1" customWidth="1"/>
    <col min="12552" max="12553" width="9" style="1629"/>
    <col min="12554" max="12554" width="9.375" style="1629" bestFit="1" customWidth="1"/>
    <col min="12555" max="12555" width="4" style="1629" customWidth="1"/>
    <col min="12556" max="12556" width="5.125" style="1629" customWidth="1"/>
    <col min="12557" max="12557" width="13.75" style="1629" customWidth="1"/>
    <col min="12558" max="12800" width="9" style="1629"/>
    <col min="12801" max="12801" width="4.875" style="1629" customWidth="1"/>
    <col min="12802" max="12802" width="13.25" style="1629" customWidth="1"/>
    <col min="12803" max="12803" width="15.625" style="1629" customWidth="1"/>
    <col min="12804" max="12804" width="9.375" style="1629" bestFit="1" customWidth="1"/>
    <col min="12805" max="12805" width="13.5" style="1629" customWidth="1"/>
    <col min="12806" max="12806" width="9" style="1629"/>
    <col min="12807" max="12807" width="9.375" style="1629" bestFit="1" customWidth="1"/>
    <col min="12808" max="12809" width="9" style="1629"/>
    <col min="12810" max="12810" width="9.375" style="1629" bestFit="1" customWidth="1"/>
    <col min="12811" max="12811" width="4" style="1629" customWidth="1"/>
    <col min="12812" max="12812" width="5.125" style="1629" customWidth="1"/>
    <col min="12813" max="12813" width="13.75" style="1629" customWidth="1"/>
    <col min="12814" max="13056" width="9" style="1629"/>
    <col min="13057" max="13057" width="4.875" style="1629" customWidth="1"/>
    <col min="13058" max="13058" width="13.25" style="1629" customWidth="1"/>
    <col min="13059" max="13059" width="15.625" style="1629" customWidth="1"/>
    <col min="13060" max="13060" width="9.375" style="1629" bestFit="1" customWidth="1"/>
    <col min="13061" max="13061" width="13.5" style="1629" customWidth="1"/>
    <col min="13062" max="13062" width="9" style="1629"/>
    <col min="13063" max="13063" width="9.375" style="1629" bestFit="1" customWidth="1"/>
    <col min="13064" max="13065" width="9" style="1629"/>
    <col min="13066" max="13066" width="9.375" style="1629" bestFit="1" customWidth="1"/>
    <col min="13067" max="13067" width="4" style="1629" customWidth="1"/>
    <col min="13068" max="13068" width="5.125" style="1629" customWidth="1"/>
    <col min="13069" max="13069" width="13.75" style="1629" customWidth="1"/>
    <col min="13070" max="13312" width="9" style="1629"/>
    <col min="13313" max="13313" width="4.875" style="1629" customWidth="1"/>
    <col min="13314" max="13314" width="13.25" style="1629" customWidth="1"/>
    <col min="13315" max="13315" width="15.625" style="1629" customWidth="1"/>
    <col min="13316" max="13316" width="9.375" style="1629" bestFit="1" customWidth="1"/>
    <col min="13317" max="13317" width="13.5" style="1629" customWidth="1"/>
    <col min="13318" max="13318" width="9" style="1629"/>
    <col min="13319" max="13319" width="9.375" style="1629" bestFit="1" customWidth="1"/>
    <col min="13320" max="13321" width="9" style="1629"/>
    <col min="13322" max="13322" width="9.375" style="1629" bestFit="1" customWidth="1"/>
    <col min="13323" max="13323" width="4" style="1629" customWidth="1"/>
    <col min="13324" max="13324" width="5.125" style="1629" customWidth="1"/>
    <col min="13325" max="13325" width="13.75" style="1629" customWidth="1"/>
    <col min="13326" max="13568" width="9" style="1629"/>
    <col min="13569" max="13569" width="4.875" style="1629" customWidth="1"/>
    <col min="13570" max="13570" width="13.25" style="1629" customWidth="1"/>
    <col min="13571" max="13571" width="15.625" style="1629" customWidth="1"/>
    <col min="13572" max="13572" width="9.375" style="1629" bestFit="1" customWidth="1"/>
    <col min="13573" max="13573" width="13.5" style="1629" customWidth="1"/>
    <col min="13574" max="13574" width="9" style="1629"/>
    <col min="13575" max="13575" width="9.375" style="1629" bestFit="1" customWidth="1"/>
    <col min="13576" max="13577" width="9" style="1629"/>
    <col min="13578" max="13578" width="9.375" style="1629" bestFit="1" customWidth="1"/>
    <col min="13579" max="13579" width="4" style="1629" customWidth="1"/>
    <col min="13580" max="13580" width="5.125" style="1629" customWidth="1"/>
    <col min="13581" max="13581" width="13.75" style="1629" customWidth="1"/>
    <col min="13582" max="13824" width="9" style="1629"/>
    <col min="13825" max="13825" width="4.875" style="1629" customWidth="1"/>
    <col min="13826" max="13826" width="13.25" style="1629" customWidth="1"/>
    <col min="13827" max="13827" width="15.625" style="1629" customWidth="1"/>
    <col min="13828" max="13828" width="9.375" style="1629" bestFit="1" customWidth="1"/>
    <col min="13829" max="13829" width="13.5" style="1629" customWidth="1"/>
    <col min="13830" max="13830" width="9" style="1629"/>
    <col min="13831" max="13831" width="9.375" style="1629" bestFit="1" customWidth="1"/>
    <col min="13832" max="13833" width="9" style="1629"/>
    <col min="13834" max="13834" width="9.375" style="1629" bestFit="1" customWidth="1"/>
    <col min="13835" max="13835" width="4" style="1629" customWidth="1"/>
    <col min="13836" max="13836" width="5.125" style="1629" customWidth="1"/>
    <col min="13837" max="13837" width="13.75" style="1629" customWidth="1"/>
    <col min="13838" max="14080" width="9" style="1629"/>
    <col min="14081" max="14081" width="4.875" style="1629" customWidth="1"/>
    <col min="14082" max="14082" width="13.25" style="1629" customWidth="1"/>
    <col min="14083" max="14083" width="15.625" style="1629" customWidth="1"/>
    <col min="14084" max="14084" width="9.375" style="1629" bestFit="1" customWidth="1"/>
    <col min="14085" max="14085" width="13.5" style="1629" customWidth="1"/>
    <col min="14086" max="14086" width="9" style="1629"/>
    <col min="14087" max="14087" width="9.375" style="1629" bestFit="1" customWidth="1"/>
    <col min="14088" max="14089" width="9" style="1629"/>
    <col min="14090" max="14090" width="9.375" style="1629" bestFit="1" customWidth="1"/>
    <col min="14091" max="14091" width="4" style="1629" customWidth="1"/>
    <col min="14092" max="14092" width="5.125" style="1629" customWidth="1"/>
    <col min="14093" max="14093" width="13.75" style="1629" customWidth="1"/>
    <col min="14094" max="14336" width="9" style="1629"/>
    <col min="14337" max="14337" width="4.875" style="1629" customWidth="1"/>
    <col min="14338" max="14338" width="13.25" style="1629" customWidth="1"/>
    <col min="14339" max="14339" width="15.625" style="1629" customWidth="1"/>
    <col min="14340" max="14340" width="9.375" style="1629" bestFit="1" customWidth="1"/>
    <col min="14341" max="14341" width="13.5" style="1629" customWidth="1"/>
    <col min="14342" max="14342" width="9" style="1629"/>
    <col min="14343" max="14343" width="9.375" style="1629" bestFit="1" customWidth="1"/>
    <col min="14344" max="14345" width="9" style="1629"/>
    <col min="14346" max="14346" width="9.375" style="1629" bestFit="1" customWidth="1"/>
    <col min="14347" max="14347" width="4" style="1629" customWidth="1"/>
    <col min="14348" max="14348" width="5.125" style="1629" customWidth="1"/>
    <col min="14349" max="14349" width="13.75" style="1629" customWidth="1"/>
    <col min="14350" max="14592" width="9" style="1629"/>
    <col min="14593" max="14593" width="4.875" style="1629" customWidth="1"/>
    <col min="14594" max="14594" width="13.25" style="1629" customWidth="1"/>
    <col min="14595" max="14595" width="15.625" style="1629" customWidth="1"/>
    <col min="14596" max="14596" width="9.375" style="1629" bestFit="1" customWidth="1"/>
    <col min="14597" max="14597" width="13.5" style="1629" customWidth="1"/>
    <col min="14598" max="14598" width="9" style="1629"/>
    <col min="14599" max="14599" width="9.375" style="1629" bestFit="1" customWidth="1"/>
    <col min="14600" max="14601" width="9" style="1629"/>
    <col min="14602" max="14602" width="9.375" style="1629" bestFit="1" customWidth="1"/>
    <col min="14603" max="14603" width="4" style="1629" customWidth="1"/>
    <col min="14604" max="14604" width="5.125" style="1629" customWidth="1"/>
    <col min="14605" max="14605" width="13.75" style="1629" customWidth="1"/>
    <col min="14606" max="14848" width="9" style="1629"/>
    <col min="14849" max="14849" width="4.875" style="1629" customWidth="1"/>
    <col min="14850" max="14850" width="13.25" style="1629" customWidth="1"/>
    <col min="14851" max="14851" width="15.625" style="1629" customWidth="1"/>
    <col min="14852" max="14852" width="9.375" style="1629" bestFit="1" customWidth="1"/>
    <col min="14853" max="14853" width="13.5" style="1629" customWidth="1"/>
    <col min="14854" max="14854" width="9" style="1629"/>
    <col min="14855" max="14855" width="9.375" style="1629" bestFit="1" customWidth="1"/>
    <col min="14856" max="14857" width="9" style="1629"/>
    <col min="14858" max="14858" width="9.375" style="1629" bestFit="1" customWidth="1"/>
    <col min="14859" max="14859" width="4" style="1629" customWidth="1"/>
    <col min="14860" max="14860" width="5.125" style="1629" customWidth="1"/>
    <col min="14861" max="14861" width="13.75" style="1629" customWidth="1"/>
    <col min="14862" max="15104" width="9" style="1629"/>
    <col min="15105" max="15105" width="4.875" style="1629" customWidth="1"/>
    <col min="15106" max="15106" width="13.25" style="1629" customWidth="1"/>
    <col min="15107" max="15107" width="15.625" style="1629" customWidth="1"/>
    <col min="15108" max="15108" width="9.375" style="1629" bestFit="1" customWidth="1"/>
    <col min="15109" max="15109" width="13.5" style="1629" customWidth="1"/>
    <col min="15110" max="15110" width="9" style="1629"/>
    <col min="15111" max="15111" width="9.375" style="1629" bestFit="1" customWidth="1"/>
    <col min="15112" max="15113" width="9" style="1629"/>
    <col min="15114" max="15114" width="9.375" style="1629" bestFit="1" customWidth="1"/>
    <col min="15115" max="15115" width="4" style="1629" customWidth="1"/>
    <col min="15116" max="15116" width="5.125" style="1629" customWidth="1"/>
    <col min="15117" max="15117" width="13.75" style="1629" customWidth="1"/>
    <col min="15118" max="15360" width="9" style="1629"/>
    <col min="15361" max="15361" width="4.875" style="1629" customWidth="1"/>
    <col min="15362" max="15362" width="13.25" style="1629" customWidth="1"/>
    <col min="15363" max="15363" width="15.625" style="1629" customWidth="1"/>
    <col min="15364" max="15364" width="9.375" style="1629" bestFit="1" customWidth="1"/>
    <col min="15365" max="15365" width="13.5" style="1629" customWidth="1"/>
    <col min="15366" max="15366" width="9" style="1629"/>
    <col min="15367" max="15367" width="9.375" style="1629" bestFit="1" customWidth="1"/>
    <col min="15368" max="15369" width="9" style="1629"/>
    <col min="15370" max="15370" width="9.375" style="1629" bestFit="1" customWidth="1"/>
    <col min="15371" max="15371" width="4" style="1629" customWidth="1"/>
    <col min="15372" max="15372" width="5.125" style="1629" customWidth="1"/>
    <col min="15373" max="15373" width="13.75" style="1629" customWidth="1"/>
    <col min="15374" max="15616" width="9" style="1629"/>
    <col min="15617" max="15617" width="4.875" style="1629" customWidth="1"/>
    <col min="15618" max="15618" width="13.25" style="1629" customWidth="1"/>
    <col min="15619" max="15619" width="15.625" style="1629" customWidth="1"/>
    <col min="15620" max="15620" width="9.375" style="1629" bestFit="1" customWidth="1"/>
    <col min="15621" max="15621" width="13.5" style="1629" customWidth="1"/>
    <col min="15622" max="15622" width="9" style="1629"/>
    <col min="15623" max="15623" width="9.375" style="1629" bestFit="1" customWidth="1"/>
    <col min="15624" max="15625" width="9" style="1629"/>
    <col min="15626" max="15626" width="9.375" style="1629" bestFit="1" customWidth="1"/>
    <col min="15627" max="15627" width="4" style="1629" customWidth="1"/>
    <col min="15628" max="15628" width="5.125" style="1629" customWidth="1"/>
    <col min="15629" max="15629" width="13.75" style="1629" customWidth="1"/>
    <col min="15630" max="15872" width="9" style="1629"/>
    <col min="15873" max="15873" width="4.875" style="1629" customWidth="1"/>
    <col min="15874" max="15874" width="13.25" style="1629" customWidth="1"/>
    <col min="15875" max="15875" width="15.625" style="1629" customWidth="1"/>
    <col min="15876" max="15876" width="9.375" style="1629" bestFit="1" customWidth="1"/>
    <col min="15877" max="15877" width="13.5" style="1629" customWidth="1"/>
    <col min="15878" max="15878" width="9" style="1629"/>
    <col min="15879" max="15879" width="9.375" style="1629" bestFit="1" customWidth="1"/>
    <col min="15880" max="15881" width="9" style="1629"/>
    <col min="15882" max="15882" width="9.375" style="1629" bestFit="1" customWidth="1"/>
    <col min="15883" max="15883" width="4" style="1629" customWidth="1"/>
    <col min="15884" max="15884" width="5.125" style="1629" customWidth="1"/>
    <col min="15885" max="15885" width="13.75" style="1629" customWidth="1"/>
    <col min="15886" max="16128" width="9" style="1629"/>
    <col min="16129" max="16129" width="4.875" style="1629" customWidth="1"/>
    <col min="16130" max="16130" width="13.25" style="1629" customWidth="1"/>
    <col min="16131" max="16131" width="15.625" style="1629" customWidth="1"/>
    <col min="16132" max="16132" width="9.375" style="1629" bestFit="1" customWidth="1"/>
    <col min="16133" max="16133" width="13.5" style="1629" customWidth="1"/>
    <col min="16134" max="16134" width="9" style="1629"/>
    <col min="16135" max="16135" width="9.375" style="1629" bestFit="1" customWidth="1"/>
    <col min="16136" max="16137" width="9" style="1629"/>
    <col min="16138" max="16138" width="9.375" style="1629" bestFit="1" customWidth="1"/>
    <col min="16139" max="16139" width="4" style="1629" customWidth="1"/>
    <col min="16140" max="16140" width="5.125" style="1629" customWidth="1"/>
    <col min="16141" max="16141" width="13.75" style="1629" customWidth="1"/>
    <col min="16142" max="16384" width="9" style="1629"/>
  </cols>
  <sheetData>
    <row r="1" spans="1:257" s="1693" customFormat="1" ht="14.25" thickBot="1">
      <c r="A1" s="1687"/>
      <c r="B1" s="1694" t="s">
        <v>1295</v>
      </c>
      <c r="C1" s="1688">
        <f>项目基本情况!D3</f>
        <v>43878</v>
      </c>
      <c r="D1" s="1694" t="s">
        <v>1296</v>
      </c>
      <c r="E1" s="1689">
        <f>'数据-取费表'!B22</f>
        <v>2</v>
      </c>
      <c r="F1" s="1694" t="s">
        <v>1297</v>
      </c>
      <c r="G1" s="1690">
        <f ca="1">INDIRECT("d"&amp;$K$1)/100</f>
        <v>4.7500000000000001E-2</v>
      </c>
      <c r="H1" s="1694" t="s">
        <v>1327</v>
      </c>
      <c r="I1" s="1690">
        <f ca="1">F4/100</f>
        <v>1.4999999999999999E-2</v>
      </c>
      <c r="J1" s="1695">
        <f>IF(C1&gt;C13,0,MATCH(C1,C$13:C$100,-1))+IF(SUMIF(C13:C100,C1,D13:D100)=0,13,12)</f>
        <v>13</v>
      </c>
      <c r="K1" s="1695">
        <f>MATCH(E1,C3:C7,1)+IF(SUMIF(C3:C7,E1,D3:D7)=0,2,1)</f>
        <v>5</v>
      </c>
      <c r="L1" s="1695">
        <f>IF(C1&gt;M13,0,MATCH(C1,M$13:M$100,-1))+IF(SUMIF(M13:M100,C1,N13:N100)=0,13,12)</f>
        <v>13</v>
      </c>
      <c r="M1" s="1687"/>
      <c r="N1" s="1687"/>
      <c r="O1" s="1687"/>
      <c r="P1" s="1687"/>
      <c r="Q1" s="1687"/>
      <c r="R1" s="1687"/>
      <c r="S1" s="1687"/>
      <c r="T1" s="1687"/>
      <c r="U1" s="1687"/>
      <c r="V1" s="1687"/>
      <c r="W1" s="1687"/>
      <c r="X1" s="1687"/>
      <c r="Y1" s="1687"/>
      <c r="Z1" s="1687"/>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c r="BU1" s="1691"/>
      <c r="BV1" s="1691"/>
      <c r="BW1" s="1691"/>
      <c r="BX1" s="1691"/>
      <c r="BY1" s="1691"/>
      <c r="BZ1" s="1691"/>
      <c r="CA1" s="1691"/>
      <c r="CB1" s="1691"/>
      <c r="CC1" s="1691"/>
      <c r="CD1" s="1691"/>
      <c r="CE1" s="1691"/>
      <c r="CF1" s="1691"/>
      <c r="CG1" s="1691"/>
      <c r="CH1" s="1691"/>
      <c r="CI1" s="1691"/>
      <c r="CJ1" s="1691"/>
      <c r="CK1" s="1691"/>
      <c r="CL1" s="1691"/>
      <c r="CM1" s="1691"/>
      <c r="CN1" s="1691"/>
      <c r="CO1" s="1691"/>
      <c r="CP1" s="1691"/>
      <c r="CQ1" s="1691"/>
      <c r="CR1" s="1691"/>
      <c r="CS1" s="1691"/>
      <c r="CT1" s="1691"/>
      <c r="CU1" s="1691"/>
      <c r="CV1" s="1691"/>
      <c r="CW1" s="1691"/>
      <c r="CX1" s="1691"/>
      <c r="CY1" s="1691"/>
      <c r="CZ1" s="1691"/>
      <c r="DA1" s="1691"/>
      <c r="DB1" s="1691"/>
      <c r="DC1" s="1691"/>
      <c r="DD1" s="1691"/>
      <c r="DE1" s="1691"/>
      <c r="DF1" s="1691"/>
      <c r="DG1" s="1691"/>
      <c r="DH1" s="1691"/>
      <c r="DI1" s="1691"/>
      <c r="DJ1" s="1691"/>
      <c r="DK1" s="1691"/>
      <c r="DL1" s="1691"/>
      <c r="DM1" s="1691"/>
      <c r="DN1" s="1691"/>
      <c r="DO1" s="1691"/>
      <c r="DP1" s="1691"/>
      <c r="DQ1" s="1691"/>
      <c r="DR1" s="1691"/>
      <c r="DS1" s="1691"/>
      <c r="DT1" s="1691"/>
      <c r="DU1" s="1691"/>
      <c r="DV1" s="1691"/>
      <c r="DW1" s="1691"/>
      <c r="DX1" s="1691"/>
      <c r="DY1" s="1691"/>
      <c r="DZ1" s="1691"/>
      <c r="EA1" s="1691"/>
      <c r="EB1" s="1691"/>
      <c r="EC1" s="1691"/>
      <c r="ED1" s="1691"/>
      <c r="EE1" s="1691"/>
      <c r="EF1" s="1691"/>
      <c r="EG1" s="1691"/>
      <c r="EH1" s="1691"/>
      <c r="EI1" s="1691"/>
      <c r="EJ1" s="1691"/>
      <c r="EK1" s="1691"/>
      <c r="EL1" s="1691"/>
      <c r="EM1" s="1691"/>
      <c r="EN1" s="1691"/>
      <c r="EO1" s="1691"/>
      <c r="EP1" s="1691"/>
      <c r="EQ1" s="1691"/>
      <c r="ER1" s="1691"/>
      <c r="ES1" s="1691"/>
      <c r="ET1" s="1691"/>
      <c r="EU1" s="1691"/>
      <c r="EV1" s="1691"/>
      <c r="EW1" s="1691"/>
      <c r="EX1" s="1691"/>
      <c r="EY1" s="1691"/>
      <c r="EZ1" s="1691"/>
      <c r="FA1" s="1691"/>
      <c r="FB1" s="1691"/>
      <c r="FC1" s="1691"/>
      <c r="FD1" s="1691"/>
      <c r="FE1" s="1691"/>
      <c r="FF1" s="1691"/>
      <c r="FG1" s="1691"/>
      <c r="FH1" s="1691"/>
      <c r="FI1" s="1691"/>
      <c r="FJ1" s="1691"/>
      <c r="FK1" s="1691"/>
      <c r="FL1" s="1691"/>
      <c r="FM1" s="1691"/>
      <c r="FN1" s="1691"/>
      <c r="FO1" s="1691"/>
      <c r="FP1" s="1691"/>
      <c r="FQ1" s="1691"/>
      <c r="FR1" s="1691"/>
      <c r="FS1" s="1691"/>
      <c r="FT1" s="1691"/>
      <c r="FU1" s="1691"/>
      <c r="FV1" s="1691"/>
      <c r="FW1" s="1691"/>
      <c r="FX1" s="1691"/>
      <c r="FY1" s="1691"/>
      <c r="FZ1" s="1691"/>
      <c r="GA1" s="1691"/>
      <c r="GB1" s="1691"/>
      <c r="GC1" s="1691"/>
      <c r="GD1" s="1691"/>
      <c r="GE1" s="1691"/>
      <c r="GF1" s="1691"/>
      <c r="GG1" s="1691"/>
      <c r="GH1" s="1691"/>
      <c r="GI1" s="1691"/>
      <c r="GJ1" s="1691"/>
      <c r="GK1" s="1691"/>
      <c r="GL1" s="1691"/>
      <c r="GM1" s="1691"/>
      <c r="GN1" s="1691"/>
      <c r="GO1" s="1691"/>
      <c r="GP1" s="1691"/>
      <c r="GQ1" s="1691"/>
      <c r="GR1" s="1691"/>
      <c r="GS1" s="1691"/>
      <c r="GT1" s="1691"/>
      <c r="GU1" s="1691"/>
      <c r="GV1" s="1691"/>
      <c r="GW1" s="1691"/>
      <c r="GX1" s="1691"/>
      <c r="GY1" s="1691"/>
      <c r="GZ1" s="1691"/>
      <c r="HA1" s="1691"/>
      <c r="HB1" s="1691"/>
      <c r="HC1" s="1691"/>
      <c r="HD1" s="1691"/>
      <c r="HE1" s="1691"/>
      <c r="HF1" s="1691"/>
      <c r="HG1" s="1691"/>
      <c r="HH1" s="1691"/>
      <c r="HI1" s="1691"/>
      <c r="HJ1" s="1691"/>
      <c r="HK1" s="1691"/>
      <c r="HL1" s="1691"/>
      <c r="HM1" s="1691"/>
      <c r="HN1" s="1691"/>
      <c r="HO1" s="1691"/>
      <c r="HP1" s="1691"/>
      <c r="HQ1" s="1691"/>
      <c r="HR1" s="1691"/>
      <c r="HS1" s="1691"/>
      <c r="HT1" s="1691"/>
      <c r="HU1" s="1691"/>
      <c r="HV1" s="1691"/>
      <c r="HW1" s="1691"/>
      <c r="HX1" s="1691"/>
      <c r="HY1" s="1691"/>
      <c r="HZ1" s="1691"/>
      <c r="IA1" s="1691"/>
      <c r="IB1" s="1691"/>
      <c r="IC1" s="1691"/>
      <c r="ID1" s="1691"/>
      <c r="IE1" s="1691"/>
      <c r="IF1" s="1691"/>
      <c r="IG1" s="1691"/>
      <c r="IH1" s="1691"/>
      <c r="II1" s="1691"/>
      <c r="IJ1" s="1691"/>
      <c r="IK1" s="1691"/>
      <c r="IL1" s="1691"/>
      <c r="IM1" s="1691"/>
      <c r="IN1" s="1691"/>
      <c r="IO1" s="1691"/>
      <c r="IP1" s="1691"/>
      <c r="IQ1" s="1691"/>
      <c r="IR1" s="1691"/>
      <c r="IS1" s="1691"/>
      <c r="IT1" s="1691"/>
      <c r="IU1" s="1691"/>
      <c r="IV1" s="1691"/>
      <c r="IW1" s="1692"/>
    </row>
    <row r="2" spans="1:257" ht="15" thickTop="1" thickBot="1">
      <c r="A2" s="1630"/>
      <c r="B2" s="1630"/>
      <c r="C2" s="1630"/>
      <c r="D2" s="1630" t="s">
        <v>1298</v>
      </c>
      <c r="E2" s="1630"/>
      <c r="F2" s="1630" t="s">
        <v>1299</v>
      </c>
      <c r="G2" s="1631"/>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c r="CF2" s="1630"/>
      <c r="CG2" s="1630"/>
      <c r="CH2" s="1630"/>
      <c r="CI2" s="1630"/>
      <c r="CJ2" s="1630"/>
      <c r="CK2" s="1630"/>
      <c r="CL2" s="1630"/>
      <c r="CM2" s="1630"/>
      <c r="CN2" s="1630"/>
      <c r="CO2" s="1630"/>
      <c r="CP2" s="1630"/>
      <c r="CQ2" s="1630"/>
      <c r="CR2" s="1630"/>
      <c r="CS2" s="1630"/>
      <c r="CT2" s="1630"/>
      <c r="CU2" s="1630"/>
      <c r="CV2" s="1630"/>
      <c r="CW2" s="1630"/>
      <c r="CX2" s="1630"/>
      <c r="CY2" s="1630"/>
      <c r="CZ2" s="1630"/>
      <c r="DA2" s="1630"/>
      <c r="DB2" s="1630"/>
      <c r="DC2" s="1630"/>
      <c r="DD2" s="1630"/>
      <c r="DE2" s="1630"/>
      <c r="DF2" s="1630"/>
      <c r="DG2" s="1630"/>
      <c r="DH2" s="1630"/>
      <c r="DI2" s="1630"/>
      <c r="DJ2" s="1630"/>
      <c r="DK2" s="1630"/>
      <c r="DL2" s="1630"/>
      <c r="DM2" s="1630"/>
      <c r="DN2" s="1630"/>
      <c r="DO2" s="1630"/>
      <c r="DP2" s="1630"/>
      <c r="DQ2" s="1630"/>
      <c r="DR2" s="1630"/>
      <c r="DS2" s="1630"/>
      <c r="DT2" s="1630"/>
      <c r="DU2" s="1630"/>
      <c r="DV2" s="1630"/>
      <c r="DW2" s="1630"/>
      <c r="DX2" s="1630"/>
      <c r="DY2" s="1630"/>
      <c r="DZ2" s="1630"/>
      <c r="EA2" s="1630"/>
      <c r="EB2" s="1630"/>
      <c r="EC2" s="1630"/>
      <c r="ED2" s="1630"/>
      <c r="EE2" s="1630"/>
      <c r="EF2" s="1630"/>
      <c r="EG2" s="1630"/>
      <c r="EH2" s="1630"/>
      <c r="EI2" s="1630"/>
      <c r="EJ2" s="1630"/>
      <c r="EK2" s="1630"/>
      <c r="EL2" s="1630"/>
      <c r="EM2" s="1630"/>
      <c r="EN2" s="1630"/>
      <c r="EO2" s="1630"/>
      <c r="EP2" s="1630"/>
      <c r="EQ2" s="1630"/>
      <c r="ER2" s="1630"/>
      <c r="ES2" s="1630"/>
      <c r="ET2" s="1630"/>
      <c r="EU2" s="1630"/>
      <c r="EV2" s="1630"/>
      <c r="EW2" s="1630"/>
      <c r="EX2" s="1630"/>
      <c r="EY2" s="1630"/>
      <c r="EZ2" s="1630"/>
      <c r="FA2" s="1630"/>
      <c r="FB2" s="1630"/>
      <c r="FC2" s="1630"/>
      <c r="FD2" s="1630"/>
      <c r="FE2" s="1630"/>
      <c r="FF2" s="1630"/>
      <c r="FG2" s="1630"/>
      <c r="FH2" s="1630"/>
      <c r="FI2" s="1630"/>
      <c r="FJ2" s="1630"/>
      <c r="FK2" s="1630"/>
      <c r="FL2" s="1630"/>
      <c r="FM2" s="1630"/>
      <c r="FN2" s="1630"/>
      <c r="FO2" s="1630"/>
      <c r="FP2" s="1630"/>
      <c r="FQ2" s="1630"/>
      <c r="FR2" s="1630"/>
      <c r="FS2" s="1630"/>
      <c r="FT2" s="1630"/>
      <c r="FU2" s="1630"/>
      <c r="FV2" s="1630"/>
      <c r="FW2" s="1630"/>
      <c r="FX2" s="1630"/>
      <c r="FY2" s="1630"/>
      <c r="FZ2" s="1630"/>
      <c r="GA2" s="1630"/>
      <c r="GB2" s="1630"/>
      <c r="GC2" s="1630"/>
      <c r="GD2" s="1630"/>
      <c r="GE2" s="1630"/>
      <c r="GF2" s="1630"/>
      <c r="GG2" s="1630"/>
      <c r="GH2" s="1630"/>
      <c r="GI2" s="1630"/>
      <c r="GJ2" s="1630"/>
      <c r="GK2" s="1630"/>
      <c r="GL2" s="1630"/>
      <c r="GM2" s="1630"/>
      <c r="GN2" s="1630"/>
      <c r="GO2" s="1630"/>
      <c r="GP2" s="1630"/>
      <c r="GQ2" s="1630"/>
      <c r="GR2" s="1630"/>
      <c r="GS2" s="1630"/>
      <c r="GT2" s="1630"/>
      <c r="GU2" s="1630"/>
      <c r="GV2" s="1630"/>
      <c r="GW2" s="1630"/>
      <c r="GX2" s="1630"/>
      <c r="GY2" s="1630"/>
      <c r="GZ2" s="1630"/>
      <c r="HA2" s="1630"/>
      <c r="HB2" s="1630"/>
      <c r="HC2" s="1630"/>
      <c r="HD2" s="1630"/>
      <c r="HE2" s="1630"/>
      <c r="HF2" s="1630"/>
      <c r="HG2" s="1630"/>
      <c r="HH2" s="1630"/>
      <c r="HI2" s="1630"/>
      <c r="HJ2" s="1630"/>
      <c r="HK2" s="1630"/>
      <c r="HL2" s="1630"/>
      <c r="HM2" s="1630"/>
      <c r="HN2" s="1630"/>
      <c r="HO2" s="1630"/>
      <c r="HP2" s="1630"/>
      <c r="HQ2" s="1630"/>
      <c r="HR2" s="1630"/>
      <c r="HS2" s="1630"/>
      <c r="HT2" s="1630"/>
      <c r="HU2" s="1630"/>
      <c r="HV2" s="1630"/>
      <c r="HW2" s="1630"/>
      <c r="HX2" s="1630"/>
      <c r="HY2" s="1630"/>
      <c r="HZ2" s="1630"/>
      <c r="IA2" s="1630"/>
      <c r="IB2" s="1630"/>
      <c r="IC2" s="1630"/>
      <c r="ID2" s="1630"/>
      <c r="IE2" s="1630"/>
      <c r="IF2" s="1630"/>
      <c r="IG2" s="1630"/>
      <c r="IH2" s="1630"/>
      <c r="II2" s="1630"/>
      <c r="IJ2" s="1630"/>
      <c r="IK2" s="1630"/>
      <c r="IL2" s="1630"/>
      <c r="IM2" s="1630"/>
      <c r="IN2" s="1630"/>
      <c r="IO2" s="1630"/>
      <c r="IP2" s="1630"/>
      <c r="IQ2" s="1630"/>
      <c r="IR2" s="1630"/>
      <c r="IS2" s="1630"/>
      <c r="IT2" s="1630"/>
      <c r="IU2" s="1630"/>
      <c r="IV2" s="1630"/>
      <c r="IW2" s="1630"/>
    </row>
    <row r="3" spans="1:257">
      <c r="B3" s="1633" t="s">
        <v>1300</v>
      </c>
      <c r="C3" s="1634">
        <v>0</v>
      </c>
      <c r="D3" s="1635">
        <f ca="1">INDIRECT("d"&amp;$J$1)</f>
        <v>4.3499999999999996</v>
      </c>
      <c r="E3" s="1636">
        <v>0.5</v>
      </c>
      <c r="F3" s="1637">
        <f ca="1">INDIRECT("p"&amp;$L$1)</f>
        <v>1.3</v>
      </c>
      <c r="G3" s="1632"/>
      <c r="H3" s="1632"/>
      <c r="I3" s="1632"/>
      <c r="J3" s="1632"/>
      <c r="L3" s="1632"/>
      <c r="M3" s="1632"/>
      <c r="N3" s="1632"/>
      <c r="O3" s="1632"/>
      <c r="P3" s="1632"/>
      <c r="Q3" s="1632"/>
      <c r="R3" s="1632"/>
      <c r="S3" s="1632"/>
      <c r="T3" s="1632"/>
      <c r="U3" s="1632"/>
      <c r="V3" s="1632"/>
      <c r="W3" s="1632"/>
      <c r="X3" s="1632"/>
      <c r="Y3" s="1632"/>
      <c r="Z3" s="1632"/>
    </row>
    <row r="4" spans="1:257">
      <c r="B4" s="1639" t="s">
        <v>1301</v>
      </c>
      <c r="C4" s="1640">
        <v>0.5</v>
      </c>
      <c r="D4" s="1641">
        <f ca="1">INDIRECT("e"&amp;$J$1)</f>
        <v>4.3499999999999996</v>
      </c>
      <c r="E4" s="1642">
        <v>1</v>
      </c>
      <c r="F4" s="1643">
        <f ca="1">INDIRECT("q"&amp;$L$1)</f>
        <v>1.5</v>
      </c>
      <c r="G4" s="1632"/>
      <c r="H4" s="1632"/>
      <c r="I4" s="1632"/>
      <c r="J4" s="1632"/>
      <c r="L4" s="1632"/>
      <c r="M4" s="1632"/>
      <c r="N4" s="1632"/>
      <c r="O4" s="1632"/>
      <c r="P4" s="1632"/>
      <c r="Q4" s="1632"/>
      <c r="R4" s="1632"/>
      <c r="S4" s="1632"/>
      <c r="T4" s="1632"/>
      <c r="U4" s="1632"/>
      <c r="V4" s="1632"/>
      <c r="W4" s="1632"/>
      <c r="X4" s="1632"/>
      <c r="Y4" s="1632"/>
      <c r="Z4" s="1632"/>
    </row>
    <row r="5" spans="1:257">
      <c r="B5" s="1639" t="s">
        <v>1302</v>
      </c>
      <c r="C5" s="1640">
        <v>1</v>
      </c>
      <c r="D5" s="1641">
        <f ca="1">INDIRECT("f"&amp;$J$1)</f>
        <v>4.75</v>
      </c>
      <c r="E5" s="1642">
        <v>2</v>
      </c>
      <c r="F5" s="1643">
        <f ca="1">INDIRECT("r"&amp;$L$1)</f>
        <v>2.1</v>
      </c>
      <c r="G5" s="1632"/>
      <c r="H5" s="1632"/>
      <c r="I5" s="1632"/>
      <c r="J5" s="1632"/>
      <c r="L5" s="1632"/>
      <c r="M5" s="1632"/>
      <c r="N5" s="1632"/>
      <c r="O5" s="1632"/>
      <c r="P5" s="1632"/>
      <c r="Q5" s="1632"/>
      <c r="R5" s="1632"/>
      <c r="S5" s="1632"/>
      <c r="T5" s="1632"/>
      <c r="U5" s="1632"/>
      <c r="V5" s="1632"/>
      <c r="W5" s="1632"/>
      <c r="X5" s="1632"/>
      <c r="Y5" s="1632"/>
      <c r="Z5" s="1632"/>
    </row>
    <row r="6" spans="1:257">
      <c r="B6" s="1639" t="s">
        <v>1303</v>
      </c>
      <c r="C6" s="1640">
        <v>3</v>
      </c>
      <c r="D6" s="1641">
        <f ca="1">INDIRECT("g"&amp;$J$1)</f>
        <v>4.75</v>
      </c>
      <c r="E6" s="1642">
        <v>3</v>
      </c>
      <c r="F6" s="1643">
        <f ca="1">INDIRECT("s"&amp;$L$1)</f>
        <v>2.75</v>
      </c>
      <c r="G6" s="1632"/>
      <c r="H6" s="1632"/>
      <c r="I6" s="1632"/>
      <c r="J6" s="1632"/>
      <c r="L6" s="1632"/>
      <c r="M6" s="1632"/>
      <c r="N6" s="1632"/>
      <c r="O6" s="1632"/>
      <c r="P6" s="1632"/>
      <c r="Q6" s="1632"/>
      <c r="R6" s="1632"/>
      <c r="S6" s="1632"/>
      <c r="T6" s="1632"/>
      <c r="U6" s="1632"/>
      <c r="V6" s="1632"/>
      <c r="W6" s="1632"/>
      <c r="X6" s="1632"/>
      <c r="Y6" s="1632"/>
      <c r="Z6" s="1632"/>
    </row>
    <row r="7" spans="1:257" ht="14.25" thickBot="1">
      <c r="B7" s="1644" t="s">
        <v>1304</v>
      </c>
      <c r="C7" s="1645">
        <v>5</v>
      </c>
      <c r="D7" s="1646">
        <f ca="1">INDIRECT("h"&amp;$J$1)</f>
        <v>4.9000000000000004</v>
      </c>
      <c r="E7" s="1647">
        <v>5</v>
      </c>
      <c r="F7" s="1648">
        <f ca="1">INDIRECT("t"&amp;$L$1)</f>
        <v>0</v>
      </c>
      <c r="G7" s="1632"/>
      <c r="H7" s="1632"/>
      <c r="I7" s="1632"/>
      <c r="J7" s="1632"/>
      <c r="L7" s="1632"/>
      <c r="M7" s="1632"/>
      <c r="N7" s="1632"/>
      <c r="O7" s="1632"/>
      <c r="P7" s="1632"/>
      <c r="Q7" s="1632"/>
      <c r="R7" s="1632"/>
      <c r="S7" s="1632"/>
      <c r="T7" s="1632"/>
      <c r="U7" s="1632"/>
      <c r="V7" s="1632"/>
      <c r="W7" s="1632"/>
      <c r="X7" s="1632"/>
      <c r="Y7" s="1632"/>
      <c r="Z7" s="1632"/>
    </row>
    <row r="8" spans="1:257">
      <c r="A8" s="1649"/>
      <c r="B8" s="1650"/>
      <c r="C8" s="1651"/>
      <c r="D8" s="1632"/>
      <c r="E8" s="1632"/>
      <c r="F8" s="1632"/>
      <c r="G8" s="1632"/>
      <c r="H8" s="1632"/>
      <c r="I8" s="1632"/>
      <c r="J8" s="1632"/>
      <c r="L8" s="1632"/>
      <c r="M8" s="1632"/>
      <c r="N8" s="1632"/>
      <c r="O8" s="1632"/>
      <c r="P8" s="1632"/>
      <c r="Q8" s="1632"/>
      <c r="R8" s="1632"/>
      <c r="S8" s="1632"/>
      <c r="T8" s="1632"/>
      <c r="U8" s="1632"/>
      <c r="V8" s="1632"/>
      <c r="W8" s="1632"/>
      <c r="X8" s="1632"/>
      <c r="Y8" s="1632"/>
      <c r="Z8" s="1632"/>
    </row>
    <row r="9" spans="1:257" ht="20.25">
      <c r="A9" s="1652"/>
      <c r="B9" s="1653" t="s">
        <v>1305</v>
      </c>
      <c r="C9" s="1654"/>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6"/>
      <c r="AB9" s="1656"/>
      <c r="AC9" s="1656"/>
      <c r="AD9" s="1656"/>
      <c r="AE9" s="1656"/>
      <c r="AF9" s="1656"/>
      <c r="AG9" s="1656"/>
      <c r="AH9" s="1656"/>
      <c r="AI9" s="1656"/>
      <c r="AJ9" s="1656"/>
      <c r="AK9" s="1656"/>
      <c r="AL9" s="1656"/>
      <c r="AM9" s="1656"/>
      <c r="AN9" s="1656"/>
      <c r="AO9" s="1656"/>
      <c r="AP9" s="1656"/>
      <c r="AQ9" s="1656"/>
      <c r="AR9" s="1656"/>
      <c r="AS9" s="1656"/>
      <c r="AT9" s="1656"/>
      <c r="AU9" s="1656"/>
      <c r="AV9" s="1656"/>
      <c r="AW9" s="1656"/>
      <c r="AX9" s="1656"/>
      <c r="AY9" s="1656"/>
      <c r="AZ9" s="1656"/>
      <c r="BA9" s="1656"/>
      <c r="BB9" s="1656"/>
      <c r="BC9" s="1656"/>
      <c r="BD9" s="1656"/>
      <c r="BE9" s="1656"/>
      <c r="BF9" s="1656"/>
      <c r="BG9" s="1656"/>
      <c r="BH9" s="1656"/>
      <c r="BI9" s="1656"/>
      <c r="BJ9" s="1656"/>
      <c r="BK9" s="1656"/>
      <c r="BL9" s="1656"/>
      <c r="BM9" s="1656"/>
      <c r="BN9" s="1656"/>
      <c r="BO9" s="1656"/>
      <c r="BP9" s="1656"/>
      <c r="BQ9" s="1656"/>
      <c r="BR9" s="1656"/>
      <c r="BS9" s="1656"/>
      <c r="BT9" s="1656"/>
      <c r="BU9" s="1656"/>
      <c r="BV9" s="1656"/>
      <c r="BW9" s="1656"/>
      <c r="BX9" s="1656"/>
      <c r="BY9" s="1656"/>
      <c r="BZ9" s="1656"/>
      <c r="CA9" s="1656"/>
      <c r="CB9" s="1656"/>
      <c r="CC9" s="1656"/>
      <c r="CD9" s="1656"/>
      <c r="CE9" s="1656"/>
      <c r="CF9" s="1656"/>
      <c r="CG9" s="1656"/>
      <c r="CH9" s="1656"/>
      <c r="CI9" s="1656"/>
      <c r="CJ9" s="1656"/>
      <c r="CK9" s="1656"/>
      <c r="CL9" s="1656"/>
      <c r="CM9" s="1656"/>
      <c r="CN9" s="1656"/>
      <c r="CO9" s="1656"/>
      <c r="CP9" s="1656"/>
      <c r="CQ9" s="1656"/>
      <c r="CR9" s="1656"/>
      <c r="CS9" s="1656"/>
      <c r="CT9" s="1656"/>
      <c r="CU9" s="1656"/>
      <c r="CV9" s="1656"/>
      <c r="CW9" s="1656"/>
      <c r="CX9" s="1656"/>
      <c r="CY9" s="1656"/>
      <c r="CZ9" s="1656"/>
      <c r="DA9" s="1656"/>
      <c r="DB9" s="1656"/>
      <c r="DC9" s="1656"/>
      <c r="DD9" s="1656"/>
      <c r="DE9" s="1656"/>
      <c r="DF9" s="1656"/>
      <c r="DG9" s="1656"/>
      <c r="DH9" s="1656"/>
      <c r="DI9" s="1656"/>
      <c r="DJ9" s="1656"/>
      <c r="DK9" s="1656"/>
      <c r="DL9" s="1656"/>
      <c r="DM9" s="1656"/>
      <c r="DN9" s="1656"/>
      <c r="DO9" s="1656"/>
      <c r="DP9" s="1656"/>
      <c r="DQ9" s="1656"/>
      <c r="DR9" s="1656"/>
      <c r="DS9" s="1656"/>
      <c r="DT9" s="1656"/>
      <c r="DU9" s="1656"/>
      <c r="DV9" s="1656"/>
      <c r="DW9" s="1656"/>
      <c r="DX9" s="1656"/>
      <c r="DY9" s="1656"/>
      <c r="DZ9" s="1656"/>
      <c r="EA9" s="1656"/>
      <c r="EB9" s="1656"/>
      <c r="EC9" s="1656"/>
      <c r="ED9" s="1656"/>
      <c r="EE9" s="1656"/>
      <c r="EF9" s="1656"/>
      <c r="EG9" s="1656"/>
      <c r="EH9" s="1656"/>
      <c r="EI9" s="1656"/>
      <c r="EJ9" s="1656"/>
      <c r="EK9" s="1656"/>
      <c r="EL9" s="1656"/>
      <c r="EM9" s="1656"/>
      <c r="EN9" s="1656"/>
      <c r="EO9" s="1656"/>
      <c r="EP9" s="1656"/>
      <c r="EQ9" s="1656"/>
      <c r="ER9" s="1656"/>
      <c r="ES9" s="1656"/>
      <c r="ET9" s="1656"/>
      <c r="EU9" s="1656"/>
      <c r="EV9" s="1656"/>
      <c r="EW9" s="1656"/>
      <c r="EX9" s="1656"/>
      <c r="EY9" s="1656"/>
      <c r="EZ9" s="1656"/>
      <c r="FA9" s="1656"/>
      <c r="FB9" s="1656"/>
      <c r="FC9" s="1656"/>
      <c r="FD9" s="1656"/>
      <c r="FE9" s="1656"/>
      <c r="FF9" s="1656"/>
      <c r="FG9" s="1656"/>
      <c r="FH9" s="1656"/>
      <c r="FI9" s="1656"/>
      <c r="FJ9" s="1656"/>
      <c r="FK9" s="1656"/>
      <c r="FL9" s="1656"/>
      <c r="FM9" s="1656"/>
      <c r="FN9" s="1656"/>
      <c r="FO9" s="1656"/>
      <c r="FP9" s="1656"/>
      <c r="FQ9" s="1656"/>
      <c r="FR9" s="1656"/>
      <c r="FS9" s="1656"/>
      <c r="FT9" s="1656"/>
      <c r="FU9" s="1656"/>
      <c r="FV9" s="1656"/>
      <c r="FW9" s="1656"/>
      <c r="FX9" s="1656"/>
      <c r="FY9" s="1656"/>
      <c r="FZ9" s="1656"/>
      <c r="GA9" s="1656"/>
      <c r="GB9" s="1656"/>
      <c r="GC9" s="1656"/>
      <c r="GD9" s="1656"/>
      <c r="GE9" s="1656"/>
      <c r="GF9" s="1656"/>
      <c r="GG9" s="1656"/>
      <c r="GH9" s="1656"/>
      <c r="GI9" s="1656"/>
      <c r="GJ9" s="1656"/>
      <c r="GK9" s="1656"/>
      <c r="GL9" s="1656"/>
      <c r="GM9" s="1656"/>
      <c r="GN9" s="1656"/>
      <c r="GO9" s="1656"/>
      <c r="GP9" s="1656"/>
      <c r="GQ9" s="1656"/>
      <c r="GR9" s="1656"/>
      <c r="GS9" s="1656"/>
      <c r="GT9" s="1656"/>
      <c r="GU9" s="1656"/>
      <c r="GV9" s="1656"/>
      <c r="GW9" s="1656"/>
      <c r="GX9" s="1656"/>
      <c r="GY9" s="1656"/>
      <c r="GZ9" s="1656"/>
      <c r="HA9" s="1656"/>
      <c r="HB9" s="1656"/>
      <c r="HC9" s="1656"/>
      <c r="HD9" s="1656"/>
      <c r="HE9" s="1656"/>
      <c r="HF9" s="1656"/>
      <c r="HG9" s="1656"/>
      <c r="HH9" s="1656"/>
      <c r="HI9" s="1656"/>
      <c r="HJ9" s="1656"/>
      <c r="HK9" s="1656"/>
      <c r="HL9" s="1656"/>
      <c r="HM9" s="1656"/>
      <c r="HN9" s="1656"/>
      <c r="HO9" s="1656"/>
      <c r="HP9" s="1656"/>
      <c r="HQ9" s="1656"/>
      <c r="HR9" s="1656"/>
      <c r="HS9" s="1656"/>
      <c r="HT9" s="1656"/>
      <c r="HU9" s="1656"/>
      <c r="HV9" s="1656"/>
      <c r="HW9" s="1656"/>
      <c r="HX9" s="1656"/>
      <c r="HY9" s="1656"/>
      <c r="HZ9" s="1656"/>
      <c r="IA9" s="1656"/>
      <c r="IB9" s="1656"/>
      <c r="IC9" s="1656"/>
      <c r="ID9" s="1656"/>
      <c r="IE9" s="1656"/>
      <c r="IF9" s="1656"/>
      <c r="IG9" s="1656"/>
      <c r="IH9" s="1656"/>
      <c r="II9" s="1656"/>
      <c r="IJ9" s="1656"/>
      <c r="IK9" s="1656"/>
      <c r="IL9" s="1656"/>
      <c r="IM9" s="1656"/>
      <c r="IN9" s="1656"/>
      <c r="IO9" s="1656"/>
      <c r="IP9" s="1656"/>
      <c r="IQ9" s="1656"/>
      <c r="IR9" s="1656"/>
      <c r="IS9" s="1656"/>
      <c r="IT9" s="1656"/>
      <c r="IU9" s="1656"/>
      <c r="IV9" s="1656"/>
      <c r="IW9" s="1657"/>
    </row>
    <row r="10" spans="1:257" ht="22.5">
      <c r="A10" s="1658"/>
      <c r="B10" s="1659" t="s">
        <v>1306</v>
      </c>
      <c r="C10" s="1658"/>
      <c r="D10" s="1658"/>
      <c r="E10" s="1658"/>
      <c r="F10" s="1658"/>
      <c r="G10" s="1658"/>
      <c r="H10" s="1658"/>
      <c r="I10" s="1632"/>
      <c r="J10" s="1632"/>
      <c r="K10" s="1658"/>
      <c r="L10" s="1659" t="s">
        <v>1307</v>
      </c>
      <c r="M10" s="1658"/>
      <c r="N10" s="1658"/>
      <c r="O10" s="1658"/>
      <c r="P10" s="1658"/>
      <c r="Q10" s="1658"/>
      <c r="R10" s="1658"/>
      <c r="S10" s="1658"/>
      <c r="T10" s="1658"/>
      <c r="U10" s="1658"/>
      <c r="V10" s="1658"/>
      <c r="W10" s="1658"/>
      <c r="X10" s="1658"/>
      <c r="Y10" s="1658"/>
      <c r="Z10" s="1658"/>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c r="BP10" s="1660"/>
      <c r="BQ10" s="1660"/>
      <c r="BR10" s="1660"/>
      <c r="BS10" s="1660"/>
      <c r="BT10" s="1660"/>
      <c r="BU10" s="1660"/>
      <c r="BV10" s="1660"/>
      <c r="BW10" s="1660"/>
      <c r="BX10" s="1660"/>
      <c r="BY10" s="1660"/>
      <c r="BZ10" s="1660"/>
      <c r="CA10" s="1660"/>
      <c r="CB10" s="1660"/>
      <c r="CC10" s="1660"/>
      <c r="CD10" s="1660"/>
      <c r="CE10" s="1660"/>
      <c r="CF10" s="1660"/>
      <c r="CG10" s="1660"/>
      <c r="CH10" s="1660"/>
      <c r="CI10" s="1660"/>
      <c r="CJ10" s="1660"/>
      <c r="CK10" s="1660"/>
      <c r="CL10" s="1660"/>
      <c r="CM10" s="1660"/>
      <c r="CN10" s="1660"/>
      <c r="CO10" s="1660"/>
      <c r="CP10" s="1660"/>
      <c r="CQ10" s="1660"/>
      <c r="CR10" s="1660"/>
      <c r="CS10" s="1660"/>
      <c r="CT10" s="1660"/>
      <c r="CU10" s="1660"/>
      <c r="CV10" s="1660"/>
      <c r="CW10" s="1660"/>
      <c r="CX10" s="1660"/>
      <c r="CY10" s="1660"/>
      <c r="CZ10" s="1660"/>
      <c r="DA10" s="1660"/>
      <c r="DB10" s="1660"/>
      <c r="DC10" s="1660"/>
      <c r="DD10" s="1660"/>
      <c r="DE10" s="1660"/>
      <c r="DF10" s="1660"/>
      <c r="DG10" s="1660"/>
      <c r="DH10" s="1660"/>
      <c r="DI10" s="1660"/>
      <c r="DJ10" s="1660"/>
      <c r="DK10" s="1660"/>
      <c r="DL10" s="1660"/>
      <c r="DM10" s="1660"/>
      <c r="DN10" s="1660"/>
      <c r="DO10" s="1660"/>
      <c r="DP10" s="1660"/>
      <c r="DQ10" s="1660"/>
      <c r="DR10" s="1660"/>
      <c r="DS10" s="1660"/>
      <c r="DT10" s="1660"/>
      <c r="DU10" s="1660"/>
      <c r="DV10" s="1660"/>
      <c r="DW10" s="1660"/>
      <c r="DX10" s="1660"/>
      <c r="DY10" s="1660"/>
      <c r="DZ10" s="1660"/>
      <c r="EA10" s="1660"/>
      <c r="EB10" s="1660"/>
      <c r="EC10" s="1660"/>
      <c r="ED10" s="1660"/>
      <c r="EE10" s="1660"/>
      <c r="EF10" s="1660"/>
      <c r="EG10" s="1660"/>
      <c r="EH10" s="1660"/>
      <c r="EI10" s="1660"/>
      <c r="EJ10" s="1660"/>
      <c r="EK10" s="1660"/>
      <c r="EL10" s="1660"/>
      <c r="EM10" s="1660"/>
      <c r="EN10" s="1660"/>
      <c r="EO10" s="1660"/>
      <c r="EP10" s="1660"/>
      <c r="EQ10" s="1660"/>
      <c r="ER10" s="1660"/>
      <c r="ES10" s="1660"/>
      <c r="ET10" s="1660"/>
      <c r="EU10" s="1660"/>
      <c r="EV10" s="1660"/>
      <c r="EW10" s="1660"/>
      <c r="EX10" s="1660"/>
      <c r="EY10" s="1660"/>
      <c r="EZ10" s="1660"/>
      <c r="FA10" s="1660"/>
      <c r="FB10" s="1660"/>
      <c r="FC10" s="1660"/>
      <c r="FD10" s="1660"/>
      <c r="FE10" s="1660"/>
      <c r="FF10" s="1660"/>
      <c r="FG10" s="1660"/>
      <c r="FH10" s="1660"/>
      <c r="FI10" s="1660"/>
      <c r="FJ10" s="1660"/>
      <c r="FK10" s="1660"/>
      <c r="FL10" s="1660"/>
      <c r="FM10" s="1660"/>
      <c r="FN10" s="1660"/>
      <c r="FO10" s="1660"/>
      <c r="FP10" s="1660"/>
      <c r="FQ10" s="1660"/>
      <c r="FR10" s="1660"/>
      <c r="FS10" s="1660"/>
      <c r="FT10" s="1660"/>
      <c r="FU10" s="1660"/>
      <c r="FV10" s="1660"/>
      <c r="FW10" s="1660"/>
      <c r="FX10" s="1660"/>
      <c r="FY10" s="1660"/>
      <c r="FZ10" s="1660"/>
      <c r="GA10" s="1660"/>
      <c r="GB10" s="1660"/>
      <c r="GC10" s="1660"/>
      <c r="GD10" s="1660"/>
      <c r="GE10" s="1660"/>
      <c r="GF10" s="1660"/>
      <c r="GG10" s="1660"/>
      <c r="GH10" s="1660"/>
      <c r="GI10" s="1660"/>
      <c r="GJ10" s="1660"/>
      <c r="GK10" s="1660"/>
      <c r="GL10" s="1660"/>
      <c r="GM10" s="1660"/>
      <c r="GN10" s="1660"/>
      <c r="GO10" s="1660"/>
      <c r="GP10" s="1660"/>
      <c r="GQ10" s="1660"/>
      <c r="GR10" s="1660"/>
      <c r="GS10" s="1660"/>
      <c r="GT10" s="1660"/>
      <c r="GU10" s="1660"/>
      <c r="GV10" s="1660"/>
      <c r="GW10" s="1660"/>
      <c r="GX10" s="1660"/>
      <c r="GY10" s="1660"/>
      <c r="GZ10" s="1660"/>
      <c r="HA10" s="1660"/>
      <c r="HB10" s="1660"/>
      <c r="HC10" s="1660"/>
      <c r="HD10" s="1660"/>
      <c r="HE10" s="1660"/>
      <c r="HF10" s="1660"/>
      <c r="HG10" s="1660"/>
      <c r="HH10" s="1660"/>
      <c r="HI10" s="1660"/>
      <c r="HJ10" s="1660"/>
      <c r="HK10" s="1660"/>
      <c r="HL10" s="1660"/>
      <c r="HM10" s="1660"/>
      <c r="HN10" s="1660"/>
      <c r="HO10" s="1660"/>
      <c r="HP10" s="1660"/>
      <c r="HQ10" s="1660"/>
      <c r="HR10" s="1660"/>
      <c r="HS10" s="1660"/>
      <c r="HT10" s="1660"/>
      <c r="HU10" s="1660"/>
      <c r="HV10" s="1660"/>
      <c r="HW10" s="1660"/>
      <c r="HX10" s="1660"/>
      <c r="HY10" s="1660"/>
      <c r="HZ10" s="1660"/>
      <c r="IA10" s="1660"/>
      <c r="IB10" s="1660"/>
      <c r="IC10" s="1660"/>
      <c r="ID10" s="1660"/>
      <c r="IE10" s="1660"/>
      <c r="IF10" s="1660"/>
      <c r="IG10" s="1660"/>
      <c r="IH10" s="1660"/>
      <c r="II10" s="1660"/>
      <c r="IJ10" s="1660"/>
      <c r="IK10" s="1660"/>
      <c r="IL10" s="1660"/>
      <c r="IM10" s="1660"/>
      <c r="IN10" s="1660"/>
      <c r="IO10" s="1660"/>
      <c r="IP10" s="1660"/>
      <c r="IQ10" s="1660"/>
      <c r="IR10" s="1660"/>
      <c r="IS10" s="1660"/>
      <c r="IT10" s="1660"/>
      <c r="IU10" s="1660"/>
      <c r="IV10" s="1660"/>
    </row>
    <row r="11" spans="1:257">
      <c r="A11" s="1661"/>
      <c r="B11" s="1662" t="s">
        <v>1308</v>
      </c>
      <c r="C11" s="1663" t="s">
        <v>1309</v>
      </c>
      <c r="D11" s="1664" t="s">
        <v>1310</v>
      </c>
      <c r="E11" s="1665"/>
      <c r="F11" s="1664" t="s">
        <v>1311</v>
      </c>
      <c r="G11" s="1666"/>
      <c r="H11" s="1665"/>
      <c r="I11" s="1664" t="s">
        <v>1312</v>
      </c>
      <c r="J11" s="1665"/>
      <c r="K11" s="1661"/>
      <c r="L11" s="1662" t="s">
        <v>1308</v>
      </c>
      <c r="M11" s="1663" t="s">
        <v>1309</v>
      </c>
      <c r="N11" s="1662" t="s">
        <v>1313</v>
      </c>
      <c r="O11" s="1664" t="s">
        <v>1314</v>
      </c>
      <c r="P11" s="1666"/>
      <c r="Q11" s="1666"/>
      <c r="R11" s="1666"/>
      <c r="S11" s="1666"/>
      <c r="T11" s="1665"/>
      <c r="U11" s="1664" t="s">
        <v>1315</v>
      </c>
      <c r="V11" s="1666"/>
      <c r="W11" s="1665"/>
      <c r="X11" s="1662" t="s">
        <v>1316</v>
      </c>
      <c r="Y11" s="1662" t="s">
        <v>1317</v>
      </c>
      <c r="Z11" s="1662" t="s">
        <v>1318</v>
      </c>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7"/>
      <c r="CG11" s="1667"/>
      <c r="CH11" s="1667"/>
      <c r="CI11" s="1667"/>
      <c r="CJ11" s="1667"/>
      <c r="CK11" s="1667"/>
      <c r="CL11" s="1667"/>
      <c r="CM11" s="1667"/>
      <c r="CN11" s="1667"/>
      <c r="CO11" s="1667"/>
      <c r="CP11" s="1667"/>
      <c r="CQ11" s="1667"/>
      <c r="CR11" s="1667"/>
      <c r="CS11" s="1667"/>
      <c r="CT11" s="1667"/>
      <c r="CU11" s="1667"/>
      <c r="CV11" s="1667"/>
      <c r="CW11" s="1667"/>
      <c r="CX11" s="1667"/>
      <c r="CY11" s="1667"/>
      <c r="CZ11" s="1667"/>
      <c r="DA11" s="1667"/>
      <c r="DB11" s="1667"/>
      <c r="DC11" s="1667"/>
      <c r="DD11" s="1667"/>
      <c r="DE11" s="1667"/>
      <c r="DF11" s="1667"/>
      <c r="DG11" s="1667"/>
      <c r="DH11" s="1667"/>
      <c r="DI11" s="1667"/>
      <c r="DJ11" s="1667"/>
      <c r="DK11" s="1667"/>
      <c r="DL11" s="1667"/>
      <c r="DM11" s="1667"/>
      <c r="DN11" s="1667"/>
      <c r="DO11" s="1667"/>
      <c r="DP11" s="1667"/>
      <c r="DQ11" s="1667"/>
      <c r="DR11" s="1667"/>
      <c r="DS11" s="1667"/>
      <c r="DT11" s="1667"/>
      <c r="DU11" s="1667"/>
      <c r="DV11" s="1667"/>
      <c r="DW11" s="1667"/>
      <c r="DX11" s="1667"/>
      <c r="DY11" s="1667"/>
      <c r="DZ11" s="1667"/>
      <c r="EA11" s="1667"/>
      <c r="EB11" s="1667"/>
      <c r="EC11" s="1667"/>
      <c r="ED11" s="1667"/>
      <c r="EE11" s="1667"/>
      <c r="EF11" s="1667"/>
      <c r="EG11" s="1667"/>
      <c r="EH11" s="1667"/>
      <c r="EI11" s="1667"/>
      <c r="EJ11" s="1667"/>
      <c r="EK11" s="1667"/>
      <c r="EL11" s="1667"/>
      <c r="EM11" s="1667"/>
      <c r="EN11" s="1667"/>
      <c r="EO11" s="1667"/>
      <c r="EP11" s="1667"/>
      <c r="EQ11" s="1667"/>
      <c r="ER11" s="1667"/>
      <c r="ES11" s="1667"/>
      <c r="ET11" s="1667"/>
      <c r="EU11" s="1667"/>
      <c r="EV11" s="1667"/>
      <c r="EW11" s="1667"/>
      <c r="EX11" s="1667"/>
      <c r="EY11" s="1667"/>
      <c r="EZ11" s="1667"/>
      <c r="FA11" s="1667"/>
      <c r="FB11" s="1667"/>
      <c r="FC11" s="1667"/>
      <c r="FD11" s="1667"/>
      <c r="FE11" s="1667"/>
      <c r="FF11" s="1667"/>
      <c r="FG11" s="1667"/>
      <c r="FH11" s="1667"/>
      <c r="FI11" s="1667"/>
      <c r="FJ11" s="1667"/>
      <c r="FK11" s="1667"/>
      <c r="FL11" s="1667"/>
      <c r="FM11" s="1667"/>
      <c r="FN11" s="1667"/>
      <c r="FO11" s="1667"/>
      <c r="FP11" s="1667"/>
      <c r="FQ11" s="1667"/>
      <c r="FR11" s="1667"/>
      <c r="FS11" s="1667"/>
      <c r="FT11" s="1667"/>
      <c r="FU11" s="1667"/>
      <c r="FV11" s="1667"/>
      <c r="FW11" s="1667"/>
      <c r="FX11" s="1667"/>
      <c r="FY11" s="1667"/>
      <c r="FZ11" s="1667"/>
      <c r="GA11" s="1667"/>
      <c r="GB11" s="1667"/>
      <c r="GC11" s="1667"/>
      <c r="GD11" s="1667"/>
      <c r="GE11" s="1667"/>
      <c r="GF11" s="1667"/>
      <c r="GG11" s="1667"/>
      <c r="GH11" s="1667"/>
      <c r="GI11" s="1667"/>
      <c r="GJ11" s="1667"/>
      <c r="GK11" s="1667"/>
      <c r="GL11" s="1667"/>
      <c r="GM11" s="1667"/>
      <c r="GN11" s="1667"/>
      <c r="GO11" s="1667"/>
      <c r="GP11" s="1667"/>
      <c r="GQ11" s="1667"/>
      <c r="GR11" s="1667"/>
      <c r="GS11" s="1667"/>
      <c r="GT11" s="1667"/>
      <c r="GU11" s="1667"/>
      <c r="GV11" s="1667"/>
      <c r="GW11" s="1667"/>
      <c r="GX11" s="1667"/>
      <c r="GY11" s="1667"/>
      <c r="GZ11" s="1667"/>
      <c r="HA11" s="1667"/>
      <c r="HB11" s="1667"/>
      <c r="HC11" s="1667"/>
      <c r="HD11" s="1667"/>
      <c r="HE11" s="1667"/>
      <c r="HF11" s="1667"/>
      <c r="HG11" s="1667"/>
      <c r="HH11" s="1667"/>
      <c r="HI11" s="1667"/>
      <c r="HJ11" s="1667"/>
      <c r="HK11" s="1667"/>
      <c r="HL11" s="1667"/>
      <c r="HM11" s="1667"/>
      <c r="HN11" s="1667"/>
      <c r="HO11" s="1667"/>
      <c r="HP11" s="1667"/>
      <c r="HQ11" s="1667"/>
      <c r="HR11" s="1667"/>
      <c r="HS11" s="1667"/>
      <c r="HT11" s="1667"/>
      <c r="HU11" s="1667"/>
      <c r="HV11" s="1667"/>
      <c r="HW11" s="1667"/>
      <c r="HX11" s="1667"/>
      <c r="HY11" s="1667"/>
      <c r="HZ11" s="1667"/>
      <c r="IA11" s="1667"/>
      <c r="IB11" s="1667"/>
      <c r="IC11" s="1667"/>
      <c r="ID11" s="1667"/>
      <c r="IE11" s="1667"/>
      <c r="IF11" s="1667"/>
      <c r="IG11" s="1667"/>
      <c r="IH11" s="1667"/>
      <c r="II11" s="1667"/>
      <c r="IJ11" s="1667"/>
      <c r="IK11" s="1667"/>
      <c r="IL11" s="1667"/>
      <c r="IM11" s="1667"/>
      <c r="IN11" s="1667"/>
      <c r="IO11" s="1667"/>
      <c r="IP11" s="1667"/>
      <c r="IQ11" s="1667"/>
      <c r="IR11" s="1667"/>
      <c r="IS11" s="1667"/>
      <c r="IT11" s="1667"/>
      <c r="IU11" s="1667"/>
      <c r="IV11" s="1667"/>
    </row>
    <row r="12" spans="1:257">
      <c r="A12" s="1668"/>
      <c r="B12" s="1669"/>
      <c r="C12" s="1670"/>
      <c r="D12" s="1671" t="s">
        <v>1319</v>
      </c>
      <c r="E12" s="1671" t="s">
        <v>1320</v>
      </c>
      <c r="F12" s="1671" t="s">
        <v>1321</v>
      </c>
      <c r="G12" s="1671" t="s">
        <v>1322</v>
      </c>
      <c r="H12" s="1671" t="s">
        <v>1304</v>
      </c>
      <c r="I12" s="1672" t="s">
        <v>1323</v>
      </c>
      <c r="J12" s="1672" t="s">
        <v>1323</v>
      </c>
      <c r="K12" s="1668"/>
      <c r="L12" s="1669"/>
      <c r="M12" s="1670"/>
      <c r="N12" s="1669"/>
      <c r="O12" s="1672" t="s">
        <v>1324</v>
      </c>
      <c r="P12" s="1672">
        <v>0.5</v>
      </c>
      <c r="Q12" s="1672">
        <v>1</v>
      </c>
      <c r="R12" s="1672">
        <v>2</v>
      </c>
      <c r="S12" s="1672">
        <v>3</v>
      </c>
      <c r="T12" s="1672">
        <v>5</v>
      </c>
      <c r="U12" s="1672">
        <v>1</v>
      </c>
      <c r="V12" s="1672">
        <v>3</v>
      </c>
      <c r="W12" s="1672">
        <v>5</v>
      </c>
      <c r="X12" s="1669"/>
      <c r="Y12" s="1669"/>
      <c r="Z12" s="1669"/>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3"/>
      <c r="CF12" s="1673"/>
      <c r="CG12" s="1673"/>
      <c r="CH12" s="1673"/>
      <c r="CI12" s="1673"/>
      <c r="CJ12" s="1673"/>
      <c r="CK12" s="1673"/>
      <c r="CL12" s="1673"/>
      <c r="CM12" s="1673"/>
      <c r="CN12" s="1673"/>
      <c r="CO12" s="1673"/>
      <c r="CP12" s="1673"/>
      <c r="CQ12" s="1673"/>
      <c r="CR12" s="1673"/>
      <c r="CS12" s="1673"/>
      <c r="CT12" s="1673"/>
      <c r="CU12" s="1673"/>
      <c r="CV12" s="1673"/>
      <c r="CW12" s="1673"/>
      <c r="CX12" s="1673"/>
      <c r="CY12" s="1673"/>
      <c r="CZ12" s="1673"/>
      <c r="DA12" s="1673"/>
      <c r="DB12" s="1673"/>
      <c r="DC12" s="1673"/>
      <c r="DD12" s="1673"/>
      <c r="DE12" s="1673"/>
      <c r="DF12" s="1673"/>
      <c r="DG12" s="1673"/>
      <c r="DH12" s="1673"/>
      <c r="DI12" s="1673"/>
      <c r="DJ12" s="1673"/>
      <c r="DK12" s="1673"/>
      <c r="DL12" s="1673"/>
      <c r="DM12" s="1673"/>
      <c r="DN12" s="1673"/>
      <c r="DO12" s="1673"/>
      <c r="DP12" s="1673"/>
      <c r="DQ12" s="1673"/>
      <c r="DR12" s="1673"/>
      <c r="DS12" s="1673"/>
      <c r="DT12" s="1673"/>
      <c r="DU12" s="1673"/>
      <c r="DV12" s="1673"/>
      <c r="DW12" s="1673"/>
      <c r="DX12" s="1673"/>
      <c r="DY12" s="1673"/>
      <c r="DZ12" s="1673"/>
      <c r="EA12" s="1673"/>
      <c r="EB12" s="1673"/>
      <c r="EC12" s="1673"/>
      <c r="ED12" s="1673"/>
      <c r="EE12" s="1673"/>
      <c r="EF12" s="1673"/>
      <c r="EG12" s="1673"/>
      <c r="EH12" s="1673"/>
      <c r="EI12" s="1673"/>
      <c r="EJ12" s="1673"/>
      <c r="EK12" s="1673"/>
      <c r="EL12" s="1673"/>
      <c r="EM12" s="1673"/>
      <c r="EN12" s="1673"/>
      <c r="EO12" s="1673"/>
      <c r="EP12" s="1673"/>
      <c r="EQ12" s="1673"/>
      <c r="ER12" s="1673"/>
      <c r="ES12" s="1673"/>
      <c r="ET12" s="1673"/>
      <c r="EU12" s="1673"/>
      <c r="EV12" s="1673"/>
      <c r="EW12" s="1673"/>
      <c r="EX12" s="1673"/>
      <c r="EY12" s="1673"/>
      <c r="EZ12" s="1673"/>
      <c r="FA12" s="1673"/>
      <c r="FB12" s="1673"/>
      <c r="FC12" s="1673"/>
      <c r="FD12" s="1673"/>
      <c r="FE12" s="1673"/>
      <c r="FF12" s="1673"/>
      <c r="FG12" s="1673"/>
      <c r="FH12" s="1673"/>
      <c r="FI12" s="1673"/>
      <c r="FJ12" s="1673"/>
      <c r="FK12" s="1673"/>
      <c r="FL12" s="1673"/>
      <c r="FM12" s="1673"/>
      <c r="FN12" s="1673"/>
      <c r="FO12" s="1673"/>
      <c r="FP12" s="1673"/>
      <c r="FQ12" s="1673"/>
      <c r="FR12" s="1673"/>
      <c r="FS12" s="1673"/>
      <c r="FT12" s="1673"/>
      <c r="FU12" s="1673"/>
      <c r="FV12" s="1673"/>
      <c r="FW12" s="1673"/>
      <c r="FX12" s="1673"/>
      <c r="FY12" s="1673"/>
      <c r="FZ12" s="1673"/>
      <c r="GA12" s="1673"/>
      <c r="GB12" s="1673"/>
      <c r="GC12" s="1673"/>
      <c r="GD12" s="1673"/>
      <c r="GE12" s="1673"/>
      <c r="GF12" s="1673"/>
      <c r="GG12" s="1673"/>
      <c r="GH12" s="1673"/>
      <c r="GI12" s="1673"/>
      <c r="GJ12" s="1673"/>
      <c r="GK12" s="1673"/>
      <c r="GL12" s="1673"/>
      <c r="GM12" s="1673"/>
      <c r="GN12" s="1673"/>
      <c r="GO12" s="1673"/>
      <c r="GP12" s="1673"/>
      <c r="GQ12" s="1673"/>
      <c r="GR12" s="1673"/>
      <c r="GS12" s="1673"/>
      <c r="GT12" s="1673"/>
      <c r="GU12" s="1673"/>
      <c r="GV12" s="1673"/>
      <c r="GW12" s="1673"/>
      <c r="GX12" s="1673"/>
      <c r="GY12" s="1673"/>
      <c r="GZ12" s="1673"/>
      <c r="HA12" s="1673"/>
      <c r="HB12" s="1673"/>
      <c r="HC12" s="1673"/>
      <c r="HD12" s="1673"/>
      <c r="HE12" s="1673"/>
      <c r="HF12" s="1673"/>
      <c r="HG12" s="1673"/>
      <c r="HH12" s="1673"/>
      <c r="HI12" s="1673"/>
      <c r="HJ12" s="1673"/>
      <c r="HK12" s="1673"/>
      <c r="HL12" s="1673"/>
      <c r="HM12" s="1673"/>
      <c r="HN12" s="1673"/>
      <c r="HO12" s="1673"/>
      <c r="HP12" s="1673"/>
      <c r="HQ12" s="1673"/>
      <c r="HR12" s="1673"/>
      <c r="HS12" s="1673"/>
      <c r="HT12" s="1673"/>
      <c r="HU12" s="1673"/>
      <c r="HV12" s="1673"/>
      <c r="HW12" s="1673"/>
      <c r="HX12" s="1673"/>
      <c r="HY12" s="1673"/>
      <c r="HZ12" s="1673"/>
      <c r="IA12" s="1673"/>
      <c r="IB12" s="1673"/>
      <c r="IC12" s="1673"/>
      <c r="ID12" s="1673"/>
      <c r="IE12" s="1673"/>
      <c r="IF12" s="1673"/>
      <c r="IG12" s="1673"/>
      <c r="IH12" s="1673"/>
      <c r="II12" s="1673"/>
      <c r="IJ12" s="1673"/>
      <c r="IK12" s="1673"/>
      <c r="IL12" s="1673"/>
      <c r="IM12" s="1673"/>
      <c r="IN12" s="1673"/>
      <c r="IO12" s="1673"/>
      <c r="IP12" s="1673"/>
      <c r="IQ12" s="1673"/>
      <c r="IR12" s="1673"/>
      <c r="IS12" s="1673"/>
      <c r="IT12" s="1673"/>
      <c r="IU12" s="1673"/>
      <c r="IV12" s="1673"/>
    </row>
    <row r="13" spans="1:257" ht="14.25">
      <c r="A13" s="1674"/>
      <c r="B13" s="1675" t="s">
        <v>1325</v>
      </c>
      <c r="C13" s="1676">
        <v>42301</v>
      </c>
      <c r="D13" s="1677">
        <v>4.3499999999999996</v>
      </c>
      <c r="E13" s="1677">
        <v>4.3499999999999996</v>
      </c>
      <c r="F13" s="1677">
        <v>4.75</v>
      </c>
      <c r="G13" s="1677">
        <v>4.75</v>
      </c>
      <c r="H13" s="1677">
        <v>4.9000000000000004</v>
      </c>
      <c r="I13" s="1677">
        <v>2.75</v>
      </c>
      <c r="J13" s="1677">
        <v>3.25</v>
      </c>
      <c r="K13" s="1674"/>
      <c r="L13" s="1675" t="s">
        <v>1325</v>
      </c>
      <c r="M13" s="1678">
        <v>42301</v>
      </c>
      <c r="N13" s="1677">
        <v>0.35</v>
      </c>
      <c r="O13" s="1677">
        <v>1.1000000000000001</v>
      </c>
      <c r="P13" s="1677">
        <v>1.3</v>
      </c>
      <c r="Q13" s="1677">
        <v>1.5</v>
      </c>
      <c r="R13" s="1677">
        <v>2.1</v>
      </c>
      <c r="S13" s="1677">
        <v>2.75</v>
      </c>
      <c r="T13" s="1677"/>
      <c r="U13" s="1677"/>
      <c r="V13" s="1677"/>
      <c r="W13" s="1677"/>
      <c r="X13" s="1677"/>
      <c r="Y13" s="1677"/>
      <c r="Z13" s="1677"/>
      <c r="AA13" s="1679"/>
      <c r="AB13" s="1679"/>
      <c r="AC13" s="1679"/>
      <c r="AD13" s="1679"/>
      <c r="AE13" s="1679"/>
      <c r="AF13" s="1679"/>
      <c r="AG13" s="1679"/>
      <c r="AH13" s="1679"/>
      <c r="AI13" s="1679"/>
      <c r="AJ13" s="1679"/>
      <c r="AK13" s="1679"/>
      <c r="AL13" s="1679"/>
      <c r="AM13" s="1679"/>
      <c r="AN13" s="1679"/>
      <c r="AO13" s="1679"/>
      <c r="AP13" s="1679"/>
      <c r="AQ13" s="1679"/>
      <c r="AR13" s="1679"/>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c r="BP13" s="1679"/>
      <c r="BQ13" s="1679"/>
      <c r="BR13" s="1679"/>
      <c r="BS13" s="1679"/>
      <c r="BT13" s="1679"/>
      <c r="BU13" s="1679"/>
      <c r="BV13" s="1679"/>
      <c r="BW13" s="1679"/>
      <c r="BX13" s="1679"/>
      <c r="BY13" s="1679"/>
      <c r="BZ13" s="1679"/>
      <c r="CA13" s="1679"/>
      <c r="CB13" s="1679"/>
      <c r="CC13" s="1679"/>
      <c r="CD13" s="1679"/>
      <c r="CE13" s="1679"/>
      <c r="CF13" s="1679"/>
      <c r="CG13" s="1679"/>
      <c r="CH13" s="1679"/>
      <c r="CI13" s="1679"/>
      <c r="CJ13" s="1679"/>
      <c r="CK13" s="1679"/>
      <c r="CL13" s="1679"/>
      <c r="CM13" s="1679"/>
      <c r="CN13" s="1679"/>
      <c r="CO13" s="1679"/>
      <c r="CP13" s="1679"/>
      <c r="CQ13" s="1679"/>
      <c r="CR13" s="1679"/>
      <c r="CS13" s="1679"/>
      <c r="CT13" s="1679"/>
      <c r="CU13" s="1679"/>
      <c r="CV13" s="1679"/>
      <c r="CW13" s="1679"/>
      <c r="CX13" s="1679"/>
      <c r="CY13" s="1679"/>
      <c r="CZ13" s="1679"/>
      <c r="DA13" s="1679"/>
      <c r="DB13" s="1679"/>
      <c r="DC13" s="1679"/>
      <c r="DD13" s="1679"/>
      <c r="DE13" s="1679"/>
      <c r="DF13" s="1679"/>
      <c r="DG13" s="1679"/>
      <c r="DH13" s="1679"/>
      <c r="DI13" s="1679"/>
      <c r="DJ13" s="1679"/>
      <c r="DK13" s="1679"/>
      <c r="DL13" s="1679"/>
      <c r="DM13" s="1679"/>
      <c r="DN13" s="1679"/>
      <c r="DO13" s="1679"/>
      <c r="DP13" s="1679"/>
      <c r="DQ13" s="1679"/>
      <c r="DR13" s="1679"/>
      <c r="DS13" s="1679"/>
      <c r="DT13" s="1679"/>
      <c r="DU13" s="1679"/>
      <c r="DV13" s="1679"/>
      <c r="DW13" s="1679"/>
      <c r="DX13" s="1679"/>
      <c r="DY13" s="1679"/>
      <c r="DZ13" s="1679"/>
      <c r="EA13" s="1679"/>
      <c r="EB13" s="1679"/>
      <c r="EC13" s="1679"/>
      <c r="ED13" s="1679"/>
      <c r="EE13" s="1679"/>
      <c r="EF13" s="1679"/>
      <c r="EG13" s="1679"/>
      <c r="EH13" s="1679"/>
      <c r="EI13" s="1679"/>
      <c r="EJ13" s="1679"/>
      <c r="EK13" s="1679"/>
      <c r="EL13" s="1679"/>
      <c r="EM13" s="1679"/>
      <c r="EN13" s="1679"/>
      <c r="EO13" s="1679"/>
      <c r="EP13" s="1679"/>
      <c r="EQ13" s="1679"/>
      <c r="ER13" s="1679"/>
      <c r="ES13" s="1679"/>
      <c r="ET13" s="1679"/>
      <c r="EU13" s="1679"/>
      <c r="EV13" s="1679"/>
      <c r="EW13" s="1679"/>
      <c r="EX13" s="1679"/>
      <c r="EY13" s="1679"/>
      <c r="EZ13" s="1679"/>
      <c r="FA13" s="1679"/>
      <c r="FB13" s="1679"/>
      <c r="FC13" s="1679"/>
      <c r="FD13" s="1679"/>
      <c r="FE13" s="1679"/>
      <c r="FF13" s="1679"/>
      <c r="FG13" s="1679"/>
      <c r="FH13" s="1679"/>
      <c r="FI13" s="1679"/>
      <c r="FJ13" s="1679"/>
      <c r="FK13" s="1679"/>
      <c r="FL13" s="1679"/>
      <c r="FM13" s="1679"/>
      <c r="FN13" s="1679"/>
      <c r="FO13" s="1679"/>
      <c r="FP13" s="1679"/>
      <c r="FQ13" s="1679"/>
      <c r="FR13" s="1679"/>
      <c r="FS13" s="1679"/>
      <c r="FT13" s="1679"/>
      <c r="FU13" s="1679"/>
      <c r="FV13" s="1679"/>
      <c r="FW13" s="1679"/>
      <c r="FX13" s="1679"/>
      <c r="FY13" s="1679"/>
      <c r="FZ13" s="1679"/>
      <c r="GA13" s="1679"/>
      <c r="GB13" s="1679"/>
      <c r="GC13" s="1679"/>
      <c r="GD13" s="1679"/>
      <c r="GE13" s="1679"/>
      <c r="GF13" s="1679"/>
      <c r="GG13" s="1679"/>
      <c r="GH13" s="1679"/>
      <c r="GI13" s="1679"/>
      <c r="GJ13" s="1679"/>
      <c r="GK13" s="1679"/>
      <c r="GL13" s="1679"/>
      <c r="GM13" s="1679"/>
      <c r="GN13" s="1679"/>
      <c r="GO13" s="1679"/>
      <c r="GP13" s="1679"/>
      <c r="GQ13" s="1679"/>
      <c r="GR13" s="1679"/>
      <c r="GS13" s="1679"/>
      <c r="GT13" s="1679"/>
      <c r="GU13" s="1679"/>
      <c r="GV13" s="1679"/>
      <c r="GW13" s="1679"/>
      <c r="GX13" s="1679"/>
      <c r="GY13" s="1679"/>
      <c r="GZ13" s="1679"/>
      <c r="HA13" s="1679"/>
      <c r="HB13" s="1679"/>
      <c r="HC13" s="1679"/>
      <c r="HD13" s="1679"/>
      <c r="HE13" s="1679"/>
      <c r="HF13" s="1679"/>
      <c r="HG13" s="1679"/>
      <c r="HH13" s="1679"/>
      <c r="HI13" s="1679"/>
      <c r="HJ13" s="1679"/>
      <c r="HK13" s="1679"/>
      <c r="HL13" s="1679"/>
      <c r="HM13" s="1679"/>
      <c r="HN13" s="1679"/>
      <c r="HO13" s="1679"/>
      <c r="HP13" s="1679"/>
      <c r="HQ13" s="1679"/>
      <c r="HR13" s="1679"/>
      <c r="HS13" s="1679"/>
      <c r="HT13" s="1679"/>
      <c r="HU13" s="1679"/>
      <c r="HV13" s="1679"/>
      <c r="HW13" s="1679"/>
      <c r="HX13" s="1679"/>
      <c r="HY13" s="1679"/>
      <c r="HZ13" s="1679"/>
      <c r="IA13" s="1679"/>
      <c r="IB13" s="1679"/>
      <c r="IC13" s="1679"/>
      <c r="ID13" s="1679"/>
      <c r="IE13" s="1679"/>
      <c r="IF13" s="1679"/>
      <c r="IG13" s="1679"/>
      <c r="IH13" s="1679"/>
      <c r="II13" s="1679"/>
      <c r="IJ13" s="1679"/>
      <c r="IK13" s="1679"/>
      <c r="IL13" s="1679"/>
      <c r="IM13" s="1679"/>
      <c r="IN13" s="1679"/>
      <c r="IO13" s="1679"/>
      <c r="IP13" s="1679"/>
      <c r="IQ13" s="1679"/>
      <c r="IR13" s="1679"/>
      <c r="IS13" s="1679"/>
      <c r="IT13" s="1679"/>
      <c r="IU13" s="1679"/>
      <c r="IV13" s="1679"/>
      <c r="IW13" s="1680"/>
    </row>
    <row r="14" spans="1:257">
      <c r="B14" s="1681"/>
      <c r="C14" s="1682">
        <v>42242</v>
      </c>
      <c r="D14" s="1681">
        <v>4.5999999999999996</v>
      </c>
      <c r="E14" s="1681">
        <v>4.5999999999999996</v>
      </c>
      <c r="F14" s="1681">
        <v>5</v>
      </c>
      <c r="G14" s="1681">
        <v>5</v>
      </c>
      <c r="H14" s="1681">
        <v>5.15</v>
      </c>
      <c r="I14" s="1681">
        <v>2.75</v>
      </c>
      <c r="J14" s="1681">
        <v>3.25</v>
      </c>
      <c r="L14" s="1681"/>
      <c r="M14" s="1682">
        <v>42242</v>
      </c>
      <c r="N14" s="1681">
        <v>0.35</v>
      </c>
      <c r="O14" s="1681">
        <v>1.35</v>
      </c>
      <c r="P14" s="1681">
        <v>1.55</v>
      </c>
      <c r="Q14" s="1681">
        <v>1.75</v>
      </c>
      <c r="R14" s="1681">
        <v>2.35</v>
      </c>
      <c r="S14" s="1681">
        <v>3</v>
      </c>
      <c r="T14" s="1681"/>
      <c r="U14" s="1681"/>
      <c r="V14" s="1681"/>
      <c r="W14" s="1681"/>
      <c r="X14" s="1681"/>
      <c r="Y14" s="1681"/>
      <c r="Z14" s="1681"/>
    </row>
    <row r="15" spans="1:257">
      <c r="B15" s="1681"/>
      <c r="C15" s="1682">
        <v>42183</v>
      </c>
      <c r="D15" s="1681">
        <v>4.8499999999999996</v>
      </c>
      <c r="E15" s="1681">
        <v>4.8499999999999996</v>
      </c>
      <c r="F15" s="1681">
        <v>5.25</v>
      </c>
      <c r="G15" s="1681">
        <v>5.25</v>
      </c>
      <c r="H15" s="1681">
        <v>5.4</v>
      </c>
      <c r="I15" s="1681">
        <v>3</v>
      </c>
      <c r="J15" s="1681">
        <v>3.5</v>
      </c>
      <c r="L15" s="1681"/>
      <c r="M15" s="1682">
        <v>42183</v>
      </c>
      <c r="N15" s="1681">
        <v>0.35</v>
      </c>
      <c r="O15" s="1681">
        <v>1.6</v>
      </c>
      <c r="P15" s="1681">
        <v>1.8</v>
      </c>
      <c r="Q15" s="1681">
        <v>2</v>
      </c>
      <c r="R15" s="1681">
        <v>2.6</v>
      </c>
      <c r="S15" s="1681">
        <v>3.25</v>
      </c>
      <c r="T15" s="1681"/>
      <c r="U15" s="1681"/>
      <c r="V15" s="1681"/>
      <c r="W15" s="1681"/>
      <c r="X15" s="1681"/>
      <c r="Y15" s="1681"/>
      <c r="Z15" s="1681"/>
    </row>
    <row r="16" spans="1:257">
      <c r="B16" s="1681"/>
      <c r="C16" s="1682">
        <v>42135</v>
      </c>
      <c r="D16" s="1681">
        <v>5.0999999999999996</v>
      </c>
      <c r="E16" s="1681">
        <v>5.0999999999999996</v>
      </c>
      <c r="F16" s="1681">
        <v>5.5</v>
      </c>
      <c r="G16" s="1681">
        <v>5.5</v>
      </c>
      <c r="H16" s="1681">
        <v>5.65</v>
      </c>
      <c r="I16" s="1681">
        <v>3.25</v>
      </c>
      <c r="J16" s="1681">
        <v>3.75</v>
      </c>
      <c r="L16" s="1681"/>
      <c r="M16" s="1682">
        <v>42135</v>
      </c>
      <c r="N16" s="1681">
        <v>0.35</v>
      </c>
      <c r="O16" s="1681">
        <v>1.85</v>
      </c>
      <c r="P16" s="1681">
        <v>2.0499999999999998</v>
      </c>
      <c r="Q16" s="1681">
        <v>2.25</v>
      </c>
      <c r="R16" s="1681">
        <v>2.85</v>
      </c>
      <c r="S16" s="1681">
        <v>3.5</v>
      </c>
      <c r="T16" s="1681"/>
      <c r="U16" s="1681"/>
      <c r="V16" s="1681"/>
      <c r="W16" s="1681"/>
      <c r="X16" s="1681"/>
      <c r="Y16" s="1681"/>
      <c r="Z16" s="1681"/>
    </row>
    <row r="17" spans="2:26">
      <c r="B17" s="1681"/>
      <c r="C17" s="1682">
        <v>42064</v>
      </c>
      <c r="D17" s="1681">
        <v>5.35</v>
      </c>
      <c r="E17" s="1681">
        <v>5.35</v>
      </c>
      <c r="F17" s="1681">
        <v>5.75</v>
      </c>
      <c r="G17" s="1681">
        <v>5.75</v>
      </c>
      <c r="H17" s="1681">
        <v>5.9</v>
      </c>
      <c r="I17" s="1681"/>
      <c r="J17" s="1681"/>
      <c r="L17" s="1681"/>
      <c r="M17" s="1682">
        <v>42064</v>
      </c>
      <c r="N17" s="1681">
        <v>0.35</v>
      </c>
      <c r="O17" s="1681">
        <v>2.1</v>
      </c>
      <c r="P17" s="1681">
        <v>2.2999999999999998</v>
      </c>
      <c r="Q17" s="1681">
        <v>2.5</v>
      </c>
      <c r="R17" s="1681">
        <v>3.1</v>
      </c>
      <c r="S17" s="1681">
        <v>3.75</v>
      </c>
      <c r="T17" s="1681">
        <v>4.5</v>
      </c>
      <c r="U17" s="1681">
        <v>2.35</v>
      </c>
      <c r="V17" s="1681">
        <v>2.5499999999999998</v>
      </c>
      <c r="W17" s="1681">
        <v>2.75</v>
      </c>
      <c r="X17" s="1681"/>
      <c r="Y17" s="1681">
        <v>0.8</v>
      </c>
      <c r="Z17" s="1681">
        <v>1.35</v>
      </c>
    </row>
    <row r="18" spans="2:26" ht="15">
      <c r="B18" s="1681"/>
      <c r="C18" s="1682">
        <v>41965</v>
      </c>
      <c r="D18" s="1681">
        <v>5.6</v>
      </c>
      <c r="E18" s="1681">
        <v>5.6</v>
      </c>
      <c r="F18" s="1681">
        <v>6</v>
      </c>
      <c r="G18" s="1681">
        <v>6</v>
      </c>
      <c r="H18" s="1681">
        <v>6.15</v>
      </c>
      <c r="I18" s="1681"/>
      <c r="J18" s="1681"/>
      <c r="L18" s="1681"/>
      <c r="M18" s="1682">
        <v>41965</v>
      </c>
      <c r="N18" s="1681">
        <v>0.35</v>
      </c>
      <c r="O18" s="1681">
        <v>2.35</v>
      </c>
      <c r="P18" s="1681">
        <v>2.5499999999999998</v>
      </c>
      <c r="Q18" s="1681">
        <v>2.75</v>
      </c>
      <c r="R18" s="1681">
        <v>3.35</v>
      </c>
      <c r="S18" s="1681">
        <v>4</v>
      </c>
      <c r="T18" s="1681">
        <v>4.75</v>
      </c>
      <c r="U18" s="1683">
        <v>2.35</v>
      </c>
      <c r="V18" s="1683">
        <v>2.5499999999999998</v>
      </c>
      <c r="W18" s="1683">
        <v>2.75</v>
      </c>
      <c r="X18" s="1681"/>
      <c r="Y18" s="1683">
        <v>0.8</v>
      </c>
      <c r="Z18" s="1683">
        <v>1.35</v>
      </c>
    </row>
    <row r="19" spans="2:26">
      <c r="B19" s="1681"/>
      <c r="C19" s="1682">
        <v>41096</v>
      </c>
      <c r="D19" s="1681">
        <v>5.6</v>
      </c>
      <c r="E19" s="1681">
        <v>6</v>
      </c>
      <c r="F19" s="1681">
        <v>6.15</v>
      </c>
      <c r="G19" s="1681">
        <v>6.4</v>
      </c>
      <c r="H19" s="1681">
        <v>6.55</v>
      </c>
      <c r="I19" s="1681">
        <v>4</v>
      </c>
      <c r="J19" s="1681">
        <v>4.5</v>
      </c>
      <c r="L19" s="1681"/>
      <c r="M19" s="1682">
        <v>41096</v>
      </c>
      <c r="N19" s="1681">
        <v>0.35</v>
      </c>
      <c r="O19" s="1681">
        <v>2.6</v>
      </c>
      <c r="P19" s="1681">
        <v>2.8</v>
      </c>
      <c r="Q19" s="1681">
        <v>3</v>
      </c>
      <c r="R19" s="1681">
        <v>3.75</v>
      </c>
      <c r="S19" s="1681">
        <v>4.25</v>
      </c>
      <c r="T19" s="1681">
        <v>4.75</v>
      </c>
      <c r="U19" s="1681">
        <v>2.85</v>
      </c>
      <c r="V19" s="1681">
        <v>2.9</v>
      </c>
      <c r="W19" s="1681">
        <v>3</v>
      </c>
      <c r="X19" s="1681">
        <v>1.1499999999999999</v>
      </c>
      <c r="Y19" s="1681">
        <v>0.8</v>
      </c>
      <c r="Z19" s="1681">
        <v>1.35</v>
      </c>
    </row>
    <row r="20" spans="2:26">
      <c r="B20" s="1681"/>
      <c r="C20" s="1682">
        <v>41068</v>
      </c>
      <c r="D20" s="1681">
        <v>5.85</v>
      </c>
      <c r="E20" s="1681">
        <v>6.31</v>
      </c>
      <c r="F20" s="1681">
        <v>6.4</v>
      </c>
      <c r="G20" s="1681">
        <v>6.65</v>
      </c>
      <c r="H20" s="1681">
        <v>6.8</v>
      </c>
      <c r="I20" s="1681">
        <v>4.2</v>
      </c>
      <c r="J20" s="1681">
        <v>4.7</v>
      </c>
      <c r="L20" s="1681"/>
      <c r="M20" s="1682">
        <v>41068</v>
      </c>
      <c r="N20" s="1681">
        <v>0.4</v>
      </c>
      <c r="O20" s="1681">
        <v>2.85</v>
      </c>
      <c r="P20" s="1681">
        <v>3.05</v>
      </c>
      <c r="Q20" s="1681">
        <v>3.25</v>
      </c>
      <c r="R20" s="1681">
        <v>4.0999999999999996</v>
      </c>
      <c r="S20" s="1681">
        <v>4.6500000000000004</v>
      </c>
      <c r="T20" s="1681">
        <v>5.0999999999999996</v>
      </c>
      <c r="U20" s="1681">
        <v>3.1</v>
      </c>
      <c r="V20" s="1681">
        <v>3.15</v>
      </c>
      <c r="W20" s="1681">
        <v>3.25</v>
      </c>
      <c r="X20" s="1681">
        <v>1.31</v>
      </c>
      <c r="Y20" s="1681">
        <v>0.94</v>
      </c>
      <c r="Z20" s="1681">
        <v>1.49</v>
      </c>
    </row>
    <row r="21" spans="2:26">
      <c r="B21" s="1681"/>
      <c r="C21" s="1682">
        <v>40731</v>
      </c>
      <c r="D21" s="1681">
        <v>6.1</v>
      </c>
      <c r="E21" s="1681">
        <v>6.56</v>
      </c>
      <c r="F21" s="1681">
        <v>6.65</v>
      </c>
      <c r="G21" s="1681">
        <v>6.9</v>
      </c>
      <c r="H21" s="1681">
        <v>7.05</v>
      </c>
      <c r="I21" s="1681">
        <v>4.45</v>
      </c>
      <c r="J21" s="1681">
        <v>4.9000000000000004</v>
      </c>
      <c r="L21" s="1681"/>
      <c r="M21" s="1682">
        <v>40731</v>
      </c>
      <c r="N21" s="1681">
        <v>0.5</v>
      </c>
      <c r="O21" s="1681">
        <v>3.1</v>
      </c>
      <c r="P21" s="1681">
        <v>3.3</v>
      </c>
      <c r="Q21" s="1681">
        <v>3.5</v>
      </c>
      <c r="R21" s="1681">
        <v>4.4000000000000004</v>
      </c>
      <c r="S21" s="1681">
        <v>5</v>
      </c>
      <c r="T21" s="1681">
        <v>5.5</v>
      </c>
      <c r="U21" s="1681">
        <v>3.1</v>
      </c>
      <c r="V21" s="1681">
        <v>3.3</v>
      </c>
      <c r="W21" s="1681">
        <v>3.5</v>
      </c>
      <c r="X21" s="1681">
        <v>1.31</v>
      </c>
      <c r="Y21" s="1681">
        <v>0.95</v>
      </c>
      <c r="Z21" s="1681">
        <v>1.49</v>
      </c>
    </row>
    <row r="22" spans="2:26">
      <c r="B22" s="1681"/>
      <c r="C22" s="1682">
        <v>40639</v>
      </c>
      <c r="D22" s="1681">
        <v>5.85</v>
      </c>
      <c r="E22" s="1681">
        <v>6.31</v>
      </c>
      <c r="F22" s="1681">
        <v>6.4</v>
      </c>
      <c r="G22" s="1681">
        <v>6.65</v>
      </c>
      <c r="H22" s="1681">
        <v>6.8</v>
      </c>
      <c r="I22" s="1681">
        <v>4.2</v>
      </c>
      <c r="J22" s="1681">
        <v>4.7</v>
      </c>
      <c r="L22" s="1681"/>
      <c r="M22" s="1682">
        <v>40639</v>
      </c>
      <c r="N22" s="1681">
        <v>0.5</v>
      </c>
      <c r="O22" s="1681">
        <v>2.85</v>
      </c>
      <c r="P22" s="1681">
        <v>3.05</v>
      </c>
      <c r="Q22" s="1681">
        <v>3.25</v>
      </c>
      <c r="R22" s="1681">
        <v>4.1500000000000004</v>
      </c>
      <c r="S22" s="1681">
        <v>4.75</v>
      </c>
      <c r="T22" s="1681">
        <v>5.25</v>
      </c>
      <c r="U22" s="1681">
        <v>2.85</v>
      </c>
      <c r="V22" s="1681">
        <v>3.05</v>
      </c>
      <c r="W22" s="1681">
        <v>3.25</v>
      </c>
      <c r="X22" s="1681">
        <v>1.31</v>
      </c>
      <c r="Y22" s="1681">
        <v>0.95</v>
      </c>
      <c r="Z22" s="1681">
        <v>1.49</v>
      </c>
    </row>
    <row r="23" spans="2:26">
      <c r="B23" s="1681"/>
      <c r="C23" s="1682">
        <v>40583</v>
      </c>
      <c r="D23" s="1681">
        <v>5.6</v>
      </c>
      <c r="E23" s="1681">
        <v>6.06</v>
      </c>
      <c r="F23" s="1681">
        <v>6.1</v>
      </c>
      <c r="G23" s="1681">
        <v>6.45</v>
      </c>
      <c r="H23" s="1681">
        <v>6.6</v>
      </c>
      <c r="I23" s="1681">
        <v>4</v>
      </c>
      <c r="J23" s="1681">
        <v>4.5</v>
      </c>
      <c r="L23" s="1681"/>
      <c r="M23" s="1682">
        <v>40583</v>
      </c>
      <c r="N23" s="1681">
        <v>0.4</v>
      </c>
      <c r="O23" s="1681">
        <v>2.6</v>
      </c>
      <c r="P23" s="1681">
        <v>2.8</v>
      </c>
      <c r="Q23" s="1681">
        <v>3</v>
      </c>
      <c r="R23" s="1681">
        <v>3.9</v>
      </c>
      <c r="S23" s="1681">
        <v>4.5</v>
      </c>
      <c r="T23" s="1681">
        <v>5</v>
      </c>
      <c r="U23" s="1681">
        <v>2.6</v>
      </c>
      <c r="V23" s="1681">
        <v>2.8</v>
      </c>
      <c r="W23" s="1681">
        <v>3</v>
      </c>
      <c r="X23" s="1681">
        <v>1.21</v>
      </c>
      <c r="Y23" s="1681">
        <v>0.85</v>
      </c>
      <c r="Z23" s="1681">
        <v>1.39</v>
      </c>
    </row>
    <row r="24" spans="2:26">
      <c r="B24" s="1681"/>
      <c r="C24" s="1682">
        <v>40538</v>
      </c>
      <c r="D24" s="1681">
        <v>5.35</v>
      </c>
      <c r="E24" s="1681">
        <v>5.81</v>
      </c>
      <c r="F24" s="1681">
        <v>5.85</v>
      </c>
      <c r="G24" s="1681">
        <v>6.22</v>
      </c>
      <c r="H24" s="1681">
        <v>6.4</v>
      </c>
      <c r="I24" s="1681">
        <v>3.75</v>
      </c>
      <c r="J24" s="1681">
        <v>4.3</v>
      </c>
      <c r="L24" s="1681"/>
      <c r="M24" s="1682">
        <v>40538</v>
      </c>
      <c r="N24" s="1681">
        <v>0.36</v>
      </c>
      <c r="O24" s="1681">
        <v>2.25</v>
      </c>
      <c r="P24" s="1681">
        <v>2.5</v>
      </c>
      <c r="Q24" s="1681">
        <v>2.75</v>
      </c>
      <c r="R24" s="1681">
        <v>3.55</v>
      </c>
      <c r="S24" s="1681">
        <v>4.1500000000000004</v>
      </c>
      <c r="T24" s="1681">
        <v>4.55</v>
      </c>
      <c r="U24" s="1681">
        <v>2.16</v>
      </c>
      <c r="V24" s="1681">
        <v>2.5</v>
      </c>
      <c r="W24" s="1681">
        <v>2.85</v>
      </c>
      <c r="X24" s="1681">
        <v>1.17</v>
      </c>
      <c r="Y24" s="1681">
        <v>0.81</v>
      </c>
      <c r="Z24" s="1681">
        <v>1.35</v>
      </c>
    </row>
    <row r="25" spans="2:26">
      <c r="B25" s="1681"/>
      <c r="C25" s="1682">
        <v>40471</v>
      </c>
      <c r="D25" s="1681">
        <v>5.0999999999999996</v>
      </c>
      <c r="E25" s="1681">
        <v>5.56</v>
      </c>
      <c r="F25" s="1681">
        <v>5.6</v>
      </c>
      <c r="G25" s="1681">
        <v>5.96</v>
      </c>
      <c r="H25" s="1681">
        <v>6.14</v>
      </c>
      <c r="I25" s="1681">
        <v>3.5</v>
      </c>
      <c r="J25" s="1681">
        <v>4.05</v>
      </c>
      <c r="L25" s="1681"/>
      <c r="M25" s="1682">
        <v>40471</v>
      </c>
      <c r="N25" s="1681">
        <v>0.36</v>
      </c>
      <c r="O25" s="1681">
        <v>1.91</v>
      </c>
      <c r="P25" s="1681">
        <v>2.2000000000000002</v>
      </c>
      <c r="Q25" s="1681">
        <v>2.5</v>
      </c>
      <c r="R25" s="1681">
        <v>3.25</v>
      </c>
      <c r="S25" s="1681">
        <v>3.85</v>
      </c>
      <c r="T25" s="1681">
        <v>4.2</v>
      </c>
      <c r="U25" s="1681">
        <v>1.91</v>
      </c>
      <c r="V25" s="1681">
        <v>2.2000000000000002</v>
      </c>
      <c r="W25" s="1681">
        <v>2.5</v>
      </c>
      <c r="X25" s="1681">
        <v>1.17</v>
      </c>
      <c r="Y25" s="1681">
        <v>0.81</v>
      </c>
      <c r="Z25" s="1681">
        <v>1.35</v>
      </c>
    </row>
    <row r="26" spans="2:26">
      <c r="B26" s="1681"/>
      <c r="C26" s="1682">
        <v>39805</v>
      </c>
      <c r="D26" s="1681">
        <v>4.8600000000000003</v>
      </c>
      <c r="E26" s="1681">
        <v>5.31</v>
      </c>
      <c r="F26" s="1681">
        <v>5.4</v>
      </c>
      <c r="G26" s="1681">
        <v>5.76</v>
      </c>
      <c r="H26" s="1681">
        <v>5.94</v>
      </c>
      <c r="I26" s="1681">
        <v>3.33</v>
      </c>
      <c r="J26" s="1681">
        <v>3.87</v>
      </c>
      <c r="L26" s="1681"/>
      <c r="M26" s="1682">
        <v>39805</v>
      </c>
      <c r="N26" s="1681">
        <v>0.36</v>
      </c>
      <c r="O26" s="1681">
        <v>1.71</v>
      </c>
      <c r="P26" s="1681">
        <v>1.98</v>
      </c>
      <c r="Q26" s="1681">
        <v>2.25</v>
      </c>
      <c r="R26" s="1681">
        <v>2.79</v>
      </c>
      <c r="S26" s="1681">
        <v>3.33</v>
      </c>
      <c r="T26" s="1681">
        <v>3.6</v>
      </c>
      <c r="U26" s="1681">
        <v>1.71</v>
      </c>
      <c r="V26" s="1681">
        <v>1.98</v>
      </c>
      <c r="W26" s="1681">
        <v>2.25</v>
      </c>
      <c r="X26" s="1681">
        <v>1.17</v>
      </c>
      <c r="Y26" s="1681">
        <v>0.81</v>
      </c>
      <c r="Z26" s="1681">
        <v>1.35</v>
      </c>
    </row>
    <row r="27" spans="2:26">
      <c r="B27" s="1681"/>
      <c r="C27" s="1682">
        <v>39779</v>
      </c>
      <c r="D27" s="1681">
        <v>5.04</v>
      </c>
      <c r="E27" s="1681">
        <v>5.58</v>
      </c>
      <c r="F27" s="1681">
        <v>5.67</v>
      </c>
      <c r="G27" s="1681">
        <v>5.94</v>
      </c>
      <c r="H27" s="1681">
        <v>6.12</v>
      </c>
      <c r="I27" s="1681">
        <v>3.51</v>
      </c>
      <c r="J27" s="1681">
        <v>4.05</v>
      </c>
      <c r="L27" s="1681"/>
      <c r="M27" s="1682">
        <v>39779</v>
      </c>
      <c r="N27" s="1681">
        <v>0.36</v>
      </c>
      <c r="O27" s="1681">
        <v>1.98</v>
      </c>
      <c r="P27" s="1681">
        <v>2.25</v>
      </c>
      <c r="Q27" s="1681">
        <v>2.52</v>
      </c>
      <c r="R27" s="1681">
        <v>3.06</v>
      </c>
      <c r="S27" s="1681">
        <v>3.6</v>
      </c>
      <c r="T27" s="1681">
        <v>3.87</v>
      </c>
      <c r="U27" s="1681">
        <v>1.98</v>
      </c>
      <c r="V27" s="1681">
        <v>2.25</v>
      </c>
      <c r="W27" s="1681">
        <v>2.52</v>
      </c>
      <c r="X27" s="1681">
        <v>1.17</v>
      </c>
      <c r="Y27" s="1681">
        <v>0.81</v>
      </c>
      <c r="Z27" s="1681">
        <v>1.35</v>
      </c>
    </row>
    <row r="28" spans="2:26">
      <c r="B28" s="1681"/>
      <c r="C28" s="1682">
        <v>39751</v>
      </c>
      <c r="D28" s="1681">
        <v>6.03</v>
      </c>
      <c r="E28" s="1681">
        <v>6.66</v>
      </c>
      <c r="F28" s="1681">
        <v>6.75</v>
      </c>
      <c r="G28" s="1681">
        <v>7.02</v>
      </c>
      <c r="H28" s="1681">
        <v>7.2</v>
      </c>
      <c r="I28" s="1681">
        <v>4.05</v>
      </c>
      <c r="J28" s="1681">
        <v>4.59</v>
      </c>
      <c r="L28" s="1681"/>
      <c r="M28" s="1682">
        <v>39751</v>
      </c>
      <c r="N28" s="1681">
        <v>0.72</v>
      </c>
      <c r="O28" s="1681">
        <v>2.88</v>
      </c>
      <c r="P28" s="1681">
        <v>3.24</v>
      </c>
      <c r="Q28" s="1681">
        <v>3.6</v>
      </c>
      <c r="R28" s="1681">
        <v>4.1399999999999997</v>
      </c>
      <c r="S28" s="1681">
        <v>4.7699999999999996</v>
      </c>
      <c r="T28" s="1681">
        <v>5.13</v>
      </c>
      <c r="U28" s="1681">
        <v>2.88</v>
      </c>
      <c r="V28" s="1681">
        <v>3.24</v>
      </c>
      <c r="W28" s="1681">
        <v>3.6</v>
      </c>
      <c r="X28" s="1681">
        <v>1.53</v>
      </c>
      <c r="Y28" s="1681">
        <v>1.17</v>
      </c>
      <c r="Z28" s="1681">
        <v>1.71</v>
      </c>
    </row>
    <row r="29" spans="2:26">
      <c r="B29" s="1681"/>
      <c r="C29" s="1684">
        <v>39748</v>
      </c>
      <c r="D29" s="1681">
        <v>6.12</v>
      </c>
      <c r="E29" s="1681">
        <v>6.93</v>
      </c>
      <c r="F29" s="1681">
        <v>7.02</v>
      </c>
      <c r="G29" s="1681">
        <v>7.29</v>
      </c>
      <c r="H29" s="1681">
        <v>7.47</v>
      </c>
      <c r="I29" s="1681">
        <v>4.05</v>
      </c>
      <c r="J29" s="1681">
        <v>4.59</v>
      </c>
      <c r="L29" s="1681"/>
      <c r="M29" s="1684">
        <v>39736</v>
      </c>
      <c r="N29" s="1681">
        <v>0.72</v>
      </c>
      <c r="O29" s="1681">
        <v>3.15</v>
      </c>
      <c r="P29" s="1681">
        <v>3.51</v>
      </c>
      <c r="Q29" s="1681">
        <v>3.87</v>
      </c>
      <c r="R29" s="1681">
        <v>4.41</v>
      </c>
      <c r="S29" s="1681">
        <v>5.13</v>
      </c>
      <c r="T29" s="1681">
        <v>5.58</v>
      </c>
      <c r="U29" s="1681">
        <v>3.15</v>
      </c>
      <c r="V29" s="1681">
        <v>3.51</v>
      </c>
      <c r="W29" s="1681">
        <v>3.87</v>
      </c>
      <c r="X29" s="1681">
        <v>1.53</v>
      </c>
      <c r="Y29" s="1681">
        <v>1.17</v>
      </c>
      <c r="Z29" s="1681">
        <v>1.71</v>
      </c>
    </row>
    <row r="30" spans="2:26">
      <c r="B30" s="1681"/>
      <c r="C30" s="1682">
        <v>39730</v>
      </c>
      <c r="D30" s="1681">
        <v>6.12</v>
      </c>
      <c r="E30" s="1681">
        <v>6.93</v>
      </c>
      <c r="F30" s="1681">
        <v>7.02</v>
      </c>
      <c r="G30" s="1681">
        <v>7.29</v>
      </c>
      <c r="H30" s="1681">
        <v>7.47</v>
      </c>
      <c r="I30" s="1681">
        <v>4.32</v>
      </c>
      <c r="J30" s="1681">
        <v>4.8600000000000003</v>
      </c>
      <c r="L30" s="1681"/>
      <c r="M30" s="1682">
        <v>39730</v>
      </c>
      <c r="N30" s="1681">
        <v>0.72</v>
      </c>
      <c r="O30" s="1681">
        <v>3.15</v>
      </c>
      <c r="P30" s="1681">
        <v>3.51</v>
      </c>
      <c r="Q30" s="1681">
        <v>3.87</v>
      </c>
      <c r="R30" s="1681">
        <v>4.41</v>
      </c>
      <c r="S30" s="1681">
        <v>5.13</v>
      </c>
      <c r="T30" s="1681">
        <v>5.58</v>
      </c>
      <c r="U30" s="1681">
        <v>3.15</v>
      </c>
      <c r="V30" s="1681">
        <v>3.51</v>
      </c>
      <c r="W30" s="1681">
        <v>3.87</v>
      </c>
      <c r="X30" s="1681">
        <v>1.53</v>
      </c>
      <c r="Y30" s="1681">
        <v>1.17</v>
      </c>
      <c r="Z30" s="1681">
        <v>1.71</v>
      </c>
    </row>
    <row r="31" spans="2:26">
      <c r="B31" s="1681"/>
      <c r="C31" s="1682">
        <v>39707</v>
      </c>
      <c r="D31" s="1681">
        <v>6.21</v>
      </c>
      <c r="E31" s="1681">
        <v>7.2</v>
      </c>
      <c r="F31" s="1681">
        <v>7.29</v>
      </c>
      <c r="G31" s="1681">
        <v>7.56</v>
      </c>
      <c r="H31" s="1681">
        <v>7.74</v>
      </c>
      <c r="I31" s="1681">
        <v>4.59</v>
      </c>
      <c r="J31" s="1681">
        <v>5.13</v>
      </c>
      <c r="L31" s="1681"/>
      <c r="M31" s="1682">
        <v>39437</v>
      </c>
      <c r="N31" s="1681">
        <v>0.72</v>
      </c>
      <c r="O31" s="1681">
        <v>3.33</v>
      </c>
      <c r="P31" s="1681">
        <v>3.78</v>
      </c>
      <c r="Q31" s="1681">
        <v>4.1399999999999997</v>
      </c>
      <c r="R31" s="1681">
        <v>4.68</v>
      </c>
      <c r="S31" s="1681">
        <v>5.4</v>
      </c>
      <c r="T31" s="1681">
        <v>5.85</v>
      </c>
      <c r="U31" s="1681">
        <v>3.33</v>
      </c>
      <c r="V31" s="1681">
        <v>3.78</v>
      </c>
      <c r="W31" s="1681">
        <v>4.1399999999999997</v>
      </c>
      <c r="X31" s="1681">
        <v>1.53</v>
      </c>
      <c r="Y31" s="1681">
        <v>1.17</v>
      </c>
      <c r="Z31" s="1681">
        <v>1.71</v>
      </c>
    </row>
    <row r="32" spans="2:26">
      <c r="B32" s="1681"/>
      <c r="C32" s="1682">
        <v>39437</v>
      </c>
      <c r="D32" s="1681">
        <v>6.57</v>
      </c>
      <c r="E32" s="1681">
        <v>7.47</v>
      </c>
      <c r="F32" s="1681">
        <v>7.56</v>
      </c>
      <c r="G32" s="1681">
        <v>7.74</v>
      </c>
      <c r="H32" s="1681">
        <v>7.83</v>
      </c>
      <c r="I32" s="1681">
        <v>4.7699999999999996</v>
      </c>
      <c r="J32" s="1681">
        <v>5.22</v>
      </c>
      <c r="L32" s="1681"/>
      <c r="M32" s="1682">
        <v>39340</v>
      </c>
      <c r="N32" s="1681">
        <v>0.81</v>
      </c>
      <c r="O32" s="1681">
        <v>2.88</v>
      </c>
      <c r="P32" s="1681">
        <v>3.42</v>
      </c>
      <c r="Q32" s="1681">
        <v>3.87</v>
      </c>
      <c r="R32" s="1681">
        <v>4.5</v>
      </c>
      <c r="S32" s="1681">
        <v>5.22</v>
      </c>
      <c r="T32" s="1681">
        <v>5.76</v>
      </c>
      <c r="U32" s="1681">
        <v>2.88</v>
      </c>
      <c r="V32" s="1681">
        <v>3.42</v>
      </c>
      <c r="W32" s="1681">
        <v>3.87</v>
      </c>
      <c r="X32" s="1681">
        <v>1.53</v>
      </c>
      <c r="Y32" s="1681">
        <v>1.17</v>
      </c>
      <c r="Z32" s="1681">
        <v>1.71</v>
      </c>
    </row>
    <row r="33" spans="2:26">
      <c r="B33" s="1681"/>
      <c r="C33" s="1682">
        <v>39340</v>
      </c>
      <c r="D33" s="1681">
        <v>6.48</v>
      </c>
      <c r="E33" s="1681">
        <v>7.29</v>
      </c>
      <c r="F33" s="1681">
        <v>7.47</v>
      </c>
      <c r="G33" s="1681">
        <v>7.65</v>
      </c>
      <c r="H33" s="1681">
        <v>7.83</v>
      </c>
      <c r="I33" s="1681">
        <v>4.7699999999999996</v>
      </c>
      <c r="J33" s="1681">
        <v>5.22</v>
      </c>
      <c r="L33" s="1681"/>
      <c r="M33" s="1682">
        <v>39316</v>
      </c>
      <c r="N33" s="1681">
        <v>0.81</v>
      </c>
      <c r="O33" s="1681">
        <v>2.61</v>
      </c>
      <c r="P33" s="1681">
        <v>3.15</v>
      </c>
      <c r="Q33" s="1681">
        <v>3.6</v>
      </c>
      <c r="R33" s="1681">
        <v>4.2300000000000004</v>
      </c>
      <c r="S33" s="1681">
        <v>4.95</v>
      </c>
      <c r="T33" s="1681">
        <v>5.49</v>
      </c>
      <c r="U33" s="1681">
        <v>2.61</v>
      </c>
      <c r="V33" s="1681">
        <v>3.15</v>
      </c>
      <c r="W33" s="1681">
        <v>3.6</v>
      </c>
      <c r="X33" s="1681">
        <v>1.53</v>
      </c>
      <c r="Y33" s="1681">
        <v>1.17</v>
      </c>
      <c r="Z33" s="1681">
        <v>1.71</v>
      </c>
    </row>
    <row r="34" spans="2:26">
      <c r="B34" s="1681"/>
      <c r="C34" s="1682">
        <v>39316</v>
      </c>
      <c r="D34" s="1681">
        <v>6.21</v>
      </c>
      <c r="E34" s="1681">
        <v>7.02</v>
      </c>
      <c r="F34" s="1681">
        <v>7.2</v>
      </c>
      <c r="G34" s="1681">
        <v>7.38</v>
      </c>
      <c r="H34" s="1681">
        <v>7.56</v>
      </c>
      <c r="I34" s="1681">
        <v>4.59</v>
      </c>
      <c r="J34" s="1681">
        <v>5.04</v>
      </c>
      <c r="L34" s="1681"/>
      <c r="M34" s="1682">
        <v>39284</v>
      </c>
      <c r="N34" s="1681">
        <v>0.81</v>
      </c>
      <c r="O34" s="1681">
        <v>2.34</v>
      </c>
      <c r="P34" s="1681">
        <v>2.88</v>
      </c>
      <c r="Q34" s="1681">
        <v>3.33</v>
      </c>
      <c r="R34" s="1681">
        <v>3.96</v>
      </c>
      <c r="S34" s="1681">
        <v>4.68</v>
      </c>
      <c r="T34" s="1681">
        <v>5.22</v>
      </c>
      <c r="U34" s="1681">
        <v>2.34</v>
      </c>
      <c r="V34" s="1681">
        <v>2.88</v>
      </c>
      <c r="W34" s="1681">
        <v>3.33</v>
      </c>
      <c r="X34" s="1681">
        <v>1.53</v>
      </c>
      <c r="Y34" s="1681">
        <v>1.17</v>
      </c>
      <c r="Z34" s="1681">
        <v>1.71</v>
      </c>
    </row>
    <row r="35" spans="2:26">
      <c r="B35" s="1681"/>
      <c r="C35" s="1682">
        <v>39284</v>
      </c>
      <c r="D35" s="1681">
        <v>6.03</v>
      </c>
      <c r="E35" s="1681">
        <v>6.84</v>
      </c>
      <c r="F35" s="1681">
        <v>7.02</v>
      </c>
      <c r="G35" s="1681">
        <v>7.2</v>
      </c>
      <c r="H35" s="1681">
        <v>7.38</v>
      </c>
      <c r="I35" s="1681">
        <v>4.5</v>
      </c>
      <c r="J35" s="1681">
        <v>4.95</v>
      </c>
      <c r="L35" s="1681"/>
      <c r="M35" s="1682">
        <v>39221</v>
      </c>
      <c r="N35" s="1681">
        <v>0.72</v>
      </c>
      <c r="O35" s="1681">
        <v>2.0699999999999998</v>
      </c>
      <c r="P35" s="1681">
        <v>2.61</v>
      </c>
      <c r="Q35" s="1681">
        <v>3.06</v>
      </c>
      <c r="R35" s="1681">
        <v>3.69</v>
      </c>
      <c r="S35" s="1681">
        <v>4.41</v>
      </c>
      <c r="T35" s="1681">
        <v>4.95</v>
      </c>
      <c r="U35" s="1681">
        <v>2.0699999999999998</v>
      </c>
      <c r="V35" s="1681">
        <v>2.61</v>
      </c>
      <c r="W35" s="1681">
        <v>3.06</v>
      </c>
      <c r="X35" s="1681">
        <v>1.44</v>
      </c>
      <c r="Y35" s="1681">
        <v>1.08</v>
      </c>
      <c r="Z35" s="1681">
        <v>1.62</v>
      </c>
    </row>
    <row r="36" spans="2:26">
      <c r="B36" s="1681"/>
      <c r="C36" s="1682">
        <v>39221</v>
      </c>
      <c r="D36" s="1681">
        <v>5.85</v>
      </c>
      <c r="E36" s="1681">
        <v>6.57</v>
      </c>
      <c r="F36" s="1681">
        <v>6.75</v>
      </c>
      <c r="G36" s="1681">
        <v>6.93</v>
      </c>
      <c r="H36" s="1681">
        <v>7.2</v>
      </c>
      <c r="I36" s="1681">
        <v>4.41</v>
      </c>
      <c r="J36" s="1681">
        <v>4.8600000000000003</v>
      </c>
      <c r="L36" s="1681"/>
      <c r="M36" s="1682">
        <v>39159</v>
      </c>
      <c r="N36" s="1681">
        <v>0.72</v>
      </c>
      <c r="O36" s="1681">
        <v>1.98</v>
      </c>
      <c r="P36" s="1681">
        <v>2.4300000000000002</v>
      </c>
      <c r="Q36" s="1681">
        <v>2.79</v>
      </c>
      <c r="R36" s="1681">
        <v>3.33</v>
      </c>
      <c r="S36" s="1681">
        <v>3.96</v>
      </c>
      <c r="T36" s="1681">
        <v>4.41</v>
      </c>
      <c r="U36" s="1681">
        <v>1.98</v>
      </c>
      <c r="V36" s="1681">
        <v>2.4300000000000002</v>
      </c>
      <c r="W36" s="1681">
        <v>2.79</v>
      </c>
      <c r="X36" s="1681">
        <v>1.44</v>
      </c>
      <c r="Y36" s="1681">
        <v>1.08</v>
      </c>
      <c r="Z36" s="1681">
        <v>1.62</v>
      </c>
    </row>
    <row r="37" spans="2:26">
      <c r="B37" s="1681"/>
      <c r="C37" s="1682">
        <v>39159</v>
      </c>
      <c r="D37" s="1681">
        <v>5.67</v>
      </c>
      <c r="E37" s="1681">
        <v>6.39</v>
      </c>
      <c r="F37" s="1681">
        <v>6.57</v>
      </c>
      <c r="G37" s="1681">
        <v>6.75</v>
      </c>
      <c r="H37" s="1681">
        <v>7.11</v>
      </c>
      <c r="I37" s="1681">
        <v>4.32</v>
      </c>
      <c r="J37" s="1681">
        <v>4.7699999999999996</v>
      </c>
      <c r="L37" s="1681"/>
      <c r="M37" s="1682">
        <v>38948</v>
      </c>
      <c r="N37" s="1681">
        <v>0.72</v>
      </c>
      <c r="O37" s="1681">
        <v>1.8</v>
      </c>
      <c r="P37" s="1681">
        <v>2.25</v>
      </c>
      <c r="Q37" s="1681">
        <v>2.52</v>
      </c>
      <c r="R37" s="1681">
        <v>3.06</v>
      </c>
      <c r="S37" s="1681">
        <v>3.69</v>
      </c>
      <c r="T37" s="1681">
        <v>4.1399999999999997</v>
      </c>
      <c r="U37" s="1681">
        <v>1.8</v>
      </c>
      <c r="V37" s="1681">
        <v>2.25</v>
      </c>
      <c r="W37" s="1681">
        <v>2.52</v>
      </c>
      <c r="X37" s="1681">
        <v>1.44</v>
      </c>
      <c r="Y37" s="1681">
        <v>1.08</v>
      </c>
      <c r="Z37" s="1681">
        <v>1.62</v>
      </c>
    </row>
    <row r="38" spans="2:26">
      <c r="B38" s="1681"/>
      <c r="C38" s="1682">
        <v>38948</v>
      </c>
      <c r="D38" s="1681">
        <v>5.58</v>
      </c>
      <c r="E38" s="1681">
        <v>6.12</v>
      </c>
      <c r="F38" s="1681">
        <v>6.3</v>
      </c>
      <c r="G38" s="1681">
        <v>6.48</v>
      </c>
      <c r="H38" s="1681">
        <v>6.84</v>
      </c>
      <c r="I38" s="1681">
        <v>4.1399999999999997</v>
      </c>
      <c r="J38" s="1681">
        <v>4.59</v>
      </c>
      <c r="L38" s="1681"/>
      <c r="M38" s="1682">
        <v>38289</v>
      </c>
      <c r="N38" s="1681">
        <v>0.72</v>
      </c>
      <c r="O38" s="1681">
        <v>1.71</v>
      </c>
      <c r="P38" s="1681">
        <v>2.0699999999999998</v>
      </c>
      <c r="Q38" s="1681">
        <v>2.25</v>
      </c>
      <c r="R38" s="1681">
        <v>2.7</v>
      </c>
      <c r="S38" s="1681">
        <v>3.24</v>
      </c>
      <c r="T38" s="1681">
        <v>3.6</v>
      </c>
      <c r="U38" s="1681">
        <v>1.71</v>
      </c>
      <c r="V38" s="1681">
        <v>2.0699999999999998</v>
      </c>
      <c r="W38" s="1681">
        <v>2.25</v>
      </c>
      <c r="X38" s="1681">
        <v>1.44</v>
      </c>
      <c r="Y38" s="1681">
        <v>1.08</v>
      </c>
      <c r="Z38" s="1681">
        <v>1.62</v>
      </c>
    </row>
    <row r="39" spans="2:26">
      <c r="B39" s="1681"/>
      <c r="C39" s="1682">
        <v>38835</v>
      </c>
      <c r="D39" s="1681">
        <v>5.4</v>
      </c>
      <c r="E39" s="1681">
        <v>5.85</v>
      </c>
      <c r="F39" s="1681">
        <v>6.03</v>
      </c>
      <c r="G39" s="1681">
        <v>6.12</v>
      </c>
      <c r="H39" s="1681">
        <v>6.39</v>
      </c>
      <c r="I39" s="1681">
        <v>4.1399999999999997</v>
      </c>
      <c r="J39" s="1681">
        <v>4.59</v>
      </c>
      <c r="L39" s="1681"/>
      <c r="M39" s="1682">
        <v>37308</v>
      </c>
      <c r="N39" s="1681">
        <v>0.72</v>
      </c>
      <c r="O39" s="1681">
        <v>1.71</v>
      </c>
      <c r="P39" s="1681">
        <v>1.89</v>
      </c>
      <c r="Q39" s="1681">
        <v>1.98</v>
      </c>
      <c r="R39" s="1681">
        <v>2.25</v>
      </c>
      <c r="S39" s="1681">
        <v>2.52</v>
      </c>
      <c r="T39" s="1681">
        <v>2.79</v>
      </c>
      <c r="U39" s="1681">
        <v>1.71</v>
      </c>
      <c r="V39" s="1681">
        <v>1.89</v>
      </c>
      <c r="W39" s="1681">
        <v>1.98</v>
      </c>
      <c r="X39" s="1681">
        <v>1.44</v>
      </c>
      <c r="Y39" s="1681">
        <v>1.08</v>
      </c>
      <c r="Z39" s="1681">
        <v>1.62</v>
      </c>
    </row>
    <row r="40" spans="2:26">
      <c r="B40" s="1681"/>
      <c r="C40" s="1682">
        <v>38428</v>
      </c>
      <c r="D40" s="1681">
        <v>5.22</v>
      </c>
      <c r="E40" s="1681">
        <v>5.58</v>
      </c>
      <c r="F40" s="1681">
        <v>5.76</v>
      </c>
      <c r="G40" s="1681">
        <v>5.85</v>
      </c>
      <c r="H40" s="1681">
        <v>6.12</v>
      </c>
      <c r="I40" s="1681">
        <v>3.96</v>
      </c>
      <c r="J40" s="1681">
        <v>4.41</v>
      </c>
      <c r="L40" s="1681"/>
      <c r="M40" s="1682">
        <v>36321</v>
      </c>
      <c r="N40" s="1681">
        <v>0.99</v>
      </c>
      <c r="O40" s="1681">
        <v>1.98</v>
      </c>
      <c r="P40" s="1681">
        <v>2.16</v>
      </c>
      <c r="Q40" s="1681">
        <v>2.25</v>
      </c>
      <c r="R40" s="1681">
        <v>2.4300000000000002</v>
      </c>
      <c r="S40" s="1681">
        <v>2.7</v>
      </c>
      <c r="T40" s="1681">
        <v>2.88</v>
      </c>
      <c r="U40" s="1681">
        <v>1.98</v>
      </c>
      <c r="V40" s="1681">
        <v>2.16</v>
      </c>
      <c r="W40" s="1681">
        <v>2.25</v>
      </c>
      <c r="X40" s="1681">
        <v>1.71</v>
      </c>
      <c r="Y40" s="1681">
        <v>1.35</v>
      </c>
      <c r="Z40" s="1681">
        <v>1.89</v>
      </c>
    </row>
    <row r="41" spans="2:26">
      <c r="B41" s="1681"/>
      <c r="C41" s="1682">
        <v>38289</v>
      </c>
      <c r="D41" s="1681">
        <v>5.22</v>
      </c>
      <c r="E41" s="1681">
        <v>5.58</v>
      </c>
      <c r="F41" s="1681">
        <v>5.76</v>
      </c>
      <c r="G41" s="1681">
        <v>5.85</v>
      </c>
      <c r="H41" s="1681">
        <v>6.12</v>
      </c>
      <c r="I41" s="1681">
        <v>3.78</v>
      </c>
      <c r="J41" s="1681">
        <v>4.2300000000000004</v>
      </c>
      <c r="L41" s="1681"/>
      <c r="M41" s="1682">
        <v>36136</v>
      </c>
      <c r="N41" s="1681">
        <v>1.44</v>
      </c>
      <c r="O41" s="1681">
        <v>2.79</v>
      </c>
      <c r="P41" s="1681">
        <v>3.33</v>
      </c>
      <c r="Q41" s="1681">
        <v>3.78</v>
      </c>
      <c r="R41" s="1681">
        <v>3.96</v>
      </c>
      <c r="S41" s="1681">
        <v>4.1399999999999997</v>
      </c>
      <c r="T41" s="1681">
        <v>4.5</v>
      </c>
      <c r="U41" s="1681">
        <v>3.33</v>
      </c>
      <c r="V41" s="1681">
        <v>3.78</v>
      </c>
      <c r="W41" s="1681">
        <v>4.1399999999999997</v>
      </c>
      <c r="X41" s="1681">
        <v>2.16</v>
      </c>
      <c r="Y41" s="1681">
        <v>1.8</v>
      </c>
      <c r="Z41" s="1681">
        <v>2.34</v>
      </c>
    </row>
    <row r="42" spans="2:26">
      <c r="B42" s="1681"/>
      <c r="C42" s="1682">
        <v>37308</v>
      </c>
      <c r="D42" s="1681">
        <v>5.04</v>
      </c>
      <c r="E42" s="1681">
        <v>5.31</v>
      </c>
      <c r="F42" s="1681">
        <v>5.49</v>
      </c>
      <c r="G42" s="1681">
        <v>5.58</v>
      </c>
      <c r="H42" s="1681">
        <v>5.76</v>
      </c>
      <c r="I42" s="1681">
        <v>3.6</v>
      </c>
      <c r="J42" s="1681">
        <v>4.05</v>
      </c>
      <c r="L42" s="1681"/>
      <c r="M42" s="1682">
        <v>35977</v>
      </c>
      <c r="N42" s="1681">
        <v>1.44</v>
      </c>
      <c r="O42" s="1681">
        <v>2.79</v>
      </c>
      <c r="P42" s="1681">
        <v>3.96</v>
      </c>
      <c r="Q42" s="1681">
        <v>4.7699999999999996</v>
      </c>
      <c r="R42" s="1681">
        <v>4.8600000000000003</v>
      </c>
      <c r="S42" s="1681">
        <v>4.95</v>
      </c>
      <c r="T42" s="1681">
        <v>5.22</v>
      </c>
      <c r="U42" s="1681">
        <v>3.96</v>
      </c>
      <c r="V42" s="1681">
        <v>4.7699999999999996</v>
      </c>
      <c r="W42" s="1681">
        <v>4.95</v>
      </c>
      <c r="X42" s="1681" t="s">
        <v>1326</v>
      </c>
      <c r="Y42" s="1681" t="s">
        <v>1326</v>
      </c>
      <c r="Z42" s="1681" t="s">
        <v>1326</v>
      </c>
    </row>
    <row r="43" spans="2:26">
      <c r="B43" s="1681"/>
      <c r="C43" s="1682">
        <v>36321</v>
      </c>
      <c r="D43" s="1681">
        <v>5.58</v>
      </c>
      <c r="E43" s="1681">
        <v>5.85</v>
      </c>
      <c r="F43" s="1681">
        <v>5.94</v>
      </c>
      <c r="G43" s="1681">
        <v>6.03</v>
      </c>
      <c r="H43" s="1681">
        <v>6.21</v>
      </c>
      <c r="I43" s="1681">
        <v>4.1399999999999997</v>
      </c>
      <c r="J43" s="1681">
        <v>4.59</v>
      </c>
      <c r="L43" s="1681"/>
      <c r="M43" s="1682">
        <v>35879</v>
      </c>
      <c r="N43" s="1681">
        <v>1.71</v>
      </c>
      <c r="O43" s="1681">
        <v>2.88</v>
      </c>
      <c r="P43" s="1681">
        <v>4.1399999999999997</v>
      </c>
      <c r="Q43" s="1681">
        <v>5.22</v>
      </c>
      <c r="R43" s="1681">
        <v>5.58</v>
      </c>
      <c r="S43" s="1681">
        <v>6.21</v>
      </c>
      <c r="T43" s="1681">
        <v>6.66</v>
      </c>
      <c r="U43" s="1681">
        <v>4.1399999999999997</v>
      </c>
      <c r="V43" s="1681">
        <v>5.22</v>
      </c>
      <c r="W43" s="1681">
        <v>6.21</v>
      </c>
      <c r="X43" s="1681" t="s">
        <v>1326</v>
      </c>
      <c r="Y43" s="1681" t="s">
        <v>1326</v>
      </c>
      <c r="Z43" s="1681" t="s">
        <v>1326</v>
      </c>
    </row>
    <row r="44" spans="2:26">
      <c r="B44" s="1681"/>
      <c r="C44" s="1682">
        <v>36136</v>
      </c>
      <c r="D44" s="1681">
        <v>6.12</v>
      </c>
      <c r="E44" s="1681">
        <v>6.39</v>
      </c>
      <c r="F44" s="1681">
        <v>6.66</v>
      </c>
      <c r="G44" s="1681">
        <v>7.2</v>
      </c>
      <c r="H44" s="1681">
        <v>7.56</v>
      </c>
      <c r="I44" s="1681">
        <v>0</v>
      </c>
      <c r="J44" s="1681">
        <v>0</v>
      </c>
      <c r="L44" s="1681"/>
      <c r="M44" s="1682">
        <v>35726</v>
      </c>
      <c r="N44" s="1681">
        <v>1.71</v>
      </c>
      <c r="O44" s="1681">
        <v>2.88</v>
      </c>
      <c r="P44" s="1681">
        <v>4.1399999999999997</v>
      </c>
      <c r="Q44" s="1681">
        <v>5.67</v>
      </c>
      <c r="R44" s="1681">
        <v>5.94</v>
      </c>
      <c r="S44" s="1681">
        <v>6.21</v>
      </c>
      <c r="T44" s="1681">
        <v>6.66</v>
      </c>
      <c r="U44" s="1681">
        <v>4.1399999999999997</v>
      </c>
      <c r="V44" s="1681">
        <v>5.67</v>
      </c>
      <c r="W44" s="1681">
        <v>6.21</v>
      </c>
      <c r="X44" s="1681" t="s">
        <v>1326</v>
      </c>
      <c r="Y44" s="1681" t="s">
        <v>1326</v>
      </c>
      <c r="Z44" s="1681" t="s">
        <v>1326</v>
      </c>
    </row>
    <row r="45" spans="2:26">
      <c r="B45" s="1681"/>
      <c r="C45" s="1682">
        <v>35977</v>
      </c>
      <c r="D45" s="1681">
        <v>6.57</v>
      </c>
      <c r="E45" s="1681">
        <v>6.93</v>
      </c>
      <c r="F45" s="1681">
        <v>7.11</v>
      </c>
      <c r="G45" s="1681">
        <v>7.65</v>
      </c>
      <c r="H45" s="1681">
        <v>8.01</v>
      </c>
      <c r="I45" s="1681">
        <v>0</v>
      </c>
      <c r="J45" s="1681">
        <v>0</v>
      </c>
      <c r="L45" s="1681"/>
      <c r="M45" s="1682">
        <v>35300</v>
      </c>
      <c r="N45" s="1681">
        <v>1.98</v>
      </c>
      <c r="O45" s="1681">
        <v>3.33</v>
      </c>
      <c r="P45" s="1681">
        <v>5.4</v>
      </c>
      <c r="Q45" s="1681">
        <v>7.47</v>
      </c>
      <c r="R45" s="1681">
        <v>7.92</v>
      </c>
      <c r="S45" s="1681">
        <v>8.2799999999999994</v>
      </c>
      <c r="T45" s="1681">
        <v>9</v>
      </c>
      <c r="U45" s="1681">
        <v>5.4</v>
      </c>
      <c r="V45" s="1681">
        <v>7.47</v>
      </c>
      <c r="W45" s="1681">
        <v>8.2799999999999994</v>
      </c>
      <c r="X45" s="1681" t="s">
        <v>1326</v>
      </c>
      <c r="Y45" s="1681" t="s">
        <v>1326</v>
      </c>
      <c r="Z45" s="1681" t="s">
        <v>1326</v>
      </c>
    </row>
    <row r="46" spans="2:26">
      <c r="B46" s="1681"/>
      <c r="C46" s="1682">
        <v>35879</v>
      </c>
      <c r="D46" s="1681">
        <v>7.02</v>
      </c>
      <c r="E46" s="1681">
        <v>7.92</v>
      </c>
      <c r="F46" s="1681">
        <v>9</v>
      </c>
      <c r="G46" s="1681">
        <v>9.7200000000000006</v>
      </c>
      <c r="H46" s="1681">
        <v>10.35</v>
      </c>
      <c r="I46" s="1681">
        <v>0</v>
      </c>
      <c r="J46" s="1681">
        <v>0</v>
      </c>
      <c r="L46" s="1681"/>
      <c r="M46" s="1682">
        <v>35186</v>
      </c>
      <c r="N46" s="1681">
        <v>2.97</v>
      </c>
      <c r="O46" s="1681">
        <v>4.8600000000000003</v>
      </c>
      <c r="P46" s="1681">
        <v>7.2</v>
      </c>
      <c r="Q46" s="1681">
        <v>9.18</v>
      </c>
      <c r="R46" s="1681">
        <v>9.9</v>
      </c>
      <c r="S46" s="1681">
        <v>10.8</v>
      </c>
      <c r="T46" s="1681">
        <v>12.06</v>
      </c>
      <c r="U46" s="1681">
        <v>7.2</v>
      </c>
      <c r="V46" s="1681">
        <v>9.18</v>
      </c>
      <c r="W46" s="1681">
        <v>10.8</v>
      </c>
      <c r="X46" s="1681" t="s">
        <v>1326</v>
      </c>
      <c r="Y46" s="1681" t="s">
        <v>1326</v>
      </c>
      <c r="Z46" s="1681" t="s">
        <v>1326</v>
      </c>
    </row>
    <row r="47" spans="2:26">
      <c r="B47" s="1681"/>
      <c r="C47" s="1682">
        <v>35726</v>
      </c>
      <c r="D47" s="1681">
        <v>7.65</v>
      </c>
      <c r="E47" s="1681">
        <v>8.64</v>
      </c>
      <c r="F47" s="1681">
        <v>9.36</v>
      </c>
      <c r="G47" s="1681">
        <v>9.9</v>
      </c>
      <c r="H47" s="1681">
        <v>10.53</v>
      </c>
      <c r="I47" s="1681">
        <v>0</v>
      </c>
      <c r="J47" s="1681">
        <v>0</v>
      </c>
      <c r="L47" s="1681"/>
      <c r="M47" s="1682">
        <v>34161</v>
      </c>
      <c r="N47" s="1681">
        <v>3.15</v>
      </c>
      <c r="O47" s="1681">
        <v>6.66</v>
      </c>
      <c r="P47" s="1681">
        <v>9</v>
      </c>
      <c r="Q47" s="1681">
        <v>10.98</v>
      </c>
      <c r="R47" s="1681">
        <v>11.7</v>
      </c>
      <c r="S47" s="1681">
        <v>12.24</v>
      </c>
      <c r="T47" s="1681">
        <v>13.86</v>
      </c>
      <c r="U47" s="1681">
        <v>9</v>
      </c>
      <c r="V47" s="1681">
        <v>10.98</v>
      </c>
      <c r="W47" s="1681">
        <v>12.24</v>
      </c>
      <c r="X47" s="1681" t="s">
        <v>1326</v>
      </c>
      <c r="Y47" s="1681" t="s">
        <v>1326</v>
      </c>
      <c r="Z47" s="1681" t="s">
        <v>1326</v>
      </c>
    </row>
    <row r="48" spans="2:26">
      <c r="B48" s="1681"/>
      <c r="C48" s="1682">
        <v>35300</v>
      </c>
      <c r="D48" s="1681">
        <v>9.18</v>
      </c>
      <c r="E48" s="1681">
        <v>10.08</v>
      </c>
      <c r="F48" s="1681">
        <v>10.98</v>
      </c>
      <c r="G48" s="1681">
        <v>11.7</v>
      </c>
      <c r="H48" s="1681">
        <v>12.42</v>
      </c>
      <c r="I48" s="1681">
        <v>0</v>
      </c>
      <c r="J48" s="1681">
        <v>0</v>
      </c>
      <c r="L48" s="1681"/>
      <c r="M48" s="1682">
        <v>34104</v>
      </c>
      <c r="N48" s="1681">
        <v>2.16</v>
      </c>
      <c r="O48" s="1681">
        <v>4.8600000000000003</v>
      </c>
      <c r="P48" s="1681">
        <v>7.2</v>
      </c>
      <c r="Q48" s="1681">
        <v>9.18</v>
      </c>
      <c r="R48" s="1681">
        <v>9.9</v>
      </c>
      <c r="S48" s="1681">
        <v>10.8</v>
      </c>
      <c r="T48" s="1681">
        <v>12.06</v>
      </c>
      <c r="U48" s="1681">
        <v>7.2</v>
      </c>
      <c r="V48" s="1681">
        <v>9.18</v>
      </c>
      <c r="W48" s="1681">
        <v>10.8</v>
      </c>
      <c r="X48" s="1681" t="s">
        <v>1326</v>
      </c>
      <c r="Y48" s="1681" t="s">
        <v>1326</v>
      </c>
      <c r="Z48" s="1681" t="s">
        <v>1326</v>
      </c>
    </row>
    <row r="49" spans="2:26">
      <c r="B49" s="1681"/>
      <c r="C49" s="1682">
        <v>35186</v>
      </c>
      <c r="D49" s="1681">
        <v>9.7200000000000006</v>
      </c>
      <c r="E49" s="1681">
        <v>10.98</v>
      </c>
      <c r="F49" s="1681">
        <v>13.14</v>
      </c>
      <c r="G49" s="1681">
        <v>14.94</v>
      </c>
      <c r="H49" s="1681">
        <v>15.12</v>
      </c>
      <c r="I49" s="1681">
        <v>0</v>
      </c>
      <c r="J49" s="1681">
        <v>0</v>
      </c>
      <c r="L49" s="1681"/>
      <c r="M49" s="1682">
        <v>33349</v>
      </c>
      <c r="N49" s="1681">
        <v>1.8</v>
      </c>
      <c r="O49" s="1681">
        <v>3.24</v>
      </c>
      <c r="P49" s="1681">
        <v>5.4</v>
      </c>
      <c r="Q49" s="1681">
        <v>7.56</v>
      </c>
      <c r="R49" s="1681">
        <v>7.92</v>
      </c>
      <c r="S49" s="1681">
        <v>8.2799999999999994</v>
      </c>
      <c r="T49" s="1681">
        <v>9</v>
      </c>
      <c r="U49" s="1681">
        <v>6.12</v>
      </c>
      <c r="V49" s="1681">
        <v>6.84</v>
      </c>
      <c r="W49" s="1681">
        <v>7.56</v>
      </c>
      <c r="X49" s="1681" t="s">
        <v>1326</v>
      </c>
      <c r="Y49" s="1681" t="s">
        <v>1326</v>
      </c>
      <c r="Z49" s="1681" t="s">
        <v>1326</v>
      </c>
    </row>
    <row r="50" spans="2:26">
      <c r="B50" s="1681"/>
      <c r="C50" s="1682">
        <v>34881</v>
      </c>
      <c r="D50" s="1681">
        <v>10.08</v>
      </c>
      <c r="E50" s="1681">
        <v>12.06</v>
      </c>
      <c r="F50" s="1681">
        <v>13.5</v>
      </c>
      <c r="G50" s="1681">
        <v>15.12</v>
      </c>
      <c r="H50" s="1681">
        <v>15.3</v>
      </c>
      <c r="I50" s="1681">
        <v>0</v>
      </c>
      <c r="J50" s="1681">
        <v>0</v>
      </c>
      <c r="L50" s="1681"/>
      <c r="M50" s="1682">
        <v>33106</v>
      </c>
      <c r="N50" s="1681">
        <v>2.16</v>
      </c>
      <c r="O50" s="1681">
        <v>4.32</v>
      </c>
      <c r="P50" s="1681">
        <v>6.48</v>
      </c>
      <c r="Q50" s="1681">
        <v>8.64</v>
      </c>
      <c r="R50" s="1681">
        <v>9.36</v>
      </c>
      <c r="S50" s="1681">
        <v>10.08</v>
      </c>
      <c r="T50" s="1681">
        <v>11.52</v>
      </c>
      <c r="U50" s="1681">
        <v>7.2</v>
      </c>
      <c r="V50" s="1681">
        <v>8.64</v>
      </c>
      <c r="W50" s="1681">
        <v>10.08</v>
      </c>
      <c r="X50" s="1681" t="s">
        <v>1326</v>
      </c>
      <c r="Y50" s="1681" t="s">
        <v>1326</v>
      </c>
      <c r="Z50" s="1681" t="s">
        <v>1326</v>
      </c>
    </row>
    <row r="51" spans="2:26">
      <c r="B51" s="1681"/>
      <c r="C51" s="1682">
        <v>34700</v>
      </c>
      <c r="D51" s="1681">
        <v>9</v>
      </c>
      <c r="E51" s="1681">
        <v>10.98</v>
      </c>
      <c r="F51" s="1681">
        <v>12.96</v>
      </c>
      <c r="G51" s="1681">
        <v>14.58</v>
      </c>
      <c r="H51" s="1681">
        <v>14.76</v>
      </c>
      <c r="I51" s="1681">
        <v>0</v>
      </c>
      <c r="J51" s="1681">
        <v>0</v>
      </c>
      <c r="L51" s="1681"/>
      <c r="M51" s="1682">
        <v>32978</v>
      </c>
      <c r="N51" s="1681">
        <v>2.88</v>
      </c>
      <c r="O51" s="1681">
        <v>6.3</v>
      </c>
      <c r="P51" s="1681">
        <v>7.74</v>
      </c>
      <c r="Q51" s="1681">
        <v>10.08</v>
      </c>
      <c r="R51" s="1681">
        <v>10.98</v>
      </c>
      <c r="S51" s="1681">
        <v>11.88</v>
      </c>
      <c r="T51" s="1681">
        <v>13.68</v>
      </c>
      <c r="U51" s="1681" t="s">
        <v>1326</v>
      </c>
      <c r="V51" s="1681" t="s">
        <v>1326</v>
      </c>
      <c r="W51" s="1681" t="s">
        <v>1326</v>
      </c>
      <c r="X51" s="1681" t="s">
        <v>1326</v>
      </c>
      <c r="Y51" s="1681" t="s">
        <v>1326</v>
      </c>
      <c r="Z51" s="1681" t="s">
        <v>1326</v>
      </c>
    </row>
    <row r="52" spans="2:26">
      <c r="B52" s="1681"/>
      <c r="C52" s="1682">
        <v>34161</v>
      </c>
      <c r="D52" s="1681">
        <v>9</v>
      </c>
      <c r="E52" s="1681">
        <v>10.98</v>
      </c>
      <c r="F52" s="1681">
        <v>12.24</v>
      </c>
      <c r="G52" s="1681">
        <v>13.86</v>
      </c>
      <c r="H52" s="1681">
        <v>14.04</v>
      </c>
      <c r="I52" s="1681">
        <v>0</v>
      </c>
      <c r="J52" s="1681">
        <v>0</v>
      </c>
      <c r="L52" s="1681"/>
      <c r="M52" s="1682"/>
      <c r="N52" s="1681"/>
      <c r="O52" s="1681"/>
      <c r="P52" s="1681"/>
      <c r="Q52" s="1681"/>
      <c r="R52" s="1681"/>
      <c r="S52" s="1681"/>
      <c r="T52" s="1681"/>
      <c r="U52" s="1681"/>
      <c r="V52" s="1681"/>
      <c r="W52" s="1681"/>
      <c r="X52" s="1681"/>
      <c r="Y52" s="1681"/>
      <c r="Z52" s="1681"/>
    </row>
    <row r="53" spans="2:26">
      <c r="B53" s="1681"/>
      <c r="C53" s="1682">
        <v>34104</v>
      </c>
      <c r="D53" s="1681">
        <v>8.82</v>
      </c>
      <c r="E53" s="1681">
        <v>9.36</v>
      </c>
      <c r="F53" s="1681">
        <v>10.8</v>
      </c>
      <c r="G53" s="1681">
        <v>12.06</v>
      </c>
      <c r="H53" s="1681">
        <v>12.24</v>
      </c>
      <c r="I53" s="1681">
        <v>0</v>
      </c>
      <c r="J53" s="1681">
        <v>0</v>
      </c>
      <c r="L53" s="1681"/>
      <c r="M53" s="1682"/>
      <c r="N53" s="1681"/>
      <c r="O53" s="1681"/>
      <c r="P53" s="1681"/>
      <c r="Q53" s="1681"/>
      <c r="R53" s="1681"/>
      <c r="S53" s="1681"/>
      <c r="T53" s="1681"/>
      <c r="U53" s="1681"/>
      <c r="V53" s="1681"/>
      <c r="W53" s="1681"/>
      <c r="X53" s="1681"/>
      <c r="Y53" s="1681"/>
      <c r="Z53" s="1681"/>
    </row>
    <row r="54" spans="2:26">
      <c r="B54" s="1681"/>
      <c r="C54" s="1682">
        <v>33349</v>
      </c>
      <c r="D54" s="1681">
        <v>8.1</v>
      </c>
      <c r="E54" s="1681">
        <v>8.64</v>
      </c>
      <c r="F54" s="1681">
        <v>9</v>
      </c>
      <c r="G54" s="1681">
        <v>9.5399999999999991</v>
      </c>
      <c r="H54" s="1681">
        <v>9.7200000000000006</v>
      </c>
      <c r="I54" s="1681">
        <v>0</v>
      </c>
      <c r="J54" s="1681">
        <v>0</v>
      </c>
      <c r="L54" s="1681"/>
      <c r="M54" s="1682"/>
      <c r="N54" s="1681"/>
      <c r="O54" s="1681"/>
      <c r="P54" s="1681"/>
      <c r="Q54" s="1681"/>
      <c r="R54" s="1681"/>
      <c r="S54" s="1681"/>
      <c r="T54" s="1681"/>
      <c r="U54" s="1681"/>
      <c r="V54" s="1681"/>
      <c r="W54" s="1681"/>
      <c r="X54" s="1681"/>
      <c r="Y54" s="1681"/>
      <c r="Z54" s="1681"/>
    </row>
    <row r="55" spans="2:26">
      <c r="B55" s="1681"/>
      <c r="C55" s="1682">
        <v>33318</v>
      </c>
      <c r="D55" s="1681">
        <v>9</v>
      </c>
      <c r="E55" s="1681">
        <v>10.08</v>
      </c>
      <c r="F55" s="1681">
        <v>10.8</v>
      </c>
      <c r="G55" s="1681">
        <v>11.52</v>
      </c>
      <c r="H55" s="1681">
        <v>11.88</v>
      </c>
      <c r="I55" s="1681" t="s">
        <v>1326</v>
      </c>
      <c r="J55" s="1681" t="s">
        <v>1326</v>
      </c>
      <c r="L55" s="1681"/>
      <c r="M55" s="1682"/>
      <c r="N55" s="1681"/>
      <c r="O55" s="1681"/>
      <c r="P55" s="1681"/>
      <c r="Q55" s="1681"/>
      <c r="R55" s="1681"/>
      <c r="S55" s="1681"/>
      <c r="T55" s="1681"/>
      <c r="U55" s="1681"/>
      <c r="V55" s="1681"/>
      <c r="W55" s="1681"/>
      <c r="X55" s="1681"/>
      <c r="Y55" s="1681"/>
      <c r="Z55" s="1681"/>
    </row>
    <row r="56" spans="2:26">
      <c r="B56" s="1681"/>
      <c r="C56" s="1682">
        <v>33106</v>
      </c>
      <c r="D56" s="1681">
        <v>8.64</v>
      </c>
      <c r="E56" s="1681">
        <v>9.36</v>
      </c>
      <c r="F56" s="1681">
        <v>10.08</v>
      </c>
      <c r="G56" s="1681">
        <v>10.8</v>
      </c>
      <c r="H56" s="1681">
        <v>11.16</v>
      </c>
      <c r="I56" s="1681">
        <v>0</v>
      </c>
      <c r="J56" s="1681">
        <v>0</v>
      </c>
      <c r="L56" s="1681"/>
      <c r="M56" s="1682"/>
      <c r="N56" s="1681"/>
      <c r="O56" s="1681"/>
      <c r="P56" s="1681"/>
      <c r="Q56" s="1681"/>
      <c r="R56" s="1681"/>
      <c r="S56" s="1681"/>
      <c r="T56" s="1681"/>
      <c r="U56" s="1681"/>
      <c r="V56" s="1681"/>
      <c r="W56" s="1681"/>
      <c r="X56" s="1681"/>
      <c r="Y56" s="1681"/>
      <c r="Z56" s="1681"/>
    </row>
    <row r="57" spans="2:26">
      <c r="B57" s="1681"/>
      <c r="C57" s="1682">
        <v>32540</v>
      </c>
      <c r="D57" s="1681">
        <v>11.34</v>
      </c>
      <c r="E57" s="1681">
        <v>11.34</v>
      </c>
      <c r="F57" s="1681">
        <v>12.78</v>
      </c>
      <c r="G57" s="1681">
        <v>14.4</v>
      </c>
      <c r="H57" s="1681">
        <v>19.260000000000002</v>
      </c>
      <c r="I57" s="1681">
        <v>0</v>
      </c>
      <c r="J57" s="1681">
        <v>0</v>
      </c>
      <c r="L57" s="1681"/>
      <c r="M57" s="1682"/>
      <c r="N57" s="1681"/>
      <c r="O57" s="1681"/>
      <c r="P57" s="1681"/>
      <c r="Q57" s="1681"/>
      <c r="R57" s="1681"/>
      <c r="S57" s="1681"/>
      <c r="T57" s="1681"/>
      <c r="U57" s="1681"/>
      <c r="V57" s="1681"/>
      <c r="W57" s="1681"/>
      <c r="X57" s="1681"/>
      <c r="Y57" s="1681"/>
      <c r="Z57" s="1681"/>
    </row>
    <row r="58" spans="2:26">
      <c r="B58" s="1681"/>
      <c r="C58" s="1682"/>
      <c r="D58" s="1681"/>
      <c r="E58" s="1681"/>
      <c r="F58" s="1681"/>
      <c r="G58" s="1681"/>
      <c r="H58" s="1681"/>
      <c r="I58" s="1681"/>
      <c r="J58" s="1681"/>
    </row>
    <row r="59" spans="2:26">
      <c r="B59" s="1685"/>
      <c r="C59" s="1686"/>
      <c r="D59" s="1685"/>
      <c r="E59" s="1685"/>
      <c r="F59" s="1685"/>
      <c r="G59" s="1685"/>
      <c r="H59" s="1685"/>
      <c r="I59" s="1685"/>
      <c r="J59" s="1685"/>
    </row>
    <row r="60" spans="2:26">
      <c r="B60" s="1685"/>
      <c r="C60" s="1686"/>
      <c r="D60" s="1685"/>
      <c r="E60" s="1685"/>
      <c r="F60" s="1685"/>
      <c r="G60" s="1685"/>
      <c r="H60" s="1685"/>
      <c r="I60" s="1685"/>
      <c r="J60" s="1685"/>
    </row>
    <row r="61" spans="2:26">
      <c r="B61" s="1685"/>
      <c r="C61" s="1686"/>
      <c r="D61" s="1685"/>
      <c r="E61" s="1685"/>
      <c r="F61" s="1685"/>
      <c r="G61" s="1685"/>
      <c r="H61" s="1685"/>
      <c r="I61" s="1685"/>
      <c r="J61" s="1685"/>
    </row>
    <row r="62" spans="2:26">
      <c r="B62" s="1632"/>
      <c r="C62" s="1632"/>
      <c r="D62" s="1632"/>
      <c r="E62" s="1632"/>
      <c r="F62" s="1632"/>
      <c r="G62" s="1632"/>
      <c r="H62" s="1632"/>
      <c r="I62" s="1632"/>
      <c r="J62" s="1632"/>
    </row>
    <row r="63" spans="2:26">
      <c r="B63" s="1632"/>
      <c r="C63" s="1632"/>
      <c r="D63" s="1632"/>
      <c r="E63" s="1632"/>
      <c r="F63" s="1632"/>
      <c r="G63" s="1632"/>
      <c r="H63" s="1632"/>
      <c r="I63" s="1632"/>
      <c r="J63" s="1632"/>
    </row>
  </sheetData>
  <sheetProtection sheet="1" objects="1" scenarios="1"/>
  <phoneticPr fontId="143"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6" t="s">
        <v>1367</v>
      </c>
      <c r="E1" s="1770" t="s">
        <v>1371</v>
      </c>
      <c r="F1" s="1771" t="s">
        <v>1375</v>
      </c>
    </row>
    <row r="2" spans="1:13" ht="20.25">
      <c r="A2" s="1777" t="s">
        <v>1368</v>
      </c>
    </row>
    <row r="3" spans="1:13" ht="16.5">
      <c r="A3" s="1778" t="s">
        <v>1369</v>
      </c>
    </row>
    <row r="4" spans="1:13" ht="14.25">
      <c r="A4" s="1768" t="s">
        <v>1370</v>
      </c>
      <c r="B4" s="1773" t="s">
        <v>1372</v>
      </c>
      <c r="C4" s="1774"/>
      <c r="D4" s="1775"/>
      <c r="E4" s="1773" t="s">
        <v>27</v>
      </c>
      <c r="F4" s="1774"/>
      <c r="G4" s="1775"/>
      <c r="H4" s="1773" t="s">
        <v>1373</v>
      </c>
      <c r="I4" s="1774"/>
      <c r="J4" s="1775"/>
      <c r="K4" s="1773" t="s">
        <v>6</v>
      </c>
      <c r="L4" s="1774"/>
      <c r="M4" s="1775"/>
    </row>
    <row r="5" spans="1:13" ht="14.25">
      <c r="A5" s="1769" t="s">
        <v>1374</v>
      </c>
      <c r="B5" s="1768" t="s">
        <v>1376</v>
      </c>
      <c r="C5" s="1768" t="s">
        <v>1377</v>
      </c>
      <c r="D5" s="1768" t="s">
        <v>1378</v>
      </c>
      <c r="E5" s="1768" t="s">
        <v>1376</v>
      </c>
      <c r="F5" s="1768" t="s">
        <v>1377</v>
      </c>
      <c r="G5" s="1768" t="s">
        <v>1378</v>
      </c>
      <c r="H5" s="1768" t="s">
        <v>1376</v>
      </c>
      <c r="I5" s="1768" t="s">
        <v>1377</v>
      </c>
      <c r="J5" s="1768" t="s">
        <v>1378</v>
      </c>
      <c r="K5" s="1768" t="s">
        <v>1376</v>
      </c>
      <c r="L5" s="1768" t="s">
        <v>1377</v>
      </c>
      <c r="M5" s="1768" t="s">
        <v>1378</v>
      </c>
    </row>
    <row r="6" spans="1:13" ht="14.25">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ht="14.25">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ht="14.25">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ht="14.25">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ht="14.25">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ht="14.25">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ht="14.25">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ht="14.25">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ht="14.25">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ht="14.25">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ht="14.25">
      <c r="A16" s="1772" t="s">
        <v>814</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ht="14.25">
      <c r="A17" s="1772" t="s">
        <v>815</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3"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9"/>
  <sheetViews>
    <sheetView workbookViewId="0">
      <selection activeCell="L141" sqref="L141"/>
    </sheetView>
  </sheetViews>
  <sheetFormatPr defaultRowHeight="13.5"/>
  <sheetData>
    <row r="1" spans="1:17" ht="25.5" customHeight="1" thickTop="1" thickBot="1">
      <c r="A1" s="3498" t="s">
        <v>4740</v>
      </c>
      <c r="B1" s="3498" t="s">
        <v>4741</v>
      </c>
      <c r="C1" s="3498" t="s">
        <v>4742</v>
      </c>
      <c r="D1" s="3491" t="s">
        <v>4743</v>
      </c>
      <c r="E1" s="3492"/>
      <c r="F1" s="3491" t="s">
        <v>4744</v>
      </c>
      <c r="G1" s="3492"/>
      <c r="H1" s="3491" t="s">
        <v>4745</v>
      </c>
      <c r="I1" s="3492"/>
      <c r="L1" s="3483" t="s">
        <v>4755</v>
      </c>
      <c r="M1" s="3493" t="s">
        <v>4756</v>
      </c>
      <c r="N1" s="3493" t="s">
        <v>4757</v>
      </c>
      <c r="O1" s="3495" t="s">
        <v>4758</v>
      </c>
      <c r="P1" s="3496"/>
      <c r="Q1" s="3497"/>
    </row>
    <row r="2" spans="1:17" ht="14.25" thickBot="1">
      <c r="A2" s="3499"/>
      <c r="B2" s="3499"/>
      <c r="C2" s="3499"/>
      <c r="D2" s="3101" t="s">
        <v>4746</v>
      </c>
      <c r="E2" s="3101" t="s">
        <v>4747</v>
      </c>
      <c r="F2" s="3101" t="s">
        <v>4748</v>
      </c>
      <c r="G2" s="3101" t="s">
        <v>4747</v>
      </c>
      <c r="H2" s="3101" t="s">
        <v>4748</v>
      </c>
      <c r="I2" s="3101" t="s">
        <v>4747</v>
      </c>
      <c r="L2" s="3484"/>
      <c r="M2" s="3494"/>
      <c r="N2" s="3494"/>
      <c r="O2" s="3106" t="s">
        <v>37</v>
      </c>
      <c r="P2" s="3107" t="s">
        <v>3078</v>
      </c>
      <c r="Q2" s="3107" t="s">
        <v>3079</v>
      </c>
    </row>
    <row r="3" spans="1:17" ht="128.25" thickBot="1">
      <c r="A3" s="3102" t="s">
        <v>4749</v>
      </c>
      <c r="B3" s="3103">
        <v>149246.95000000001</v>
      </c>
      <c r="C3" s="3103">
        <v>59319.7</v>
      </c>
      <c r="D3" s="3103">
        <v>371321</v>
      </c>
      <c r="E3" s="3103">
        <v>24880</v>
      </c>
      <c r="F3" s="3103">
        <v>33168</v>
      </c>
      <c r="G3" s="3103">
        <v>2222</v>
      </c>
      <c r="H3" s="3103">
        <v>404489</v>
      </c>
      <c r="I3" s="3103">
        <v>27102</v>
      </c>
      <c r="L3" s="3484"/>
      <c r="M3" s="3478" t="s">
        <v>4759</v>
      </c>
      <c r="N3" s="3108" t="s">
        <v>4472</v>
      </c>
      <c r="O3" s="3109">
        <v>32718.36</v>
      </c>
      <c r="P3" s="3109">
        <v>32718.36</v>
      </c>
      <c r="Q3" s="3109">
        <v>0</v>
      </c>
    </row>
    <row r="4" spans="1:17" ht="115.5" thickBot="1">
      <c r="A4" s="3102" t="s">
        <v>4750</v>
      </c>
      <c r="B4" s="3103">
        <v>169816</v>
      </c>
      <c r="C4" s="3103">
        <v>64089.62</v>
      </c>
      <c r="D4" s="3103">
        <v>304514</v>
      </c>
      <c r="E4" s="3103">
        <v>17932</v>
      </c>
      <c r="F4" s="3103"/>
      <c r="G4" s="3103"/>
      <c r="H4" s="3103">
        <v>304514</v>
      </c>
      <c r="I4" s="3103">
        <v>17932</v>
      </c>
      <c r="L4" s="3484"/>
      <c r="M4" s="3486"/>
      <c r="N4" s="3108" t="s">
        <v>4713</v>
      </c>
      <c r="O4" s="3109">
        <v>7640.31</v>
      </c>
      <c r="P4" s="3109">
        <v>7640.31</v>
      </c>
      <c r="Q4" s="3109">
        <v>0</v>
      </c>
    </row>
    <row r="5" spans="1:17" ht="14.25" thickBot="1">
      <c r="A5" s="3104" t="s">
        <v>37</v>
      </c>
      <c r="B5" s="3103">
        <v>319062.95</v>
      </c>
      <c r="C5" s="3103">
        <v>64089.62</v>
      </c>
      <c r="D5" s="3500">
        <f>D3+D4</f>
        <v>675835</v>
      </c>
      <c r="E5" s="3501"/>
      <c r="F5" s="3500">
        <f>F3+F4</f>
        <v>33168</v>
      </c>
      <c r="G5" s="3501"/>
      <c r="H5" s="3500">
        <f>H3+H4</f>
        <v>709003</v>
      </c>
      <c r="I5" s="3501"/>
      <c r="L5" s="3484"/>
      <c r="M5" s="3486"/>
      <c r="N5" s="3108" t="s">
        <v>3211</v>
      </c>
      <c r="O5" s="3109">
        <v>32388.77</v>
      </c>
      <c r="P5" s="3109">
        <v>32388.77</v>
      </c>
      <c r="Q5" s="3109">
        <v>0</v>
      </c>
    </row>
    <row r="6" spans="1:17" ht="14.25" customHeight="1" thickBot="1">
      <c r="A6" s="3502" t="s">
        <v>4751</v>
      </c>
      <c r="B6" s="3503"/>
      <c r="C6" s="3504"/>
      <c r="D6" s="3288" t="str">
        <f>NUMBERSTRING(INT(D5*10000),2)&amp;"元整"</f>
        <v>陆拾柒亿伍仟捌佰叁拾伍万元整</v>
      </c>
      <c r="E6" s="3290"/>
      <c r="F6" s="3288" t="str">
        <f t="shared" ref="F6" si="0">NUMBERSTRING(INT(F5*10000),2)&amp;"元整"</f>
        <v>叁亿叁仟壹佰陆拾捌万元整</v>
      </c>
      <c r="G6" s="3290"/>
      <c r="H6" s="3288" t="str">
        <f t="shared" ref="H6" si="1">NUMBERSTRING(INT(H5*10000),2)&amp;"元整"</f>
        <v>柒拾亿玖仟零叁万元整</v>
      </c>
      <c r="I6" s="3290"/>
      <c r="L6" s="3484"/>
      <c r="M6" s="3486"/>
      <c r="N6" s="3108" t="s">
        <v>1372</v>
      </c>
      <c r="O6" s="3109">
        <v>645.96</v>
      </c>
      <c r="P6" s="3109">
        <v>263.92</v>
      </c>
      <c r="Q6" s="3109">
        <v>382.04</v>
      </c>
    </row>
    <row r="7" spans="1:17" ht="14.25" thickBot="1">
      <c r="A7" s="3508" t="s">
        <v>4752</v>
      </c>
      <c r="B7" s="3509"/>
      <c r="C7" s="3510"/>
      <c r="D7" s="3500">
        <v>0</v>
      </c>
      <c r="E7" s="3511"/>
      <c r="F7" s="3511"/>
      <c r="G7" s="3511"/>
      <c r="H7" s="3511"/>
      <c r="I7" s="3501"/>
      <c r="L7" s="3484"/>
      <c r="M7" s="3486"/>
      <c r="N7" s="3108" t="s">
        <v>48</v>
      </c>
      <c r="O7" s="3109">
        <v>21662.76</v>
      </c>
      <c r="P7" s="3109">
        <v>0</v>
      </c>
      <c r="Q7" s="3109">
        <v>21662.76</v>
      </c>
    </row>
    <row r="8" spans="1:17" ht="14.25" thickBot="1">
      <c r="A8" s="3502" t="s">
        <v>4751</v>
      </c>
      <c r="B8" s="3503"/>
      <c r="C8" s="3504"/>
      <c r="D8" s="3502" t="s">
        <v>4753</v>
      </c>
      <c r="E8" s="3503"/>
      <c r="F8" s="3503"/>
      <c r="G8" s="3503"/>
      <c r="H8" s="3503"/>
      <c r="I8" s="3504"/>
      <c r="L8" s="3484"/>
      <c r="M8" s="3486"/>
      <c r="N8" s="3108" t="s">
        <v>4760</v>
      </c>
      <c r="O8" s="3109">
        <v>5827.19</v>
      </c>
      <c r="P8" s="3109">
        <v>0</v>
      </c>
      <c r="Q8" s="3109">
        <v>5827.19</v>
      </c>
    </row>
    <row r="9" spans="1:17" ht="14.25" thickBot="1">
      <c r="A9" s="3508" t="s">
        <v>4441</v>
      </c>
      <c r="B9" s="3509"/>
      <c r="C9" s="3510"/>
      <c r="D9" s="3500">
        <f>H5</f>
        <v>709003</v>
      </c>
      <c r="E9" s="3511"/>
      <c r="F9" s="3511"/>
      <c r="G9" s="3511"/>
      <c r="H9" s="3511"/>
      <c r="I9" s="3501"/>
      <c r="L9" s="3484"/>
      <c r="M9" s="3486"/>
      <c r="N9" s="3108" t="s">
        <v>4761</v>
      </c>
      <c r="O9" s="3109">
        <v>41549.64</v>
      </c>
      <c r="P9" s="3109">
        <v>0</v>
      </c>
      <c r="Q9" s="3109">
        <v>41549.64</v>
      </c>
    </row>
    <row r="10" spans="1:17" ht="14.25" thickBot="1">
      <c r="A10" s="3505" t="s">
        <v>4751</v>
      </c>
      <c r="B10" s="3506"/>
      <c r="C10" s="3507"/>
      <c r="D10" s="3505" t="s">
        <v>4754</v>
      </c>
      <c r="E10" s="3506"/>
      <c r="F10" s="3506"/>
      <c r="G10" s="3506"/>
      <c r="H10" s="3506"/>
      <c r="I10" s="3507"/>
      <c r="L10" s="3484"/>
      <c r="M10" s="3479"/>
      <c r="N10" s="3108" t="s">
        <v>4762</v>
      </c>
      <c r="O10" s="3109">
        <v>2186.04</v>
      </c>
      <c r="P10" s="3109">
        <v>0</v>
      </c>
      <c r="Q10" s="3109">
        <v>2186.04</v>
      </c>
    </row>
    <row r="11" spans="1:17" ht="15" thickTop="1" thickBot="1">
      <c r="L11" s="3484"/>
      <c r="M11" s="3487" t="s">
        <v>4763</v>
      </c>
      <c r="N11" s="3488"/>
      <c r="O11" s="3109">
        <v>144619.03</v>
      </c>
      <c r="P11" s="3109">
        <v>73011.360000000001</v>
      </c>
      <c r="Q11" s="3109">
        <v>71607.67</v>
      </c>
    </row>
    <row r="12" spans="1:17" ht="14.25" thickBot="1">
      <c r="L12" s="3484"/>
      <c r="M12" s="3478" t="s">
        <v>4764</v>
      </c>
      <c r="N12" s="3108" t="s">
        <v>4765</v>
      </c>
      <c r="O12" s="3109">
        <v>2623.22</v>
      </c>
      <c r="P12" s="3109">
        <v>582.84</v>
      </c>
      <c r="Q12" s="3109">
        <v>2040.38</v>
      </c>
    </row>
    <row r="13" spans="1:17" ht="14.25" thickBot="1">
      <c r="L13" s="3484"/>
      <c r="M13" s="3479"/>
      <c r="N13" s="3108" t="s">
        <v>4766</v>
      </c>
      <c r="O13" s="3109">
        <v>2004.7</v>
      </c>
      <c r="P13" s="3109">
        <v>1938</v>
      </c>
      <c r="Q13" s="3109">
        <v>66.7</v>
      </c>
    </row>
    <row r="14" spans="1:17" ht="14.25" thickBot="1">
      <c r="L14" s="3484"/>
      <c r="M14" s="3487" t="s">
        <v>4767</v>
      </c>
      <c r="N14" s="3488"/>
      <c r="O14" s="3109">
        <v>4627.92</v>
      </c>
      <c r="P14" s="3109">
        <v>2520.84</v>
      </c>
      <c r="Q14" s="3109">
        <v>2107.08</v>
      </c>
    </row>
    <row r="15" spans="1:17" ht="14.25" thickBot="1">
      <c r="L15" s="3485"/>
      <c r="M15" s="3489" t="s">
        <v>4768</v>
      </c>
      <c r="N15" s="3490"/>
      <c r="O15" s="3110">
        <v>149246.95000000001</v>
      </c>
      <c r="P15" s="3110">
        <v>75532.2</v>
      </c>
      <c r="Q15" s="3110">
        <v>73714.75</v>
      </c>
    </row>
    <row r="16" spans="1:17" ht="14.25" thickBot="1">
      <c r="L16" s="3483" t="s">
        <v>4769</v>
      </c>
      <c r="M16" s="3478" t="s">
        <v>4759</v>
      </c>
      <c r="N16" s="3108" t="s">
        <v>4472</v>
      </c>
      <c r="O16" s="3109">
        <v>37366.44</v>
      </c>
      <c r="P16" s="3109">
        <v>37366.44</v>
      </c>
      <c r="Q16" s="3109">
        <v>0</v>
      </c>
    </row>
    <row r="17" spans="4:17" ht="14.25" thickBot="1">
      <c r="L17" s="3484"/>
      <c r="M17" s="3486"/>
      <c r="N17" s="3108" t="s">
        <v>4713</v>
      </c>
      <c r="O17" s="3109">
        <v>3473.18</v>
      </c>
      <c r="P17" s="3109">
        <v>3473.18</v>
      </c>
      <c r="Q17" s="3109">
        <v>0</v>
      </c>
    </row>
    <row r="18" spans="4:17" ht="14.25" thickBot="1">
      <c r="L18" s="3484"/>
      <c r="M18" s="3486"/>
      <c r="N18" s="3108" t="s">
        <v>3211</v>
      </c>
      <c r="O18" s="3109">
        <v>23770.38</v>
      </c>
      <c r="P18" s="3109">
        <v>23770.38</v>
      </c>
      <c r="Q18" s="3109">
        <v>0</v>
      </c>
    </row>
    <row r="19" spans="4:17" ht="14.25" thickBot="1">
      <c r="L19" s="3484"/>
      <c r="M19" s="3486"/>
      <c r="N19" s="3108" t="s">
        <v>48</v>
      </c>
      <c r="O19" s="3109">
        <v>26123.5</v>
      </c>
      <c r="P19" s="3109">
        <v>0</v>
      </c>
      <c r="Q19" s="3109">
        <v>26123.5</v>
      </c>
    </row>
    <row r="20" spans="4:17" ht="14.25" thickBot="1">
      <c r="L20" s="3484"/>
      <c r="M20" s="3486"/>
      <c r="N20" s="3108" t="s">
        <v>4770</v>
      </c>
      <c r="O20" s="3109">
        <v>5874.31</v>
      </c>
      <c r="P20" s="3109">
        <v>0</v>
      </c>
      <c r="Q20" s="3109">
        <v>5874.31</v>
      </c>
    </row>
    <row r="21" spans="4:17" ht="14.25" thickBot="1">
      <c r="L21" s="3484"/>
      <c r="M21" s="3479"/>
      <c r="N21" s="3108" t="s">
        <v>4771</v>
      </c>
      <c r="O21" s="3109">
        <v>59454.19</v>
      </c>
      <c r="P21" s="3109">
        <v>0</v>
      </c>
      <c r="Q21" s="3109">
        <v>59454.19</v>
      </c>
    </row>
    <row r="22" spans="4:17" ht="14.25" thickBot="1">
      <c r="L22" s="3484"/>
      <c r="M22" s="3487" t="s">
        <v>4772</v>
      </c>
      <c r="N22" s="3488"/>
      <c r="O22" s="3109">
        <v>156062</v>
      </c>
      <c r="P22" s="3109">
        <v>64610</v>
      </c>
      <c r="Q22" s="3109">
        <v>91452</v>
      </c>
    </row>
    <row r="23" spans="4:17" ht="14.25" thickBot="1">
      <c r="L23" s="3484"/>
      <c r="M23" s="3478" t="s">
        <v>4764</v>
      </c>
      <c r="N23" s="3108" t="s">
        <v>4765</v>
      </c>
      <c r="O23" s="3109">
        <v>12764</v>
      </c>
      <c r="P23" s="3109">
        <v>84</v>
      </c>
      <c r="Q23" s="3109">
        <v>12680</v>
      </c>
    </row>
    <row r="24" spans="4:17" ht="14.25" thickBot="1">
      <c r="L24" s="3484"/>
      <c r="M24" s="3479"/>
      <c r="N24" s="3108" t="s">
        <v>4766</v>
      </c>
      <c r="O24" s="3109">
        <v>990</v>
      </c>
      <c r="P24" s="3109">
        <v>0</v>
      </c>
      <c r="Q24" s="3109">
        <v>990</v>
      </c>
    </row>
    <row r="25" spans="4:17" ht="14.25" thickBot="1">
      <c r="L25" s="3484"/>
      <c r="M25" s="3487" t="s">
        <v>4773</v>
      </c>
      <c r="N25" s="3488"/>
      <c r="O25" s="3109">
        <v>13754</v>
      </c>
      <c r="P25" s="3109">
        <v>84</v>
      </c>
      <c r="Q25" s="3109">
        <v>13670</v>
      </c>
    </row>
    <row r="26" spans="4:17" ht="14.25" thickBot="1">
      <c r="L26" s="3485"/>
      <c r="M26" s="3489" t="s">
        <v>4774</v>
      </c>
      <c r="N26" s="3490"/>
      <c r="O26" s="3110">
        <v>169816</v>
      </c>
      <c r="P26" s="3110">
        <v>64694</v>
      </c>
      <c r="Q26" s="3110">
        <v>105122</v>
      </c>
    </row>
    <row r="27" spans="4:17" ht="14.25" thickBot="1">
      <c r="L27" s="3475" t="s">
        <v>4775</v>
      </c>
      <c r="M27" s="3476"/>
      <c r="N27" s="3477"/>
      <c r="O27" s="3110">
        <f>O15+O26</f>
        <v>319062.95</v>
      </c>
      <c r="P27" s="3110">
        <f>P15+P26</f>
        <v>140226.20000000001</v>
      </c>
      <c r="Q27" s="3110">
        <f>Q15+Q26</f>
        <v>178836.75</v>
      </c>
    </row>
    <row r="29" spans="4:17" ht="14.25" thickBot="1"/>
    <row r="30" spans="4:17" ht="14.25" thickBot="1">
      <c r="D30" s="3478" t="s">
        <v>4785</v>
      </c>
      <c r="E30" s="3478" t="s">
        <v>4786</v>
      </c>
      <c r="F30" s="3478" t="s">
        <v>4777</v>
      </c>
      <c r="G30" s="3480" t="s">
        <v>4778</v>
      </c>
      <c r="H30" s="3481"/>
      <c r="I30" s="3482"/>
      <c r="J30" s="3480" t="s">
        <v>4779</v>
      </c>
      <c r="K30" s="3481"/>
      <c r="L30" s="3481"/>
      <c r="M30" s="3482"/>
      <c r="N30" s="3473" t="s">
        <v>3084</v>
      </c>
      <c r="O30" s="3473" t="s">
        <v>3085</v>
      </c>
      <c r="P30" s="3473" t="s">
        <v>3087</v>
      </c>
    </row>
    <row r="31" spans="4:17" ht="26.25" thickBot="1">
      <c r="D31" s="3479"/>
      <c r="E31" s="3479"/>
      <c r="F31" s="3479"/>
      <c r="G31" s="3108" t="s">
        <v>3080</v>
      </c>
      <c r="H31" s="3108" t="s">
        <v>1372</v>
      </c>
      <c r="I31" s="3111" t="s">
        <v>4780</v>
      </c>
      <c r="J31" s="3108" t="s">
        <v>4781</v>
      </c>
      <c r="K31" s="3111" t="s">
        <v>4782</v>
      </c>
      <c r="L31" s="3111" t="s">
        <v>4783</v>
      </c>
      <c r="M31" s="3111" t="s">
        <v>4784</v>
      </c>
      <c r="N31" s="3474"/>
      <c r="O31" s="3474"/>
      <c r="P31" s="3474"/>
    </row>
    <row r="32" spans="4:17" ht="14.25" hidden="1" thickBot="1">
      <c r="D32" s="3113" t="s">
        <v>3092</v>
      </c>
      <c r="E32" s="3108" t="s">
        <v>4787</v>
      </c>
      <c r="F32" s="3109">
        <v>817.74</v>
      </c>
      <c r="G32" s="3109">
        <v>282.56</v>
      </c>
      <c r="H32" s="3109">
        <v>0</v>
      </c>
      <c r="I32" s="3119">
        <v>0</v>
      </c>
      <c r="J32" s="3109">
        <v>535.17999999999995</v>
      </c>
      <c r="K32" s="3119">
        <v>0</v>
      </c>
      <c r="L32" s="3119">
        <v>0</v>
      </c>
      <c r="M32" s="3119">
        <v>0</v>
      </c>
      <c r="N32" s="3119">
        <v>2</v>
      </c>
      <c r="O32" s="3119">
        <v>3</v>
      </c>
      <c r="P32" s="3119">
        <v>2</v>
      </c>
    </row>
    <row r="33" spans="4:16" ht="14.25" hidden="1" thickBot="1">
      <c r="D33" s="3113" t="s">
        <v>3096</v>
      </c>
      <c r="E33" s="3108" t="s">
        <v>4787</v>
      </c>
      <c r="F33" s="3109">
        <v>817.45</v>
      </c>
      <c r="G33" s="3109">
        <v>282.56</v>
      </c>
      <c r="H33" s="3109">
        <v>0</v>
      </c>
      <c r="I33" s="3119">
        <v>0</v>
      </c>
      <c r="J33" s="3109">
        <v>534.89</v>
      </c>
      <c r="K33" s="3119">
        <v>0</v>
      </c>
      <c r="L33" s="3119">
        <v>0</v>
      </c>
      <c r="M33" s="3119">
        <v>0</v>
      </c>
      <c r="N33" s="3119">
        <v>2</v>
      </c>
      <c r="O33" s="3119">
        <v>3</v>
      </c>
      <c r="P33" s="3119">
        <v>2</v>
      </c>
    </row>
    <row r="34" spans="4:16" ht="14.25" hidden="1" thickBot="1">
      <c r="D34" s="3113" t="s">
        <v>3098</v>
      </c>
      <c r="E34" s="3108" t="s">
        <v>4787</v>
      </c>
      <c r="F34" s="3109">
        <v>1215.04</v>
      </c>
      <c r="G34" s="3109">
        <v>435.56</v>
      </c>
      <c r="H34" s="3109">
        <v>0</v>
      </c>
      <c r="I34" s="3119">
        <v>0</v>
      </c>
      <c r="J34" s="3109">
        <v>779.48</v>
      </c>
      <c r="K34" s="3119">
        <v>0</v>
      </c>
      <c r="L34" s="3119">
        <v>0</v>
      </c>
      <c r="M34" s="3119">
        <v>0</v>
      </c>
      <c r="N34" s="3119">
        <v>2</v>
      </c>
      <c r="O34" s="3119">
        <v>3</v>
      </c>
      <c r="P34" s="3119">
        <v>4</v>
      </c>
    </row>
    <row r="35" spans="4:16" ht="14.25" hidden="1" thickBot="1">
      <c r="D35" s="3113" t="s">
        <v>3100</v>
      </c>
      <c r="E35" s="3108" t="s">
        <v>4787</v>
      </c>
      <c r="F35" s="3109">
        <v>1815.68</v>
      </c>
      <c r="G35" s="3109">
        <v>652.01</v>
      </c>
      <c r="H35" s="3109">
        <v>0</v>
      </c>
      <c r="I35" s="3119">
        <v>0</v>
      </c>
      <c r="J35" s="3109">
        <v>1163.67</v>
      </c>
      <c r="K35" s="3119">
        <v>0</v>
      </c>
      <c r="L35" s="3119">
        <v>0</v>
      </c>
      <c r="M35" s="3119">
        <v>0</v>
      </c>
      <c r="N35" s="3119">
        <v>2</v>
      </c>
      <c r="O35" s="3119">
        <v>3</v>
      </c>
      <c r="P35" s="3119">
        <v>6</v>
      </c>
    </row>
    <row r="36" spans="4:16" ht="14.25" hidden="1" thickBot="1">
      <c r="D36" s="3113" t="s">
        <v>3101</v>
      </c>
      <c r="E36" s="3108" t="s">
        <v>4787</v>
      </c>
      <c r="F36" s="3109">
        <v>1816.24</v>
      </c>
      <c r="G36" s="3109">
        <v>652.01</v>
      </c>
      <c r="H36" s="3109">
        <v>0</v>
      </c>
      <c r="I36" s="3119">
        <v>0</v>
      </c>
      <c r="J36" s="3109">
        <v>1164.23</v>
      </c>
      <c r="K36" s="3119">
        <v>0</v>
      </c>
      <c r="L36" s="3119">
        <v>0</v>
      </c>
      <c r="M36" s="3119">
        <v>0</v>
      </c>
      <c r="N36" s="3119">
        <v>2</v>
      </c>
      <c r="O36" s="3119">
        <v>3</v>
      </c>
      <c r="P36" s="3119">
        <v>6</v>
      </c>
    </row>
    <row r="37" spans="4:16" ht="14.25" hidden="1" thickBot="1">
      <c r="D37" s="3113" t="s">
        <v>3103</v>
      </c>
      <c r="E37" s="3108" t="s">
        <v>4787</v>
      </c>
      <c r="F37" s="3109">
        <v>1215.04</v>
      </c>
      <c r="G37" s="3109">
        <v>435.56</v>
      </c>
      <c r="H37" s="3109">
        <v>0</v>
      </c>
      <c r="I37" s="3119">
        <v>0</v>
      </c>
      <c r="J37" s="3109">
        <v>779.48</v>
      </c>
      <c r="K37" s="3119">
        <v>0</v>
      </c>
      <c r="L37" s="3119">
        <v>0</v>
      </c>
      <c r="M37" s="3119">
        <v>0</v>
      </c>
      <c r="N37" s="3119">
        <v>2</v>
      </c>
      <c r="O37" s="3119">
        <v>3</v>
      </c>
      <c r="P37" s="3119">
        <v>4</v>
      </c>
    </row>
    <row r="38" spans="4:16" ht="14.25" hidden="1" thickBot="1">
      <c r="D38" s="3113" t="s">
        <v>3105</v>
      </c>
      <c r="E38" s="3108" t="s">
        <v>4787</v>
      </c>
      <c r="F38" s="3109">
        <v>1817.98</v>
      </c>
      <c r="G38" s="3109">
        <v>652.01</v>
      </c>
      <c r="H38" s="3109">
        <v>0</v>
      </c>
      <c r="I38" s="3119">
        <v>0</v>
      </c>
      <c r="J38" s="3109">
        <v>1165.97</v>
      </c>
      <c r="K38" s="3119">
        <v>0</v>
      </c>
      <c r="L38" s="3119">
        <v>0</v>
      </c>
      <c r="M38" s="3119">
        <v>0</v>
      </c>
      <c r="N38" s="3119">
        <v>2</v>
      </c>
      <c r="O38" s="3119">
        <v>3</v>
      </c>
      <c r="P38" s="3119">
        <v>6</v>
      </c>
    </row>
    <row r="39" spans="4:16" ht="14.25" hidden="1" thickBot="1">
      <c r="D39" s="3113" t="s">
        <v>3107</v>
      </c>
      <c r="E39" s="3108" t="s">
        <v>4787</v>
      </c>
      <c r="F39" s="3109">
        <v>1213.94</v>
      </c>
      <c r="G39" s="3109">
        <v>435.56</v>
      </c>
      <c r="H39" s="3109">
        <v>0</v>
      </c>
      <c r="I39" s="3119">
        <v>0</v>
      </c>
      <c r="J39" s="3109">
        <v>778.38</v>
      </c>
      <c r="K39" s="3119">
        <v>0</v>
      </c>
      <c r="L39" s="3119">
        <v>0</v>
      </c>
      <c r="M39" s="3119">
        <v>0</v>
      </c>
      <c r="N39" s="3119">
        <v>2</v>
      </c>
      <c r="O39" s="3119">
        <v>3</v>
      </c>
      <c r="P39" s="3119">
        <v>4</v>
      </c>
    </row>
    <row r="40" spans="4:16" ht="14.25" hidden="1" thickBot="1">
      <c r="D40" s="3113" t="s">
        <v>3109</v>
      </c>
      <c r="E40" s="3108" t="s">
        <v>4787</v>
      </c>
      <c r="F40" s="3109">
        <v>1213.94</v>
      </c>
      <c r="G40" s="3109">
        <v>435.56</v>
      </c>
      <c r="H40" s="3109">
        <v>0</v>
      </c>
      <c r="I40" s="3119">
        <v>0</v>
      </c>
      <c r="J40" s="3109">
        <v>778.38</v>
      </c>
      <c r="K40" s="3119">
        <v>0</v>
      </c>
      <c r="L40" s="3119">
        <v>0</v>
      </c>
      <c r="M40" s="3119">
        <v>0</v>
      </c>
      <c r="N40" s="3119">
        <v>2</v>
      </c>
      <c r="O40" s="3119">
        <v>3</v>
      </c>
      <c r="P40" s="3119">
        <v>4</v>
      </c>
    </row>
    <row r="41" spans="4:16" ht="14.25" hidden="1" thickBot="1">
      <c r="D41" s="3113" t="s">
        <v>3110</v>
      </c>
      <c r="E41" s="3108" t="s">
        <v>4787</v>
      </c>
      <c r="F41" s="3109">
        <v>1817.92</v>
      </c>
      <c r="G41" s="3109">
        <v>652.01</v>
      </c>
      <c r="H41" s="3109">
        <v>0</v>
      </c>
      <c r="I41" s="3119">
        <v>0</v>
      </c>
      <c r="J41" s="3109">
        <v>1165.9100000000001</v>
      </c>
      <c r="K41" s="3119">
        <v>0</v>
      </c>
      <c r="L41" s="3119">
        <v>0</v>
      </c>
      <c r="M41" s="3119">
        <v>0</v>
      </c>
      <c r="N41" s="3119">
        <v>2</v>
      </c>
      <c r="O41" s="3119">
        <v>3</v>
      </c>
      <c r="P41" s="3119">
        <v>6</v>
      </c>
    </row>
    <row r="42" spans="4:16" ht="14.25" hidden="1" thickBot="1">
      <c r="D42" s="3113" t="s">
        <v>3111</v>
      </c>
      <c r="E42" s="3108" t="s">
        <v>4787</v>
      </c>
      <c r="F42" s="3109">
        <v>1817.96</v>
      </c>
      <c r="G42" s="3109">
        <v>652.01</v>
      </c>
      <c r="H42" s="3109">
        <v>0</v>
      </c>
      <c r="I42" s="3119">
        <v>0</v>
      </c>
      <c r="J42" s="3109">
        <v>1165.95</v>
      </c>
      <c r="K42" s="3119">
        <v>0</v>
      </c>
      <c r="L42" s="3119">
        <v>0</v>
      </c>
      <c r="M42" s="3119">
        <v>0</v>
      </c>
      <c r="N42" s="3119">
        <v>2</v>
      </c>
      <c r="O42" s="3119">
        <v>3</v>
      </c>
      <c r="P42" s="3119">
        <v>6</v>
      </c>
    </row>
    <row r="43" spans="4:16" ht="14.25" hidden="1" thickBot="1">
      <c r="D43" s="3113" t="s">
        <v>3112</v>
      </c>
      <c r="E43" s="3108" t="s">
        <v>4787</v>
      </c>
      <c r="F43" s="3109">
        <v>1213.94</v>
      </c>
      <c r="G43" s="3109">
        <v>435.56</v>
      </c>
      <c r="H43" s="3109">
        <v>0</v>
      </c>
      <c r="I43" s="3119">
        <v>0</v>
      </c>
      <c r="J43" s="3109">
        <v>778.38</v>
      </c>
      <c r="K43" s="3119">
        <v>0</v>
      </c>
      <c r="L43" s="3119">
        <v>0</v>
      </c>
      <c r="M43" s="3119">
        <v>0</v>
      </c>
      <c r="N43" s="3119">
        <v>2</v>
      </c>
      <c r="O43" s="3119">
        <v>3</v>
      </c>
      <c r="P43" s="3119">
        <v>4</v>
      </c>
    </row>
    <row r="44" spans="4:16" ht="14.25" hidden="1" thickBot="1">
      <c r="D44" s="3113" t="s">
        <v>3113</v>
      </c>
      <c r="E44" s="3108" t="s">
        <v>4787</v>
      </c>
      <c r="F44" s="3109">
        <v>1816.88</v>
      </c>
      <c r="G44" s="3109">
        <v>652.01</v>
      </c>
      <c r="H44" s="3109">
        <v>0</v>
      </c>
      <c r="I44" s="3119">
        <v>0</v>
      </c>
      <c r="J44" s="3109">
        <v>1164.8699999999999</v>
      </c>
      <c r="K44" s="3119">
        <v>0</v>
      </c>
      <c r="L44" s="3119">
        <v>0</v>
      </c>
      <c r="M44" s="3119">
        <v>0</v>
      </c>
      <c r="N44" s="3119">
        <v>2</v>
      </c>
      <c r="O44" s="3119">
        <v>3</v>
      </c>
      <c r="P44" s="3119">
        <v>6</v>
      </c>
    </row>
    <row r="45" spans="4:16" ht="14.25" hidden="1" thickBot="1">
      <c r="D45" s="3113" t="s">
        <v>3114</v>
      </c>
      <c r="E45" s="3108" t="s">
        <v>4787</v>
      </c>
      <c r="F45" s="3109">
        <v>1215.04</v>
      </c>
      <c r="G45" s="3109">
        <v>435.56</v>
      </c>
      <c r="H45" s="3109">
        <v>0</v>
      </c>
      <c r="I45" s="3119">
        <v>0</v>
      </c>
      <c r="J45" s="3109">
        <v>779.48</v>
      </c>
      <c r="K45" s="3119">
        <v>0</v>
      </c>
      <c r="L45" s="3119">
        <v>0</v>
      </c>
      <c r="M45" s="3119">
        <v>0</v>
      </c>
      <c r="N45" s="3119">
        <v>2</v>
      </c>
      <c r="O45" s="3119">
        <v>3</v>
      </c>
      <c r="P45" s="3119">
        <v>4</v>
      </c>
    </row>
    <row r="46" spans="4:16" ht="14.25" hidden="1" thickBot="1">
      <c r="D46" s="3113" t="s">
        <v>3115</v>
      </c>
      <c r="E46" s="3108" t="s">
        <v>4787</v>
      </c>
      <c r="F46" s="3109">
        <v>622.58000000000004</v>
      </c>
      <c r="G46" s="3109">
        <v>225.49</v>
      </c>
      <c r="H46" s="3109">
        <v>0</v>
      </c>
      <c r="I46" s="3119">
        <v>0</v>
      </c>
      <c r="J46" s="3109">
        <v>397.09</v>
      </c>
      <c r="K46" s="3119">
        <v>0</v>
      </c>
      <c r="L46" s="3119">
        <v>0</v>
      </c>
      <c r="M46" s="3119">
        <v>0</v>
      </c>
      <c r="N46" s="3119">
        <v>2</v>
      </c>
      <c r="O46" s="3119">
        <v>3</v>
      </c>
      <c r="P46" s="3119">
        <v>2</v>
      </c>
    </row>
    <row r="47" spans="4:16" ht="14.25" hidden="1" thickBot="1">
      <c r="D47" s="3113" t="s">
        <v>3116</v>
      </c>
      <c r="E47" s="3108" t="s">
        <v>4787</v>
      </c>
      <c r="F47" s="3109">
        <v>935.79</v>
      </c>
      <c r="G47" s="3109">
        <v>337.54</v>
      </c>
      <c r="H47" s="3109">
        <v>0</v>
      </c>
      <c r="I47" s="3119">
        <v>0</v>
      </c>
      <c r="J47" s="3109">
        <v>598.25</v>
      </c>
      <c r="K47" s="3119">
        <v>0</v>
      </c>
      <c r="L47" s="3119">
        <v>0</v>
      </c>
      <c r="M47" s="3119">
        <v>0</v>
      </c>
      <c r="N47" s="3119">
        <v>2</v>
      </c>
      <c r="O47" s="3119">
        <v>3</v>
      </c>
      <c r="P47" s="3119">
        <v>3</v>
      </c>
    </row>
    <row r="48" spans="4:16" ht="14.25" hidden="1" thickBot="1">
      <c r="D48" s="3113" t="s">
        <v>3117</v>
      </c>
      <c r="E48" s="3108" t="s">
        <v>4787</v>
      </c>
      <c r="F48" s="3109">
        <v>1816.88</v>
      </c>
      <c r="G48" s="3109">
        <v>652.01</v>
      </c>
      <c r="H48" s="3109">
        <v>0</v>
      </c>
      <c r="I48" s="3119">
        <v>0</v>
      </c>
      <c r="J48" s="3109">
        <v>1164.8699999999999</v>
      </c>
      <c r="K48" s="3119">
        <v>0</v>
      </c>
      <c r="L48" s="3119">
        <v>0</v>
      </c>
      <c r="M48" s="3119">
        <v>0</v>
      </c>
      <c r="N48" s="3119">
        <v>2</v>
      </c>
      <c r="O48" s="3119">
        <v>3</v>
      </c>
      <c r="P48" s="3119">
        <v>6</v>
      </c>
    </row>
    <row r="49" spans="4:16" ht="14.25" hidden="1" thickBot="1">
      <c r="D49" s="3113" t="s">
        <v>3118</v>
      </c>
      <c r="E49" s="3108" t="s">
        <v>4787</v>
      </c>
      <c r="F49" s="3109">
        <v>1215.04</v>
      </c>
      <c r="G49" s="3109">
        <v>435.56</v>
      </c>
      <c r="H49" s="3109">
        <v>0</v>
      </c>
      <c r="I49" s="3119">
        <v>0</v>
      </c>
      <c r="J49" s="3109">
        <v>779.48</v>
      </c>
      <c r="K49" s="3119">
        <v>0</v>
      </c>
      <c r="L49" s="3119">
        <v>0</v>
      </c>
      <c r="M49" s="3119">
        <v>0</v>
      </c>
      <c r="N49" s="3119">
        <v>2</v>
      </c>
      <c r="O49" s="3119">
        <v>3</v>
      </c>
      <c r="P49" s="3119">
        <v>4</v>
      </c>
    </row>
    <row r="50" spans="4:16" ht="14.25" hidden="1" thickBot="1">
      <c r="D50" s="3113" t="s">
        <v>3119</v>
      </c>
      <c r="E50" s="3108" t="s">
        <v>4787</v>
      </c>
      <c r="F50" s="3109">
        <v>1817.96</v>
      </c>
      <c r="G50" s="3109">
        <v>652.01</v>
      </c>
      <c r="H50" s="3109">
        <v>0</v>
      </c>
      <c r="I50" s="3119">
        <v>0</v>
      </c>
      <c r="J50" s="3109">
        <v>1165.95</v>
      </c>
      <c r="K50" s="3119">
        <v>0</v>
      </c>
      <c r="L50" s="3119">
        <v>0</v>
      </c>
      <c r="M50" s="3119">
        <v>0</v>
      </c>
      <c r="N50" s="3119">
        <v>2</v>
      </c>
      <c r="O50" s="3119">
        <v>3</v>
      </c>
      <c r="P50" s="3119">
        <v>6</v>
      </c>
    </row>
    <row r="51" spans="4:16" ht="14.25" hidden="1" thickBot="1">
      <c r="D51" s="3113" t="s">
        <v>3120</v>
      </c>
      <c r="E51" s="3108" t="s">
        <v>4787</v>
      </c>
      <c r="F51" s="3109">
        <v>1213.4000000000001</v>
      </c>
      <c r="G51" s="3109">
        <v>435.56</v>
      </c>
      <c r="H51" s="3109">
        <v>0</v>
      </c>
      <c r="I51" s="3119">
        <v>0</v>
      </c>
      <c r="J51" s="3109">
        <v>777.84</v>
      </c>
      <c r="K51" s="3119">
        <v>0</v>
      </c>
      <c r="L51" s="3119">
        <v>0</v>
      </c>
      <c r="M51" s="3119">
        <v>0</v>
      </c>
      <c r="N51" s="3119">
        <v>2</v>
      </c>
      <c r="O51" s="3119">
        <v>3</v>
      </c>
      <c r="P51" s="3119">
        <v>4</v>
      </c>
    </row>
    <row r="52" spans="4:16" ht="14.25" hidden="1" thickBot="1">
      <c r="D52" s="3113" t="s">
        <v>3121</v>
      </c>
      <c r="E52" s="3108" t="s">
        <v>4787</v>
      </c>
      <c r="F52" s="3109">
        <v>1213.94</v>
      </c>
      <c r="G52" s="3109">
        <v>435.56</v>
      </c>
      <c r="H52" s="3109">
        <v>0</v>
      </c>
      <c r="I52" s="3119">
        <v>0</v>
      </c>
      <c r="J52" s="3109">
        <v>778.38</v>
      </c>
      <c r="K52" s="3119">
        <v>0</v>
      </c>
      <c r="L52" s="3119">
        <v>0</v>
      </c>
      <c r="M52" s="3119">
        <v>0</v>
      </c>
      <c r="N52" s="3119">
        <v>2</v>
      </c>
      <c r="O52" s="3119">
        <v>3</v>
      </c>
      <c r="P52" s="3119">
        <v>4</v>
      </c>
    </row>
    <row r="53" spans="4:16" ht="14.25" hidden="1" thickBot="1">
      <c r="D53" s="3113" t="s">
        <v>3122</v>
      </c>
      <c r="E53" s="3108" t="s">
        <v>4787</v>
      </c>
      <c r="F53" s="3109">
        <v>1817.98</v>
      </c>
      <c r="G53" s="3109">
        <v>652.01</v>
      </c>
      <c r="H53" s="3109">
        <v>0</v>
      </c>
      <c r="I53" s="3119">
        <v>0</v>
      </c>
      <c r="J53" s="3109">
        <v>1165.97</v>
      </c>
      <c r="K53" s="3119">
        <v>0</v>
      </c>
      <c r="L53" s="3119">
        <v>0</v>
      </c>
      <c r="M53" s="3119">
        <v>0</v>
      </c>
      <c r="N53" s="3119">
        <v>2</v>
      </c>
      <c r="O53" s="3119">
        <v>3</v>
      </c>
      <c r="P53" s="3119">
        <v>6</v>
      </c>
    </row>
    <row r="54" spans="4:16" ht="14.25" hidden="1" thickBot="1">
      <c r="D54" s="3113" t="s">
        <v>3123</v>
      </c>
      <c r="E54" s="3108" t="s">
        <v>4787</v>
      </c>
      <c r="F54" s="3109">
        <v>1818.18</v>
      </c>
      <c r="G54" s="3109">
        <v>652.01</v>
      </c>
      <c r="H54" s="3109">
        <v>0</v>
      </c>
      <c r="I54" s="3119">
        <v>0</v>
      </c>
      <c r="J54" s="3109">
        <v>1166.17</v>
      </c>
      <c r="K54" s="3119">
        <v>0</v>
      </c>
      <c r="L54" s="3119">
        <v>0</v>
      </c>
      <c r="M54" s="3119">
        <v>0</v>
      </c>
      <c r="N54" s="3119">
        <v>2</v>
      </c>
      <c r="O54" s="3119">
        <v>3</v>
      </c>
      <c r="P54" s="3119">
        <v>6</v>
      </c>
    </row>
    <row r="55" spans="4:16" ht="14.25" hidden="1" thickBot="1">
      <c r="D55" s="3113" t="s">
        <v>3124</v>
      </c>
      <c r="E55" s="3108" t="s">
        <v>4787</v>
      </c>
      <c r="F55" s="3109">
        <v>1213.94</v>
      </c>
      <c r="G55" s="3109">
        <v>435.56</v>
      </c>
      <c r="H55" s="3109">
        <v>0</v>
      </c>
      <c r="I55" s="3119">
        <v>0</v>
      </c>
      <c r="J55" s="3109">
        <v>778.38</v>
      </c>
      <c r="K55" s="3119">
        <v>0</v>
      </c>
      <c r="L55" s="3119">
        <v>0</v>
      </c>
      <c r="M55" s="3119">
        <v>0</v>
      </c>
      <c r="N55" s="3119">
        <v>2</v>
      </c>
      <c r="O55" s="3119">
        <v>3</v>
      </c>
      <c r="P55" s="3119">
        <v>4</v>
      </c>
    </row>
    <row r="56" spans="4:16" ht="14.25" hidden="1" thickBot="1">
      <c r="D56" s="3113" t="s">
        <v>3125</v>
      </c>
      <c r="E56" s="3108" t="s">
        <v>4787</v>
      </c>
      <c r="F56" s="3109">
        <v>817.45</v>
      </c>
      <c r="G56" s="3109">
        <v>282.56</v>
      </c>
      <c r="H56" s="3109">
        <v>0</v>
      </c>
      <c r="I56" s="3119">
        <v>0</v>
      </c>
      <c r="J56" s="3109">
        <v>534.89</v>
      </c>
      <c r="K56" s="3119">
        <v>0</v>
      </c>
      <c r="L56" s="3119">
        <v>0</v>
      </c>
      <c r="M56" s="3119">
        <v>0</v>
      </c>
      <c r="N56" s="3119">
        <v>2</v>
      </c>
      <c r="O56" s="3119">
        <v>3</v>
      </c>
      <c r="P56" s="3119">
        <v>2</v>
      </c>
    </row>
    <row r="57" spans="4:16" ht="14.25" hidden="1" thickBot="1">
      <c r="D57" s="3113" t="s">
        <v>3126</v>
      </c>
      <c r="E57" s="3108" t="s">
        <v>4787</v>
      </c>
      <c r="F57" s="3109">
        <v>1629.12</v>
      </c>
      <c r="G57" s="3109">
        <v>563.59</v>
      </c>
      <c r="H57" s="3109">
        <v>0</v>
      </c>
      <c r="I57" s="3119">
        <v>0</v>
      </c>
      <c r="J57" s="3109">
        <v>1065.53</v>
      </c>
      <c r="K57" s="3119">
        <v>0</v>
      </c>
      <c r="L57" s="3119">
        <v>0</v>
      </c>
      <c r="M57" s="3119">
        <v>0</v>
      </c>
      <c r="N57" s="3119">
        <v>2</v>
      </c>
      <c r="O57" s="3119">
        <v>3</v>
      </c>
      <c r="P57" s="3119">
        <v>4</v>
      </c>
    </row>
    <row r="58" spans="4:16" ht="14.25" hidden="1" thickBot="1">
      <c r="D58" s="3113" t="s">
        <v>3127</v>
      </c>
      <c r="E58" s="3108" t="s">
        <v>4787</v>
      </c>
      <c r="F58" s="3109">
        <v>1815.68</v>
      </c>
      <c r="G58" s="3109">
        <v>652.01</v>
      </c>
      <c r="H58" s="3109">
        <v>0</v>
      </c>
      <c r="I58" s="3119">
        <v>0</v>
      </c>
      <c r="J58" s="3109">
        <v>1163.67</v>
      </c>
      <c r="K58" s="3119">
        <v>0</v>
      </c>
      <c r="L58" s="3119">
        <v>0</v>
      </c>
      <c r="M58" s="3119">
        <v>0</v>
      </c>
      <c r="N58" s="3119">
        <v>2</v>
      </c>
      <c r="O58" s="3119">
        <v>3</v>
      </c>
      <c r="P58" s="3119">
        <v>6</v>
      </c>
    </row>
    <row r="59" spans="4:16" ht="14.25" hidden="1" thickBot="1">
      <c r="D59" s="3113" t="s">
        <v>3128</v>
      </c>
      <c r="E59" s="3108" t="s">
        <v>4787</v>
      </c>
      <c r="F59" s="3109">
        <v>1816.88</v>
      </c>
      <c r="G59" s="3109">
        <v>652.01</v>
      </c>
      <c r="H59" s="3109">
        <v>0</v>
      </c>
      <c r="I59" s="3119">
        <v>0</v>
      </c>
      <c r="J59" s="3109">
        <v>1164.8699999999999</v>
      </c>
      <c r="K59" s="3119">
        <v>0</v>
      </c>
      <c r="L59" s="3119">
        <v>0</v>
      </c>
      <c r="M59" s="3119">
        <v>0</v>
      </c>
      <c r="N59" s="3119">
        <v>2</v>
      </c>
      <c r="O59" s="3119">
        <v>3</v>
      </c>
      <c r="P59" s="3119">
        <v>6</v>
      </c>
    </row>
    <row r="60" spans="4:16" ht="14.25" hidden="1" thickBot="1">
      <c r="D60" s="3113" t="s">
        <v>3129</v>
      </c>
      <c r="E60" s="3108" t="s">
        <v>4787</v>
      </c>
      <c r="F60" s="3109">
        <v>931.22</v>
      </c>
      <c r="G60" s="3109">
        <v>337.54</v>
      </c>
      <c r="H60" s="3109">
        <v>0</v>
      </c>
      <c r="I60" s="3119">
        <v>0</v>
      </c>
      <c r="J60" s="3109">
        <v>593.67999999999995</v>
      </c>
      <c r="K60" s="3119">
        <v>0</v>
      </c>
      <c r="L60" s="3119">
        <v>0</v>
      </c>
      <c r="M60" s="3119">
        <v>0</v>
      </c>
      <c r="N60" s="3119">
        <v>2</v>
      </c>
      <c r="O60" s="3119">
        <v>3</v>
      </c>
      <c r="P60" s="3119">
        <v>3</v>
      </c>
    </row>
    <row r="61" spans="4:16" ht="14.25" hidden="1" thickBot="1">
      <c r="D61" s="3113" t="s">
        <v>3130</v>
      </c>
      <c r="E61" s="3108" t="s">
        <v>4787</v>
      </c>
      <c r="F61" s="3109">
        <v>930.61</v>
      </c>
      <c r="G61" s="3109">
        <v>337.54</v>
      </c>
      <c r="H61" s="3109">
        <v>0</v>
      </c>
      <c r="I61" s="3119">
        <v>0</v>
      </c>
      <c r="J61" s="3109">
        <v>593.07000000000005</v>
      </c>
      <c r="K61" s="3119">
        <v>0</v>
      </c>
      <c r="L61" s="3119">
        <v>0</v>
      </c>
      <c r="M61" s="3119">
        <v>0</v>
      </c>
      <c r="N61" s="3119">
        <v>2</v>
      </c>
      <c r="O61" s="3119">
        <v>3</v>
      </c>
      <c r="P61" s="3119">
        <v>3</v>
      </c>
    </row>
    <row r="62" spans="4:16" ht="14.25" hidden="1" thickBot="1">
      <c r="D62" s="3113" t="s">
        <v>3131</v>
      </c>
      <c r="E62" s="3108" t="s">
        <v>4787</v>
      </c>
      <c r="F62" s="3109">
        <v>1816.88</v>
      </c>
      <c r="G62" s="3109">
        <v>652.01</v>
      </c>
      <c r="H62" s="3109">
        <v>0</v>
      </c>
      <c r="I62" s="3119">
        <v>0</v>
      </c>
      <c r="J62" s="3109">
        <v>1164.8699999999999</v>
      </c>
      <c r="K62" s="3119">
        <v>0</v>
      </c>
      <c r="L62" s="3119">
        <v>0</v>
      </c>
      <c r="M62" s="3119">
        <v>0</v>
      </c>
      <c r="N62" s="3119">
        <v>2</v>
      </c>
      <c r="O62" s="3119">
        <v>3</v>
      </c>
      <c r="P62" s="3119">
        <v>6</v>
      </c>
    </row>
    <row r="63" spans="4:16" ht="14.25" hidden="1" thickBot="1">
      <c r="D63" s="3113" t="s">
        <v>3132</v>
      </c>
      <c r="E63" s="3108" t="s">
        <v>4787</v>
      </c>
      <c r="F63" s="3109">
        <v>1816.32</v>
      </c>
      <c r="G63" s="3109">
        <v>652.01</v>
      </c>
      <c r="H63" s="3109">
        <v>0</v>
      </c>
      <c r="I63" s="3119">
        <v>0</v>
      </c>
      <c r="J63" s="3109">
        <v>1164.31</v>
      </c>
      <c r="K63" s="3119">
        <v>0</v>
      </c>
      <c r="L63" s="3119">
        <v>0</v>
      </c>
      <c r="M63" s="3119">
        <v>0</v>
      </c>
      <c r="N63" s="3119">
        <v>2</v>
      </c>
      <c r="O63" s="3119">
        <v>3</v>
      </c>
      <c r="P63" s="3119">
        <v>6</v>
      </c>
    </row>
    <row r="64" spans="4:16" ht="14.25" hidden="1" thickBot="1">
      <c r="D64" s="3113" t="s">
        <v>3133</v>
      </c>
      <c r="E64" s="3108" t="s">
        <v>4787</v>
      </c>
      <c r="F64" s="3109">
        <v>1816.04</v>
      </c>
      <c r="G64" s="3109">
        <v>652.01</v>
      </c>
      <c r="H64" s="3109">
        <v>0</v>
      </c>
      <c r="I64" s="3119">
        <v>0</v>
      </c>
      <c r="J64" s="3109">
        <v>1164.03</v>
      </c>
      <c r="K64" s="3119">
        <v>0</v>
      </c>
      <c r="L64" s="3119">
        <v>0</v>
      </c>
      <c r="M64" s="3119">
        <v>0</v>
      </c>
      <c r="N64" s="3119">
        <v>2</v>
      </c>
      <c r="O64" s="3119">
        <v>3</v>
      </c>
      <c r="P64" s="3119">
        <v>6</v>
      </c>
    </row>
    <row r="65" spans="4:16" ht="14.25" hidden="1" thickBot="1">
      <c r="D65" s="3113" t="s">
        <v>3134</v>
      </c>
      <c r="E65" s="3108" t="s">
        <v>4787</v>
      </c>
      <c r="F65" s="3109">
        <v>1525.08</v>
      </c>
      <c r="G65" s="3109">
        <v>547.61</v>
      </c>
      <c r="H65" s="3109">
        <v>0</v>
      </c>
      <c r="I65" s="3119">
        <v>0</v>
      </c>
      <c r="J65" s="3109">
        <v>977.47</v>
      </c>
      <c r="K65" s="3119">
        <v>0</v>
      </c>
      <c r="L65" s="3119">
        <v>0</v>
      </c>
      <c r="M65" s="3119">
        <v>0</v>
      </c>
      <c r="N65" s="3119">
        <v>2</v>
      </c>
      <c r="O65" s="3119">
        <v>3</v>
      </c>
      <c r="P65" s="3119">
        <v>5</v>
      </c>
    </row>
    <row r="66" spans="4:16" ht="14.25" hidden="1" thickBot="1">
      <c r="D66" s="3113" t="s">
        <v>3135</v>
      </c>
      <c r="E66" s="3108" t="s">
        <v>4787</v>
      </c>
      <c r="F66" s="3109">
        <v>1523.29</v>
      </c>
      <c r="G66" s="3109">
        <v>547.61</v>
      </c>
      <c r="H66" s="3109">
        <v>0</v>
      </c>
      <c r="I66" s="3119">
        <v>0</v>
      </c>
      <c r="J66" s="3109">
        <v>975.68</v>
      </c>
      <c r="K66" s="3119">
        <v>0</v>
      </c>
      <c r="L66" s="3119">
        <v>0</v>
      </c>
      <c r="M66" s="3119">
        <v>0</v>
      </c>
      <c r="N66" s="3119">
        <v>2</v>
      </c>
      <c r="O66" s="3119">
        <v>3</v>
      </c>
      <c r="P66" s="3119">
        <v>5</v>
      </c>
    </row>
    <row r="67" spans="4:16" ht="14.25" hidden="1" thickBot="1">
      <c r="D67" s="3113" t="s">
        <v>3136</v>
      </c>
      <c r="E67" s="3108" t="s">
        <v>4787</v>
      </c>
      <c r="F67" s="3109">
        <v>1815.68</v>
      </c>
      <c r="G67" s="3109">
        <v>652.01</v>
      </c>
      <c r="H67" s="3109">
        <v>0</v>
      </c>
      <c r="I67" s="3119">
        <v>0</v>
      </c>
      <c r="J67" s="3109">
        <v>1163.67</v>
      </c>
      <c r="K67" s="3119">
        <v>0</v>
      </c>
      <c r="L67" s="3119">
        <v>0</v>
      </c>
      <c r="M67" s="3119">
        <v>0</v>
      </c>
      <c r="N67" s="3119">
        <v>2</v>
      </c>
      <c r="O67" s="3119">
        <v>3</v>
      </c>
      <c r="P67" s="3119">
        <v>6</v>
      </c>
    </row>
    <row r="68" spans="4:16" ht="14.25" hidden="1" thickBot="1">
      <c r="D68" s="3113" t="s">
        <v>3137</v>
      </c>
      <c r="E68" s="3108" t="s">
        <v>4787</v>
      </c>
      <c r="F68" s="3109">
        <v>1815.68</v>
      </c>
      <c r="G68" s="3109">
        <v>652.01</v>
      </c>
      <c r="H68" s="3109">
        <v>0</v>
      </c>
      <c r="I68" s="3119">
        <v>0</v>
      </c>
      <c r="J68" s="3109">
        <v>1163.67</v>
      </c>
      <c r="K68" s="3119">
        <v>0</v>
      </c>
      <c r="L68" s="3119">
        <v>0</v>
      </c>
      <c r="M68" s="3119">
        <v>0</v>
      </c>
      <c r="N68" s="3119">
        <v>2</v>
      </c>
      <c r="O68" s="3119">
        <v>3</v>
      </c>
      <c r="P68" s="3119">
        <v>6</v>
      </c>
    </row>
    <row r="69" spans="4:16" ht="14.25" hidden="1" thickBot="1">
      <c r="D69" s="3113" t="s">
        <v>3138</v>
      </c>
      <c r="E69" s="3108" t="s">
        <v>4787</v>
      </c>
      <c r="F69" s="3109">
        <v>1817.52</v>
      </c>
      <c r="G69" s="3109">
        <v>652.01</v>
      </c>
      <c r="H69" s="3109">
        <v>0</v>
      </c>
      <c r="I69" s="3119">
        <v>0</v>
      </c>
      <c r="J69" s="3109">
        <v>1165.51</v>
      </c>
      <c r="K69" s="3119">
        <v>0</v>
      </c>
      <c r="L69" s="3119">
        <v>0</v>
      </c>
      <c r="M69" s="3119">
        <v>0</v>
      </c>
      <c r="N69" s="3119">
        <v>2</v>
      </c>
      <c r="O69" s="3119">
        <v>3</v>
      </c>
      <c r="P69" s="3119">
        <v>6</v>
      </c>
    </row>
    <row r="70" spans="4:16" ht="14.25" hidden="1" thickBot="1">
      <c r="D70" s="3113" t="s">
        <v>3139</v>
      </c>
      <c r="E70" s="3108" t="s">
        <v>4787</v>
      </c>
      <c r="F70" s="3109">
        <v>1524.39</v>
      </c>
      <c r="G70" s="3109">
        <v>547.61</v>
      </c>
      <c r="H70" s="3109">
        <v>0</v>
      </c>
      <c r="I70" s="3119">
        <v>0</v>
      </c>
      <c r="J70" s="3109">
        <v>976.78</v>
      </c>
      <c r="K70" s="3119">
        <v>0</v>
      </c>
      <c r="L70" s="3119">
        <v>0</v>
      </c>
      <c r="M70" s="3119">
        <v>0</v>
      </c>
      <c r="N70" s="3119">
        <v>2</v>
      </c>
      <c r="O70" s="3119">
        <v>3</v>
      </c>
      <c r="P70" s="3119">
        <v>5</v>
      </c>
    </row>
    <row r="71" spans="4:16" ht="14.25" hidden="1" thickBot="1">
      <c r="D71" s="3113" t="s">
        <v>3140</v>
      </c>
      <c r="E71" s="3108" t="s">
        <v>4787</v>
      </c>
      <c r="F71" s="3109">
        <v>1816.32</v>
      </c>
      <c r="G71" s="3109">
        <v>652.01</v>
      </c>
      <c r="H71" s="3109">
        <v>0</v>
      </c>
      <c r="I71" s="3119">
        <v>0</v>
      </c>
      <c r="J71" s="3109">
        <v>1164.31</v>
      </c>
      <c r="K71" s="3119">
        <v>0</v>
      </c>
      <c r="L71" s="3119">
        <v>0</v>
      </c>
      <c r="M71" s="3119">
        <v>0</v>
      </c>
      <c r="N71" s="3119">
        <v>2</v>
      </c>
      <c r="O71" s="3119">
        <v>3</v>
      </c>
      <c r="P71" s="3119">
        <v>6</v>
      </c>
    </row>
    <row r="72" spans="4:16" ht="14.25" hidden="1" thickBot="1">
      <c r="D72" s="3113" t="s">
        <v>3141</v>
      </c>
      <c r="E72" s="3108" t="s">
        <v>4787</v>
      </c>
      <c r="F72" s="3109">
        <v>1816.32</v>
      </c>
      <c r="G72" s="3109">
        <v>652.01</v>
      </c>
      <c r="H72" s="3109">
        <v>0</v>
      </c>
      <c r="I72" s="3119">
        <v>0</v>
      </c>
      <c r="J72" s="3109">
        <v>1164.31</v>
      </c>
      <c r="K72" s="3119">
        <v>0</v>
      </c>
      <c r="L72" s="3119">
        <v>0</v>
      </c>
      <c r="M72" s="3119">
        <v>0</v>
      </c>
      <c r="N72" s="3119">
        <v>2</v>
      </c>
      <c r="O72" s="3119">
        <v>3</v>
      </c>
      <c r="P72" s="3119">
        <v>6</v>
      </c>
    </row>
    <row r="73" spans="4:16" ht="14.25" hidden="1" thickBot="1">
      <c r="D73" s="3113" t="s">
        <v>3142</v>
      </c>
      <c r="E73" s="3108" t="s">
        <v>4787</v>
      </c>
      <c r="F73" s="3109">
        <v>1816.88</v>
      </c>
      <c r="G73" s="3109">
        <v>652.01</v>
      </c>
      <c r="H73" s="3109">
        <v>0</v>
      </c>
      <c r="I73" s="3119">
        <v>0</v>
      </c>
      <c r="J73" s="3109">
        <v>1164.8699999999999</v>
      </c>
      <c r="K73" s="3119">
        <v>0</v>
      </c>
      <c r="L73" s="3119">
        <v>0</v>
      </c>
      <c r="M73" s="3119">
        <v>0</v>
      </c>
      <c r="N73" s="3119">
        <v>2</v>
      </c>
      <c r="O73" s="3119">
        <v>3</v>
      </c>
      <c r="P73" s="3119">
        <v>6</v>
      </c>
    </row>
    <row r="74" spans="4:16" ht="14.25" hidden="1" thickBot="1">
      <c r="D74" s="3113" t="s">
        <v>3143</v>
      </c>
      <c r="E74" s="3108" t="s">
        <v>4787</v>
      </c>
      <c r="F74" s="3109">
        <v>1816.88</v>
      </c>
      <c r="G74" s="3109">
        <v>652.01</v>
      </c>
      <c r="H74" s="3109">
        <v>0</v>
      </c>
      <c r="I74" s="3119">
        <v>0</v>
      </c>
      <c r="J74" s="3109">
        <v>1164.8699999999999</v>
      </c>
      <c r="K74" s="3119">
        <v>0</v>
      </c>
      <c r="L74" s="3119">
        <v>0</v>
      </c>
      <c r="M74" s="3119">
        <v>0</v>
      </c>
      <c r="N74" s="3119">
        <v>2</v>
      </c>
      <c r="O74" s="3119">
        <v>3</v>
      </c>
      <c r="P74" s="3119">
        <v>6</v>
      </c>
    </row>
    <row r="75" spans="4:16" ht="14.25" hidden="1" thickBot="1">
      <c r="D75" s="3113" t="s">
        <v>3144</v>
      </c>
      <c r="E75" s="3108" t="s">
        <v>4787</v>
      </c>
      <c r="F75" s="3109">
        <v>1815.68</v>
      </c>
      <c r="G75" s="3109">
        <v>652.01</v>
      </c>
      <c r="H75" s="3109">
        <v>0</v>
      </c>
      <c r="I75" s="3119">
        <v>0</v>
      </c>
      <c r="J75" s="3109">
        <v>1163.67</v>
      </c>
      <c r="K75" s="3119">
        <v>0</v>
      </c>
      <c r="L75" s="3119">
        <v>0</v>
      </c>
      <c r="M75" s="3119">
        <v>0</v>
      </c>
      <c r="N75" s="3119">
        <v>2</v>
      </c>
      <c r="O75" s="3119">
        <v>3</v>
      </c>
      <c r="P75" s="3119">
        <v>6</v>
      </c>
    </row>
    <row r="76" spans="4:16" ht="14.25" hidden="1" thickBot="1">
      <c r="D76" s="3113" t="s">
        <v>3145</v>
      </c>
      <c r="E76" s="3108" t="s">
        <v>4787</v>
      </c>
      <c r="F76" s="3109">
        <v>1213.4000000000001</v>
      </c>
      <c r="G76" s="3109">
        <v>435.56</v>
      </c>
      <c r="H76" s="3109">
        <v>0</v>
      </c>
      <c r="I76" s="3119">
        <v>0</v>
      </c>
      <c r="J76" s="3109">
        <v>777.84</v>
      </c>
      <c r="K76" s="3119">
        <v>0</v>
      </c>
      <c r="L76" s="3119">
        <v>0</v>
      </c>
      <c r="M76" s="3119">
        <v>0</v>
      </c>
      <c r="N76" s="3119">
        <v>2</v>
      </c>
      <c r="O76" s="3119">
        <v>3</v>
      </c>
      <c r="P76" s="3119">
        <v>4</v>
      </c>
    </row>
    <row r="77" spans="4:16" ht="14.25" hidden="1" thickBot="1">
      <c r="D77" s="3113" t="s">
        <v>3146</v>
      </c>
      <c r="E77" s="3108" t="s">
        <v>4787</v>
      </c>
      <c r="F77" s="3109">
        <v>1240.74</v>
      </c>
      <c r="G77" s="3109">
        <v>449.59</v>
      </c>
      <c r="H77" s="3109">
        <v>0</v>
      </c>
      <c r="I77" s="3119">
        <v>0</v>
      </c>
      <c r="J77" s="3109">
        <v>791.15</v>
      </c>
      <c r="K77" s="3119">
        <v>0</v>
      </c>
      <c r="L77" s="3119">
        <v>0</v>
      </c>
      <c r="M77" s="3119">
        <v>0</v>
      </c>
      <c r="N77" s="3119">
        <v>2</v>
      </c>
      <c r="O77" s="3119">
        <v>3</v>
      </c>
      <c r="P77" s="3119">
        <v>4</v>
      </c>
    </row>
    <row r="78" spans="4:16" ht="14.25" hidden="1" thickBot="1">
      <c r="D78" s="3113" t="s">
        <v>3147</v>
      </c>
      <c r="E78" s="3108" t="s">
        <v>4787</v>
      </c>
      <c r="F78" s="3109">
        <v>1816.32</v>
      </c>
      <c r="G78" s="3109">
        <v>652.01</v>
      </c>
      <c r="H78" s="3109">
        <v>0</v>
      </c>
      <c r="I78" s="3119">
        <v>0</v>
      </c>
      <c r="J78" s="3109">
        <v>1164.31</v>
      </c>
      <c r="K78" s="3119">
        <v>0</v>
      </c>
      <c r="L78" s="3119">
        <v>0</v>
      </c>
      <c r="M78" s="3119">
        <v>0</v>
      </c>
      <c r="N78" s="3119">
        <v>2</v>
      </c>
      <c r="O78" s="3119">
        <v>3</v>
      </c>
      <c r="P78" s="3119">
        <v>6</v>
      </c>
    </row>
    <row r="79" spans="4:16" ht="14.25" hidden="1" thickBot="1">
      <c r="D79" s="3113" t="s">
        <v>3148</v>
      </c>
      <c r="E79" s="3108" t="s">
        <v>4787</v>
      </c>
      <c r="F79" s="3109">
        <v>1240.81</v>
      </c>
      <c r="G79" s="3109">
        <v>449.59</v>
      </c>
      <c r="H79" s="3109">
        <v>0</v>
      </c>
      <c r="I79" s="3119">
        <v>0</v>
      </c>
      <c r="J79" s="3109">
        <v>791.22</v>
      </c>
      <c r="K79" s="3119">
        <v>0</v>
      </c>
      <c r="L79" s="3119">
        <v>0</v>
      </c>
      <c r="M79" s="3119">
        <v>0</v>
      </c>
      <c r="N79" s="3119">
        <v>2</v>
      </c>
      <c r="O79" s="3119">
        <v>3</v>
      </c>
      <c r="P79" s="3119">
        <v>4</v>
      </c>
    </row>
    <row r="80" spans="4:16" ht="14.25" hidden="1" thickBot="1">
      <c r="D80" s="3113" t="s">
        <v>3149</v>
      </c>
      <c r="E80" s="3108" t="s">
        <v>4787</v>
      </c>
      <c r="F80" s="3109">
        <v>2418.6799999999998</v>
      </c>
      <c r="G80" s="3109">
        <v>868.47</v>
      </c>
      <c r="H80" s="3109">
        <v>0</v>
      </c>
      <c r="I80" s="3119">
        <v>0</v>
      </c>
      <c r="J80" s="3109">
        <v>1550.21</v>
      </c>
      <c r="K80" s="3119">
        <v>0</v>
      </c>
      <c r="L80" s="3119">
        <v>0</v>
      </c>
      <c r="M80" s="3119">
        <v>0</v>
      </c>
      <c r="N80" s="3119">
        <v>2</v>
      </c>
      <c r="O80" s="3119">
        <v>3</v>
      </c>
      <c r="P80" s="3119">
        <v>8</v>
      </c>
    </row>
    <row r="81" spans="4:16" ht="14.25" hidden="1" thickBot="1">
      <c r="D81" s="3113" t="s">
        <v>3150</v>
      </c>
      <c r="E81" s="3108" t="s">
        <v>4787</v>
      </c>
      <c r="F81" s="3109">
        <v>1815.68</v>
      </c>
      <c r="G81" s="3109">
        <v>652.01</v>
      </c>
      <c r="H81" s="3109">
        <v>0</v>
      </c>
      <c r="I81" s="3119">
        <v>0</v>
      </c>
      <c r="J81" s="3109">
        <v>1163.67</v>
      </c>
      <c r="K81" s="3119">
        <v>0</v>
      </c>
      <c r="L81" s="3119">
        <v>0</v>
      </c>
      <c r="M81" s="3119">
        <v>0</v>
      </c>
      <c r="N81" s="3119">
        <v>2</v>
      </c>
      <c r="O81" s="3119">
        <v>3</v>
      </c>
      <c r="P81" s="3119">
        <v>6</v>
      </c>
    </row>
    <row r="82" spans="4:16" ht="14.25" hidden="1" thickBot="1">
      <c r="D82" s="3113" t="s">
        <v>3151</v>
      </c>
      <c r="E82" s="3108" t="s">
        <v>4787</v>
      </c>
      <c r="F82" s="3109">
        <v>1815.68</v>
      </c>
      <c r="G82" s="3109">
        <v>652.01</v>
      </c>
      <c r="H82" s="3109">
        <v>0</v>
      </c>
      <c r="I82" s="3119">
        <v>0</v>
      </c>
      <c r="J82" s="3109">
        <v>1163.67</v>
      </c>
      <c r="K82" s="3119">
        <v>0</v>
      </c>
      <c r="L82" s="3119">
        <v>0</v>
      </c>
      <c r="M82" s="3119">
        <v>0</v>
      </c>
      <c r="N82" s="3119">
        <v>2</v>
      </c>
      <c r="O82" s="3119">
        <v>3</v>
      </c>
      <c r="P82" s="3119">
        <v>6</v>
      </c>
    </row>
    <row r="83" spans="4:16" ht="14.25" hidden="1" thickBot="1">
      <c r="D83" s="3113" t="s">
        <v>3152</v>
      </c>
      <c r="E83" s="3108" t="s">
        <v>4787</v>
      </c>
      <c r="F83" s="3109">
        <v>2419.2399999999998</v>
      </c>
      <c r="G83" s="3109">
        <v>868.47</v>
      </c>
      <c r="H83" s="3109">
        <v>0</v>
      </c>
      <c r="I83" s="3119">
        <v>0</v>
      </c>
      <c r="J83" s="3109">
        <v>1550.77</v>
      </c>
      <c r="K83" s="3119">
        <v>0</v>
      </c>
      <c r="L83" s="3119">
        <v>0</v>
      </c>
      <c r="M83" s="3119">
        <v>0</v>
      </c>
      <c r="N83" s="3119">
        <v>2</v>
      </c>
      <c r="O83" s="3119">
        <v>3</v>
      </c>
      <c r="P83" s="3119">
        <v>8</v>
      </c>
    </row>
    <row r="84" spans="4:16" ht="14.25" hidden="1" thickBot="1">
      <c r="D84" s="3113" t="s">
        <v>3153</v>
      </c>
      <c r="E84" s="3108" t="s">
        <v>4787</v>
      </c>
      <c r="F84" s="3109">
        <v>2418.62</v>
      </c>
      <c r="G84" s="3109">
        <v>868.47</v>
      </c>
      <c r="H84" s="3109">
        <v>0</v>
      </c>
      <c r="I84" s="3119">
        <v>0</v>
      </c>
      <c r="J84" s="3109">
        <v>1550.15</v>
      </c>
      <c r="K84" s="3119">
        <v>0</v>
      </c>
      <c r="L84" s="3119">
        <v>0</v>
      </c>
      <c r="M84" s="3119">
        <v>0</v>
      </c>
      <c r="N84" s="3119">
        <v>2</v>
      </c>
      <c r="O84" s="3119">
        <v>3</v>
      </c>
      <c r="P84" s="3119">
        <v>8</v>
      </c>
    </row>
    <row r="85" spans="4:16" ht="14.25" hidden="1" thickBot="1">
      <c r="D85" s="3113" t="s">
        <v>3154</v>
      </c>
      <c r="E85" s="3108" t="s">
        <v>4787</v>
      </c>
      <c r="F85" s="3109">
        <v>1170.81</v>
      </c>
      <c r="G85" s="3109">
        <v>351.38</v>
      </c>
      <c r="H85" s="3109">
        <v>0</v>
      </c>
      <c r="I85" s="3119">
        <v>0</v>
      </c>
      <c r="J85" s="3109">
        <v>819.43</v>
      </c>
      <c r="K85" s="3119">
        <v>0</v>
      </c>
      <c r="L85" s="3119">
        <v>0</v>
      </c>
      <c r="M85" s="3119">
        <v>0</v>
      </c>
      <c r="N85" s="3119">
        <v>2</v>
      </c>
      <c r="O85" s="3119">
        <v>3</v>
      </c>
      <c r="P85" s="3119">
        <v>2</v>
      </c>
    </row>
    <row r="86" spans="4:16" ht="14.25" hidden="1" thickBot="1">
      <c r="D86" s="3113" t="s">
        <v>3155</v>
      </c>
      <c r="E86" s="3108" t="s">
        <v>4787</v>
      </c>
      <c r="F86" s="3109">
        <v>1170.81</v>
      </c>
      <c r="G86" s="3109">
        <v>351.38</v>
      </c>
      <c r="H86" s="3109">
        <v>0</v>
      </c>
      <c r="I86" s="3119">
        <v>0</v>
      </c>
      <c r="J86" s="3109">
        <v>819.43</v>
      </c>
      <c r="K86" s="3119">
        <v>0</v>
      </c>
      <c r="L86" s="3119">
        <v>0</v>
      </c>
      <c r="M86" s="3119">
        <v>0</v>
      </c>
      <c r="N86" s="3119">
        <v>2</v>
      </c>
      <c r="O86" s="3119">
        <v>3</v>
      </c>
      <c r="P86" s="3119">
        <v>2</v>
      </c>
    </row>
    <row r="87" spans="4:16" ht="14.25" hidden="1" thickBot="1">
      <c r="D87" s="3113" t="s">
        <v>3156</v>
      </c>
      <c r="E87" s="3108" t="s">
        <v>4787</v>
      </c>
      <c r="F87" s="3109">
        <v>2418.62</v>
      </c>
      <c r="G87" s="3109">
        <v>868.47</v>
      </c>
      <c r="H87" s="3109">
        <v>0</v>
      </c>
      <c r="I87" s="3119">
        <v>0</v>
      </c>
      <c r="J87" s="3109">
        <v>1550.15</v>
      </c>
      <c r="K87" s="3119">
        <v>0</v>
      </c>
      <c r="L87" s="3119">
        <v>0</v>
      </c>
      <c r="M87" s="3119">
        <v>0</v>
      </c>
      <c r="N87" s="3119">
        <v>2</v>
      </c>
      <c r="O87" s="3119">
        <v>3</v>
      </c>
      <c r="P87" s="3119">
        <v>8</v>
      </c>
    </row>
    <row r="88" spans="4:16" ht="14.25" hidden="1" thickBot="1">
      <c r="D88" s="3113" t="s">
        <v>3157</v>
      </c>
      <c r="E88" s="3108" t="s">
        <v>4787</v>
      </c>
      <c r="F88" s="3109">
        <v>2418.62</v>
      </c>
      <c r="G88" s="3109">
        <v>868.47</v>
      </c>
      <c r="H88" s="3109">
        <v>0</v>
      </c>
      <c r="I88" s="3119">
        <v>0</v>
      </c>
      <c r="J88" s="3109">
        <v>1550.15</v>
      </c>
      <c r="K88" s="3119">
        <v>0</v>
      </c>
      <c r="L88" s="3119">
        <v>0</v>
      </c>
      <c r="M88" s="3119">
        <v>0</v>
      </c>
      <c r="N88" s="3119">
        <v>2</v>
      </c>
      <c r="O88" s="3119">
        <v>3</v>
      </c>
      <c r="P88" s="3119">
        <v>8</v>
      </c>
    </row>
    <row r="89" spans="4:16" ht="14.25" hidden="1" thickBot="1">
      <c r="D89" s="3113" t="s">
        <v>3158</v>
      </c>
      <c r="E89" s="3108" t="s">
        <v>4787</v>
      </c>
      <c r="F89" s="3109">
        <v>1817.52</v>
      </c>
      <c r="G89" s="3109">
        <v>652.01</v>
      </c>
      <c r="H89" s="3109">
        <v>0</v>
      </c>
      <c r="I89" s="3119">
        <v>0</v>
      </c>
      <c r="J89" s="3109">
        <v>1165.51</v>
      </c>
      <c r="K89" s="3119">
        <v>0</v>
      </c>
      <c r="L89" s="3119">
        <v>0</v>
      </c>
      <c r="M89" s="3119">
        <v>0</v>
      </c>
      <c r="N89" s="3119">
        <v>2</v>
      </c>
      <c r="O89" s="3119">
        <v>3</v>
      </c>
      <c r="P89" s="3119">
        <v>6</v>
      </c>
    </row>
    <row r="90" spans="4:16" ht="14.25" hidden="1" thickBot="1">
      <c r="D90" s="3113" t="s">
        <v>3159</v>
      </c>
      <c r="E90" s="3108" t="s">
        <v>4787</v>
      </c>
      <c r="F90" s="3109">
        <v>1817.1</v>
      </c>
      <c r="G90" s="3109">
        <v>652.01</v>
      </c>
      <c r="H90" s="3109">
        <v>0</v>
      </c>
      <c r="I90" s="3119">
        <v>0</v>
      </c>
      <c r="J90" s="3109">
        <v>1165.0899999999999</v>
      </c>
      <c r="K90" s="3119">
        <v>0</v>
      </c>
      <c r="L90" s="3119">
        <v>0</v>
      </c>
      <c r="M90" s="3119">
        <v>0</v>
      </c>
      <c r="N90" s="3119">
        <v>2</v>
      </c>
      <c r="O90" s="3119">
        <v>3</v>
      </c>
      <c r="P90" s="3119">
        <v>6</v>
      </c>
    </row>
    <row r="91" spans="4:16" ht="14.25" hidden="1" thickBot="1">
      <c r="D91" s="3113" t="s">
        <v>3160</v>
      </c>
      <c r="E91" s="3108" t="s">
        <v>4787</v>
      </c>
      <c r="F91" s="3109">
        <v>2419.88</v>
      </c>
      <c r="G91" s="3109">
        <v>868.47</v>
      </c>
      <c r="H91" s="3109">
        <v>0</v>
      </c>
      <c r="I91" s="3119">
        <v>0</v>
      </c>
      <c r="J91" s="3109">
        <v>1551.41</v>
      </c>
      <c r="K91" s="3119">
        <v>0</v>
      </c>
      <c r="L91" s="3119">
        <v>0</v>
      </c>
      <c r="M91" s="3119">
        <v>0</v>
      </c>
      <c r="N91" s="3119">
        <v>2</v>
      </c>
      <c r="O91" s="3119">
        <v>3</v>
      </c>
      <c r="P91" s="3119">
        <v>8</v>
      </c>
    </row>
    <row r="92" spans="4:16" ht="14.25" hidden="1" thickBot="1">
      <c r="D92" s="3113" t="s">
        <v>3161</v>
      </c>
      <c r="E92" s="3108" t="s">
        <v>4787</v>
      </c>
      <c r="F92" s="3109">
        <v>1240.22</v>
      </c>
      <c r="G92" s="3109">
        <v>449.59</v>
      </c>
      <c r="H92" s="3109">
        <v>0</v>
      </c>
      <c r="I92" s="3119">
        <v>0</v>
      </c>
      <c r="J92" s="3109">
        <v>790.63</v>
      </c>
      <c r="K92" s="3119">
        <v>0</v>
      </c>
      <c r="L92" s="3119">
        <v>0</v>
      </c>
      <c r="M92" s="3119">
        <v>0</v>
      </c>
      <c r="N92" s="3119">
        <v>2</v>
      </c>
      <c r="O92" s="3119">
        <v>3</v>
      </c>
      <c r="P92" s="3119">
        <v>4</v>
      </c>
    </row>
    <row r="93" spans="4:16" ht="14.25" hidden="1" thickBot="1">
      <c r="D93" s="3113" t="s">
        <v>3162</v>
      </c>
      <c r="E93" s="3108" t="s">
        <v>4787</v>
      </c>
      <c r="F93" s="3109">
        <v>931.94</v>
      </c>
      <c r="G93" s="3109">
        <v>337.54</v>
      </c>
      <c r="H93" s="3109">
        <v>0</v>
      </c>
      <c r="I93" s="3119">
        <v>0</v>
      </c>
      <c r="J93" s="3109">
        <v>594.4</v>
      </c>
      <c r="K93" s="3119">
        <v>0</v>
      </c>
      <c r="L93" s="3119">
        <v>0</v>
      </c>
      <c r="M93" s="3119">
        <v>0</v>
      </c>
      <c r="N93" s="3119">
        <v>2</v>
      </c>
      <c r="O93" s="3119">
        <v>3</v>
      </c>
      <c r="P93" s="3119">
        <v>3</v>
      </c>
    </row>
    <row r="94" spans="4:16" ht="14.25" hidden="1" thickBot="1">
      <c r="D94" s="3113" t="s">
        <v>3163</v>
      </c>
      <c r="E94" s="3108" t="s">
        <v>4787</v>
      </c>
      <c r="F94" s="3109">
        <v>1816.88</v>
      </c>
      <c r="G94" s="3109">
        <v>652.01</v>
      </c>
      <c r="H94" s="3109">
        <v>0</v>
      </c>
      <c r="I94" s="3119">
        <v>0</v>
      </c>
      <c r="J94" s="3109">
        <v>1164.8699999999999</v>
      </c>
      <c r="K94" s="3119">
        <v>0</v>
      </c>
      <c r="L94" s="3119">
        <v>0</v>
      </c>
      <c r="M94" s="3119">
        <v>0</v>
      </c>
      <c r="N94" s="3119">
        <v>2</v>
      </c>
      <c r="O94" s="3119">
        <v>3</v>
      </c>
      <c r="P94" s="3119">
        <v>6</v>
      </c>
    </row>
    <row r="95" spans="4:16" ht="14.25" hidden="1" thickBot="1">
      <c r="D95" s="3113" t="s">
        <v>3164</v>
      </c>
      <c r="E95" s="3108" t="s">
        <v>4787</v>
      </c>
      <c r="F95" s="3109">
        <v>2419.88</v>
      </c>
      <c r="G95" s="3109">
        <v>868.47</v>
      </c>
      <c r="H95" s="3109">
        <v>0</v>
      </c>
      <c r="I95" s="3119">
        <v>0</v>
      </c>
      <c r="J95" s="3109">
        <v>1551.41</v>
      </c>
      <c r="K95" s="3119">
        <v>0</v>
      </c>
      <c r="L95" s="3119">
        <v>0</v>
      </c>
      <c r="M95" s="3119">
        <v>0</v>
      </c>
      <c r="N95" s="3119">
        <v>2</v>
      </c>
      <c r="O95" s="3119">
        <v>3</v>
      </c>
      <c r="P95" s="3119">
        <v>8</v>
      </c>
    </row>
    <row r="96" spans="4:16" ht="14.25" hidden="1" thickBot="1">
      <c r="D96" s="3113" t="s">
        <v>3165</v>
      </c>
      <c r="E96" s="3108" t="s">
        <v>4787</v>
      </c>
      <c r="F96" s="3109">
        <v>1629.12</v>
      </c>
      <c r="G96" s="3109">
        <v>563.59</v>
      </c>
      <c r="H96" s="3109">
        <v>0</v>
      </c>
      <c r="I96" s="3119">
        <v>0</v>
      </c>
      <c r="J96" s="3109">
        <v>1065.53</v>
      </c>
      <c r="K96" s="3119">
        <v>0</v>
      </c>
      <c r="L96" s="3119">
        <v>0</v>
      </c>
      <c r="M96" s="3119">
        <v>0</v>
      </c>
      <c r="N96" s="3119">
        <v>2</v>
      </c>
      <c r="O96" s="3119">
        <v>3</v>
      </c>
      <c r="P96" s="3119">
        <v>4</v>
      </c>
    </row>
    <row r="97" spans="4:16" ht="14.25" hidden="1" thickBot="1">
      <c r="D97" s="3113" t="s">
        <v>3166</v>
      </c>
      <c r="E97" s="3108" t="s">
        <v>4787</v>
      </c>
      <c r="F97" s="3109">
        <v>1629.12</v>
      </c>
      <c r="G97" s="3109">
        <v>563.59</v>
      </c>
      <c r="H97" s="3109">
        <v>0</v>
      </c>
      <c r="I97" s="3119">
        <v>0</v>
      </c>
      <c r="J97" s="3109">
        <v>1065.53</v>
      </c>
      <c r="K97" s="3119">
        <v>0</v>
      </c>
      <c r="L97" s="3119">
        <v>0</v>
      </c>
      <c r="M97" s="3119">
        <v>0</v>
      </c>
      <c r="N97" s="3119">
        <v>2</v>
      </c>
      <c r="O97" s="3119">
        <v>3</v>
      </c>
      <c r="P97" s="3119">
        <v>4</v>
      </c>
    </row>
    <row r="98" spans="4:16" ht="14.25" hidden="1" thickBot="1">
      <c r="D98" s="3113" t="s">
        <v>3167</v>
      </c>
      <c r="E98" s="3108" t="s">
        <v>4787</v>
      </c>
      <c r="F98" s="3109">
        <v>1223.45</v>
      </c>
      <c r="G98" s="3109">
        <v>423.08</v>
      </c>
      <c r="H98" s="3109">
        <v>0</v>
      </c>
      <c r="I98" s="3119">
        <v>0</v>
      </c>
      <c r="J98" s="3109">
        <v>800.37</v>
      </c>
      <c r="K98" s="3119">
        <v>0</v>
      </c>
      <c r="L98" s="3119">
        <v>0</v>
      </c>
      <c r="M98" s="3119">
        <v>0</v>
      </c>
      <c r="N98" s="3119">
        <v>2</v>
      </c>
      <c r="O98" s="3119">
        <v>3</v>
      </c>
      <c r="P98" s="3119">
        <v>3</v>
      </c>
    </row>
    <row r="99" spans="4:16" ht="14.25" hidden="1" thickBot="1">
      <c r="D99" s="3113" t="s">
        <v>3168</v>
      </c>
      <c r="E99" s="3108" t="s">
        <v>4787</v>
      </c>
      <c r="F99" s="3109">
        <v>1816.88</v>
      </c>
      <c r="G99" s="3109">
        <v>652.01</v>
      </c>
      <c r="H99" s="3109">
        <v>0</v>
      </c>
      <c r="I99" s="3119">
        <v>0</v>
      </c>
      <c r="J99" s="3109">
        <v>1164.8699999999999</v>
      </c>
      <c r="K99" s="3119">
        <v>0</v>
      </c>
      <c r="L99" s="3119">
        <v>0</v>
      </c>
      <c r="M99" s="3119">
        <v>0</v>
      </c>
      <c r="N99" s="3119">
        <v>2</v>
      </c>
      <c r="O99" s="3119">
        <v>3</v>
      </c>
      <c r="P99" s="3119">
        <v>6</v>
      </c>
    </row>
    <row r="100" spans="4:16" ht="14.25" hidden="1" thickBot="1">
      <c r="D100" s="3113" t="s">
        <v>3169</v>
      </c>
      <c r="E100" s="3108" t="s">
        <v>4787</v>
      </c>
      <c r="F100" s="3109">
        <v>1212.72</v>
      </c>
      <c r="G100" s="3109">
        <v>435.56</v>
      </c>
      <c r="H100" s="3109">
        <v>0</v>
      </c>
      <c r="I100" s="3119">
        <v>0</v>
      </c>
      <c r="J100" s="3109">
        <v>777.16</v>
      </c>
      <c r="K100" s="3119">
        <v>0</v>
      </c>
      <c r="L100" s="3119">
        <v>0</v>
      </c>
      <c r="M100" s="3119">
        <v>0</v>
      </c>
      <c r="N100" s="3119">
        <v>2</v>
      </c>
      <c r="O100" s="3119">
        <v>3</v>
      </c>
      <c r="P100" s="3119">
        <v>4</v>
      </c>
    </row>
    <row r="101" spans="4:16" ht="14.25" hidden="1" thickBot="1">
      <c r="D101" s="3113" t="s">
        <v>3170</v>
      </c>
      <c r="E101" s="3108" t="s">
        <v>4787</v>
      </c>
      <c r="F101" s="3109">
        <v>1212.72</v>
      </c>
      <c r="G101" s="3109">
        <v>435.56</v>
      </c>
      <c r="H101" s="3109">
        <v>0</v>
      </c>
      <c r="I101" s="3119">
        <v>0</v>
      </c>
      <c r="J101" s="3109">
        <v>777.16</v>
      </c>
      <c r="K101" s="3119">
        <v>0</v>
      </c>
      <c r="L101" s="3119">
        <v>0</v>
      </c>
      <c r="M101" s="3119">
        <v>0</v>
      </c>
      <c r="N101" s="3119">
        <v>2</v>
      </c>
      <c r="O101" s="3119">
        <v>3</v>
      </c>
      <c r="P101" s="3119">
        <v>4</v>
      </c>
    </row>
    <row r="102" spans="4:16" ht="14.25" hidden="1" thickBot="1">
      <c r="D102" s="3113" t="s">
        <v>3171</v>
      </c>
      <c r="E102" s="3108" t="s">
        <v>4787</v>
      </c>
      <c r="F102" s="3109">
        <v>1815.68</v>
      </c>
      <c r="G102" s="3109">
        <v>652.01</v>
      </c>
      <c r="H102" s="3109">
        <v>0</v>
      </c>
      <c r="I102" s="3119">
        <v>0</v>
      </c>
      <c r="J102" s="3109">
        <v>1163.67</v>
      </c>
      <c r="K102" s="3119">
        <v>0</v>
      </c>
      <c r="L102" s="3119">
        <v>0</v>
      </c>
      <c r="M102" s="3119">
        <v>0</v>
      </c>
      <c r="N102" s="3119">
        <v>2</v>
      </c>
      <c r="O102" s="3119">
        <v>3</v>
      </c>
      <c r="P102" s="3119">
        <v>6</v>
      </c>
    </row>
    <row r="103" spans="4:16" ht="14.25" hidden="1" thickBot="1">
      <c r="D103" s="3113" t="s">
        <v>3172</v>
      </c>
      <c r="E103" s="3108" t="s">
        <v>4787</v>
      </c>
      <c r="F103" s="3109">
        <v>1817.52</v>
      </c>
      <c r="G103" s="3109">
        <v>652.01</v>
      </c>
      <c r="H103" s="3109">
        <v>0</v>
      </c>
      <c r="I103" s="3119">
        <v>0</v>
      </c>
      <c r="J103" s="3109">
        <v>1165.51</v>
      </c>
      <c r="K103" s="3119">
        <v>0</v>
      </c>
      <c r="L103" s="3119">
        <v>0</v>
      </c>
      <c r="M103" s="3119">
        <v>0</v>
      </c>
      <c r="N103" s="3119">
        <v>2</v>
      </c>
      <c r="O103" s="3119">
        <v>3</v>
      </c>
      <c r="P103" s="3119">
        <v>6</v>
      </c>
    </row>
    <row r="104" spans="4:16" ht="14.25" hidden="1" thickBot="1">
      <c r="D104" s="3113" t="s">
        <v>3173</v>
      </c>
      <c r="E104" s="3108" t="s">
        <v>4787</v>
      </c>
      <c r="F104" s="3109">
        <v>1213.94</v>
      </c>
      <c r="G104" s="3109">
        <v>435.56</v>
      </c>
      <c r="H104" s="3109">
        <v>0</v>
      </c>
      <c r="I104" s="3119">
        <v>0</v>
      </c>
      <c r="J104" s="3109">
        <v>778.38</v>
      </c>
      <c r="K104" s="3119">
        <v>0</v>
      </c>
      <c r="L104" s="3119">
        <v>0</v>
      </c>
      <c r="M104" s="3119">
        <v>0</v>
      </c>
      <c r="N104" s="3119">
        <v>2</v>
      </c>
      <c r="O104" s="3119">
        <v>3</v>
      </c>
      <c r="P104" s="3119">
        <v>4</v>
      </c>
    </row>
    <row r="105" spans="4:16" ht="14.25" hidden="1" thickBot="1">
      <c r="D105" s="3113" t="s">
        <v>3174</v>
      </c>
      <c r="E105" s="3108" t="s">
        <v>4787</v>
      </c>
      <c r="F105" s="3109">
        <v>1816.04</v>
      </c>
      <c r="G105" s="3109">
        <v>652.01</v>
      </c>
      <c r="H105" s="3109">
        <v>0</v>
      </c>
      <c r="I105" s="3119">
        <v>0</v>
      </c>
      <c r="J105" s="3109">
        <v>1164.03</v>
      </c>
      <c r="K105" s="3119">
        <v>0</v>
      </c>
      <c r="L105" s="3119">
        <v>0</v>
      </c>
      <c r="M105" s="3119">
        <v>0</v>
      </c>
      <c r="N105" s="3119">
        <v>2</v>
      </c>
      <c r="O105" s="3119">
        <v>3</v>
      </c>
      <c r="P105" s="3119">
        <v>6</v>
      </c>
    </row>
    <row r="106" spans="4:16" ht="14.25" hidden="1" thickBot="1">
      <c r="D106" s="3113" t="s">
        <v>3175</v>
      </c>
      <c r="E106" s="3108" t="s">
        <v>4787</v>
      </c>
      <c r="F106" s="3109">
        <v>1214.1400000000001</v>
      </c>
      <c r="G106" s="3109">
        <v>435.56</v>
      </c>
      <c r="H106" s="3109">
        <v>0</v>
      </c>
      <c r="I106" s="3119">
        <v>0</v>
      </c>
      <c r="J106" s="3109">
        <v>778.58</v>
      </c>
      <c r="K106" s="3119">
        <v>0</v>
      </c>
      <c r="L106" s="3119">
        <v>0</v>
      </c>
      <c r="M106" s="3119">
        <v>0</v>
      </c>
      <c r="N106" s="3119">
        <v>2</v>
      </c>
      <c r="O106" s="3119">
        <v>3</v>
      </c>
      <c r="P106" s="3119">
        <v>4</v>
      </c>
    </row>
    <row r="107" spans="4:16" ht="14.25" hidden="1" thickBot="1">
      <c r="D107" s="3113" t="s">
        <v>3176</v>
      </c>
      <c r="E107" s="3108" t="s">
        <v>4787</v>
      </c>
      <c r="F107" s="3109">
        <v>1214.6199999999999</v>
      </c>
      <c r="G107" s="3109">
        <v>435.56</v>
      </c>
      <c r="H107" s="3109">
        <v>0</v>
      </c>
      <c r="I107" s="3119">
        <v>0</v>
      </c>
      <c r="J107" s="3109">
        <v>779.06</v>
      </c>
      <c r="K107" s="3119">
        <v>0</v>
      </c>
      <c r="L107" s="3119">
        <v>0</v>
      </c>
      <c r="M107" s="3119">
        <v>0</v>
      </c>
      <c r="N107" s="3119">
        <v>2</v>
      </c>
      <c r="O107" s="3119">
        <v>3</v>
      </c>
      <c r="P107" s="3119">
        <v>4</v>
      </c>
    </row>
    <row r="108" spans="4:16" ht="14.25" hidden="1" thickBot="1">
      <c r="D108" s="3113" t="s">
        <v>3177</v>
      </c>
      <c r="E108" s="3108" t="s">
        <v>4787</v>
      </c>
      <c r="F108" s="3109">
        <v>1816.88</v>
      </c>
      <c r="G108" s="3109">
        <v>652.01</v>
      </c>
      <c r="H108" s="3109">
        <v>0</v>
      </c>
      <c r="I108" s="3119">
        <v>0</v>
      </c>
      <c r="J108" s="3109">
        <v>1164.8699999999999</v>
      </c>
      <c r="K108" s="3119">
        <v>0</v>
      </c>
      <c r="L108" s="3119">
        <v>0</v>
      </c>
      <c r="M108" s="3119">
        <v>0</v>
      </c>
      <c r="N108" s="3119">
        <v>2</v>
      </c>
      <c r="O108" s="3119">
        <v>3</v>
      </c>
      <c r="P108" s="3119">
        <v>6</v>
      </c>
    </row>
    <row r="109" spans="4:16" ht="14.25" hidden="1" thickBot="1">
      <c r="D109" s="3113" t="s">
        <v>3178</v>
      </c>
      <c r="E109" s="3108" t="s">
        <v>4787</v>
      </c>
      <c r="F109" s="3109">
        <v>1214.6199999999999</v>
      </c>
      <c r="G109" s="3109">
        <v>435.56</v>
      </c>
      <c r="H109" s="3109">
        <v>0</v>
      </c>
      <c r="I109" s="3119">
        <v>0</v>
      </c>
      <c r="J109" s="3109">
        <v>779.06</v>
      </c>
      <c r="K109" s="3119">
        <v>0</v>
      </c>
      <c r="L109" s="3119">
        <v>0</v>
      </c>
      <c r="M109" s="3119">
        <v>0</v>
      </c>
      <c r="N109" s="3119">
        <v>2</v>
      </c>
      <c r="O109" s="3119">
        <v>3</v>
      </c>
      <c r="P109" s="3119">
        <v>4</v>
      </c>
    </row>
    <row r="110" spans="4:16" ht="14.25" hidden="1" thickBot="1">
      <c r="D110" s="3113" t="s">
        <v>3179</v>
      </c>
      <c r="E110" s="3108" t="s">
        <v>4787</v>
      </c>
      <c r="F110" s="3109">
        <v>1816.88</v>
      </c>
      <c r="G110" s="3109">
        <v>652.01</v>
      </c>
      <c r="H110" s="3109">
        <v>0</v>
      </c>
      <c r="I110" s="3119">
        <v>0</v>
      </c>
      <c r="J110" s="3109">
        <v>1164.8699999999999</v>
      </c>
      <c r="K110" s="3119">
        <v>0</v>
      </c>
      <c r="L110" s="3119">
        <v>0</v>
      </c>
      <c r="M110" s="3119">
        <v>0</v>
      </c>
      <c r="N110" s="3119">
        <v>2</v>
      </c>
      <c r="O110" s="3119">
        <v>3</v>
      </c>
      <c r="P110" s="3119">
        <v>6</v>
      </c>
    </row>
    <row r="111" spans="4:16" ht="14.25" hidden="1" thickBot="1">
      <c r="D111" s="3113" t="s">
        <v>3180</v>
      </c>
      <c r="E111" s="3108" t="s">
        <v>4787</v>
      </c>
      <c r="F111" s="3109">
        <v>1816.88</v>
      </c>
      <c r="G111" s="3109">
        <v>652.01</v>
      </c>
      <c r="H111" s="3109">
        <v>0</v>
      </c>
      <c r="I111" s="3119">
        <v>0</v>
      </c>
      <c r="J111" s="3109">
        <v>1164.8699999999999</v>
      </c>
      <c r="K111" s="3119">
        <v>0</v>
      </c>
      <c r="L111" s="3119">
        <v>0</v>
      </c>
      <c r="M111" s="3119">
        <v>0</v>
      </c>
      <c r="N111" s="3119">
        <v>2</v>
      </c>
      <c r="O111" s="3119">
        <v>3</v>
      </c>
      <c r="P111" s="3119">
        <v>6</v>
      </c>
    </row>
    <row r="112" spans="4:16" ht="14.25" hidden="1" thickBot="1">
      <c r="D112" s="3113" t="s">
        <v>3181</v>
      </c>
      <c r="E112" s="3108" t="s">
        <v>4787</v>
      </c>
      <c r="F112" s="3109">
        <v>1213.94</v>
      </c>
      <c r="G112" s="3109">
        <v>435.56</v>
      </c>
      <c r="H112" s="3109">
        <v>0</v>
      </c>
      <c r="I112" s="3119">
        <v>0</v>
      </c>
      <c r="J112" s="3109">
        <v>778.38</v>
      </c>
      <c r="K112" s="3119">
        <v>0</v>
      </c>
      <c r="L112" s="3119">
        <v>0</v>
      </c>
      <c r="M112" s="3119">
        <v>0</v>
      </c>
      <c r="N112" s="3119">
        <v>2</v>
      </c>
      <c r="O112" s="3119">
        <v>3</v>
      </c>
      <c r="P112" s="3119">
        <v>4</v>
      </c>
    </row>
    <row r="113" spans="4:16" ht="14.25" hidden="1" thickBot="1">
      <c r="D113" s="3113" t="s">
        <v>3182</v>
      </c>
      <c r="E113" s="3108" t="s">
        <v>4787</v>
      </c>
      <c r="F113" s="3109">
        <v>1213.78</v>
      </c>
      <c r="G113" s="3109">
        <v>435.56</v>
      </c>
      <c r="H113" s="3109">
        <v>0</v>
      </c>
      <c r="I113" s="3119">
        <v>0</v>
      </c>
      <c r="J113" s="3109">
        <v>778.22</v>
      </c>
      <c r="K113" s="3119">
        <v>0</v>
      </c>
      <c r="L113" s="3119">
        <v>0</v>
      </c>
      <c r="M113" s="3119">
        <v>0</v>
      </c>
      <c r="N113" s="3119">
        <v>2</v>
      </c>
      <c r="O113" s="3119">
        <v>3</v>
      </c>
      <c r="P113" s="3119">
        <v>4</v>
      </c>
    </row>
    <row r="114" spans="4:16" ht="14.25" hidden="1" thickBot="1">
      <c r="D114" s="3113" t="s">
        <v>3183</v>
      </c>
      <c r="E114" s="3108" t="s">
        <v>4787</v>
      </c>
      <c r="F114" s="3109">
        <v>1816.32</v>
      </c>
      <c r="G114" s="3109">
        <v>652.01</v>
      </c>
      <c r="H114" s="3109">
        <v>0</v>
      </c>
      <c r="I114" s="3119">
        <v>0</v>
      </c>
      <c r="J114" s="3109">
        <v>1164.31</v>
      </c>
      <c r="K114" s="3119">
        <v>0</v>
      </c>
      <c r="L114" s="3119">
        <v>0</v>
      </c>
      <c r="M114" s="3119">
        <v>0</v>
      </c>
      <c r="N114" s="3119">
        <v>2</v>
      </c>
      <c r="O114" s="3119">
        <v>3</v>
      </c>
      <c r="P114" s="3119">
        <v>6</v>
      </c>
    </row>
    <row r="115" spans="4:16" ht="14.25" thickBot="1">
      <c r="D115" s="3120" t="s">
        <v>4788</v>
      </c>
      <c r="E115" s="3107" t="s">
        <v>70</v>
      </c>
      <c r="F115" s="3110">
        <v>130771.1</v>
      </c>
      <c r="G115" s="3110">
        <v>46710.84</v>
      </c>
      <c r="H115" s="3110">
        <v>0</v>
      </c>
      <c r="I115" s="3121">
        <v>0</v>
      </c>
      <c r="J115" s="3110">
        <v>84060.26</v>
      </c>
      <c r="K115" s="3121">
        <v>0</v>
      </c>
      <c r="L115" s="3121">
        <v>0</v>
      </c>
      <c r="M115" s="3121">
        <v>0</v>
      </c>
      <c r="N115" s="3111" t="s">
        <v>70</v>
      </c>
      <c r="O115" s="3111" t="s">
        <v>70</v>
      </c>
      <c r="P115" s="3119">
        <v>420</v>
      </c>
    </row>
    <row r="116" spans="4:16" ht="14.25" thickBot="1">
      <c r="D116" s="3113" t="s">
        <v>3199</v>
      </c>
      <c r="E116" s="3108" t="s">
        <v>4789</v>
      </c>
      <c r="F116" s="3109">
        <f>SUM(G116:M116)</f>
        <v>9685.06</v>
      </c>
      <c r="G116" s="3109">
        <v>7330.43</v>
      </c>
      <c r="H116" s="3109">
        <v>0</v>
      </c>
      <c r="I116" s="3119">
        <v>75.55</v>
      </c>
      <c r="J116" s="3109">
        <v>1224.53</v>
      </c>
      <c r="K116" s="3119">
        <v>0</v>
      </c>
      <c r="L116" s="3119">
        <v>0</v>
      </c>
      <c r="M116" s="3119">
        <v>1054.55</v>
      </c>
      <c r="N116" s="3119">
        <v>8</v>
      </c>
      <c r="O116" s="3119">
        <v>3</v>
      </c>
      <c r="P116" s="3119">
        <v>48</v>
      </c>
    </row>
    <row r="117" spans="4:16" ht="14.25" thickBot="1">
      <c r="D117" s="3113" t="s">
        <v>3200</v>
      </c>
      <c r="E117" s="3108" t="s">
        <v>4789</v>
      </c>
      <c r="F117" s="3109">
        <f t="shared" ref="F117:F125" si="2">SUM(G117:M117)</f>
        <v>8835.02</v>
      </c>
      <c r="G117" s="3109">
        <v>6984.06</v>
      </c>
      <c r="H117" s="3109">
        <v>0</v>
      </c>
      <c r="I117" s="3119">
        <v>0</v>
      </c>
      <c r="J117" s="3109">
        <v>1622.72</v>
      </c>
      <c r="K117" s="3119">
        <v>0</v>
      </c>
      <c r="L117" s="3119">
        <v>0</v>
      </c>
      <c r="M117" s="3119">
        <v>228.24</v>
      </c>
      <c r="N117" s="3119">
        <v>8</v>
      </c>
      <c r="O117" s="3119">
        <v>3</v>
      </c>
      <c r="P117" s="3119">
        <v>48</v>
      </c>
    </row>
    <row r="118" spans="4:16" ht="14.25" thickBot="1">
      <c r="D118" s="3113" t="s">
        <v>3201</v>
      </c>
      <c r="E118" s="3108" t="s">
        <v>4790</v>
      </c>
      <c r="F118" s="3109">
        <f t="shared" si="2"/>
        <v>8755.9699999999993</v>
      </c>
      <c r="G118" s="3109">
        <v>7317.48</v>
      </c>
      <c r="H118" s="3109">
        <v>0</v>
      </c>
      <c r="I118" s="3119">
        <v>75.55</v>
      </c>
      <c r="J118" s="3109">
        <v>1362.94</v>
      </c>
      <c r="K118" s="3119">
        <v>0</v>
      </c>
      <c r="L118" s="3119">
        <v>0</v>
      </c>
      <c r="M118" s="3119">
        <v>0</v>
      </c>
      <c r="N118" s="3119">
        <v>8</v>
      </c>
      <c r="O118" s="3119">
        <v>3</v>
      </c>
      <c r="P118" s="3119">
        <v>48</v>
      </c>
    </row>
    <row r="119" spans="4:16" ht="14.25" thickBot="1">
      <c r="D119" s="3113" t="s">
        <v>3202</v>
      </c>
      <c r="E119" s="3108" t="s">
        <v>4791</v>
      </c>
      <c r="F119" s="3109">
        <f t="shared" si="2"/>
        <v>7769.9500000000007</v>
      </c>
      <c r="G119" s="3109">
        <v>4657.3</v>
      </c>
      <c r="H119" s="3109">
        <v>263.92</v>
      </c>
      <c r="I119" s="3119">
        <v>814.92</v>
      </c>
      <c r="J119" s="3109">
        <v>1000.04</v>
      </c>
      <c r="K119" s="3119">
        <v>0</v>
      </c>
      <c r="L119" s="3119">
        <v>382.04</v>
      </c>
      <c r="M119" s="3119">
        <v>651.73</v>
      </c>
      <c r="N119" s="3119">
        <v>8</v>
      </c>
      <c r="O119" s="3119">
        <v>3</v>
      </c>
      <c r="P119" s="3119">
        <v>30</v>
      </c>
    </row>
    <row r="120" spans="4:16" ht="14.25" thickBot="1">
      <c r="D120" s="3113" t="s">
        <v>3203</v>
      </c>
      <c r="E120" s="3108" t="s">
        <v>4790</v>
      </c>
      <c r="F120" s="3109">
        <f t="shared" si="2"/>
        <v>6077.84</v>
      </c>
      <c r="G120" s="3109">
        <v>4675.24</v>
      </c>
      <c r="H120" s="3109">
        <v>0</v>
      </c>
      <c r="I120" s="3119">
        <v>411.45</v>
      </c>
      <c r="J120" s="3109">
        <v>818.59</v>
      </c>
      <c r="K120" s="3119">
        <v>0</v>
      </c>
      <c r="L120" s="3119">
        <v>0</v>
      </c>
      <c r="M120" s="3119">
        <v>172.56</v>
      </c>
      <c r="N120" s="3119">
        <v>8</v>
      </c>
      <c r="O120" s="3119">
        <v>3</v>
      </c>
      <c r="P120" s="3119">
        <v>30</v>
      </c>
    </row>
    <row r="121" spans="4:16" ht="14.25" thickBot="1">
      <c r="D121" s="3113" t="s">
        <v>3204</v>
      </c>
      <c r="E121" s="3108" t="s">
        <v>4790</v>
      </c>
      <c r="F121" s="3109">
        <f t="shared" si="2"/>
        <v>5381.22</v>
      </c>
      <c r="G121" s="3109">
        <v>4428.34</v>
      </c>
      <c r="H121" s="3109">
        <v>0</v>
      </c>
      <c r="I121" s="3119">
        <v>47.79</v>
      </c>
      <c r="J121" s="3109">
        <v>905.09</v>
      </c>
      <c r="K121" s="3119">
        <v>0</v>
      </c>
      <c r="L121" s="3119">
        <v>0</v>
      </c>
      <c r="M121" s="3119">
        <v>0</v>
      </c>
      <c r="N121" s="3119">
        <v>7</v>
      </c>
      <c r="O121" s="3119">
        <v>3</v>
      </c>
      <c r="P121" s="3119">
        <v>28</v>
      </c>
    </row>
    <row r="122" spans="4:16" ht="14.25" thickBot="1">
      <c r="D122" s="3113" t="s">
        <v>3205</v>
      </c>
      <c r="E122" s="3108" t="s">
        <v>4792</v>
      </c>
      <c r="F122" s="3109">
        <f t="shared" si="2"/>
        <v>5381.2099999999991</v>
      </c>
      <c r="G122" s="3109">
        <v>4428.6099999999997</v>
      </c>
      <c r="H122" s="3109">
        <v>0</v>
      </c>
      <c r="I122" s="3119">
        <v>47.79</v>
      </c>
      <c r="J122" s="3109">
        <v>904.81</v>
      </c>
      <c r="K122" s="3119">
        <v>0</v>
      </c>
      <c r="L122" s="3119">
        <v>0</v>
      </c>
      <c r="M122" s="3119">
        <v>0</v>
      </c>
      <c r="N122" s="3119">
        <v>7</v>
      </c>
      <c r="O122" s="3119">
        <v>3</v>
      </c>
      <c r="P122" s="3119">
        <v>28</v>
      </c>
    </row>
    <row r="123" spans="4:16" ht="14.25" thickBot="1">
      <c r="D123" s="3113" t="s">
        <v>3206</v>
      </c>
      <c r="E123" s="3108" t="s">
        <v>4792</v>
      </c>
      <c r="F123" s="3109">
        <f t="shared" si="2"/>
        <v>5381.1</v>
      </c>
      <c r="G123" s="3109">
        <v>4428.7700000000004</v>
      </c>
      <c r="H123" s="3109">
        <v>0</v>
      </c>
      <c r="I123" s="3119">
        <v>47.79</v>
      </c>
      <c r="J123" s="3109">
        <v>904.54</v>
      </c>
      <c r="K123" s="3119">
        <v>0</v>
      </c>
      <c r="L123" s="3119">
        <v>0</v>
      </c>
      <c r="M123" s="3119">
        <v>0</v>
      </c>
      <c r="N123" s="3119">
        <v>7</v>
      </c>
      <c r="O123" s="3119">
        <v>3</v>
      </c>
      <c r="P123" s="3119">
        <v>28</v>
      </c>
    </row>
    <row r="124" spans="4:16" ht="14.25" thickBot="1">
      <c r="D124" s="3112" t="s">
        <v>48</v>
      </c>
      <c r="E124" s="3108" t="s">
        <v>4793</v>
      </c>
      <c r="F124" s="3109">
        <f t="shared" si="2"/>
        <v>39574.060000000005</v>
      </c>
      <c r="G124" s="3108">
        <v>0</v>
      </c>
      <c r="H124" s="3108">
        <v>0</v>
      </c>
      <c r="I124" s="3111">
        <v>0</v>
      </c>
      <c r="J124" s="3108">
        <v>0</v>
      </c>
      <c r="K124" s="3119">
        <v>38228.400000000001</v>
      </c>
      <c r="L124" s="3111">
        <v>0</v>
      </c>
      <c r="M124" s="3119">
        <v>1345.66</v>
      </c>
      <c r="N124" s="3111" t="s">
        <v>70</v>
      </c>
      <c r="O124" s="3119">
        <v>3</v>
      </c>
      <c r="P124" s="3119">
        <v>840</v>
      </c>
    </row>
    <row r="125" spans="4:16" ht="14.25" thickBot="1">
      <c r="D125" s="3113" t="s">
        <v>4794</v>
      </c>
      <c r="E125" s="3108" t="s">
        <v>4795</v>
      </c>
      <c r="F125" s="3109">
        <f t="shared" si="2"/>
        <v>1450</v>
      </c>
      <c r="G125" s="3109">
        <v>0</v>
      </c>
      <c r="H125" s="3109"/>
      <c r="I125" s="3119">
        <v>1450</v>
      </c>
      <c r="J125" s="3109">
        <v>0</v>
      </c>
      <c r="K125" s="3119">
        <v>0</v>
      </c>
      <c r="L125" s="3119">
        <v>0</v>
      </c>
      <c r="M125" s="3119">
        <v>0</v>
      </c>
      <c r="N125" s="3111" t="s">
        <v>70</v>
      </c>
      <c r="O125" s="3111" t="s">
        <v>70</v>
      </c>
      <c r="P125" s="3111" t="s">
        <v>70</v>
      </c>
    </row>
    <row r="126" spans="4:16" ht="14.25" thickBot="1">
      <c r="D126" s="3120" t="s">
        <v>37</v>
      </c>
      <c r="E126" s="3107" t="s">
        <v>70</v>
      </c>
      <c r="F126" s="3110">
        <f>SUM(F115:F125)</f>
        <v>229062.53</v>
      </c>
      <c r="G126" s="3110">
        <f t="shared" ref="G126:M126" si="3">SUM(G115:G125)</f>
        <v>90961.07</v>
      </c>
      <c r="H126" s="3110">
        <f t="shared" si="3"/>
        <v>263.92</v>
      </c>
      <c r="I126" s="3110">
        <f t="shared" si="3"/>
        <v>2970.84</v>
      </c>
      <c r="J126" s="3110">
        <f t="shared" si="3"/>
        <v>92803.519999999975</v>
      </c>
      <c r="K126" s="3110">
        <f t="shared" si="3"/>
        <v>38228.400000000001</v>
      </c>
      <c r="L126" s="3110">
        <f t="shared" si="3"/>
        <v>382.04</v>
      </c>
      <c r="M126" s="3110">
        <f t="shared" si="3"/>
        <v>3452.74</v>
      </c>
      <c r="N126" s="3121"/>
      <c r="O126" s="3121"/>
      <c r="P126" s="3121"/>
    </row>
    <row r="128" spans="4:16">
      <c r="F128">
        <v>229062.52999999997</v>
      </c>
    </row>
    <row r="129" spans="6:6">
      <c r="F129">
        <f>F128-F126</f>
        <v>0</v>
      </c>
    </row>
  </sheetData>
  <mergeCells count="45">
    <mergeCell ref="A10:C10"/>
    <mergeCell ref="D10:I10"/>
    <mergeCell ref="A7:C7"/>
    <mergeCell ref="D7:I7"/>
    <mergeCell ref="A8:C8"/>
    <mergeCell ref="D8:I8"/>
    <mergeCell ref="A9:C9"/>
    <mergeCell ref="D9:I9"/>
    <mergeCell ref="D5:E5"/>
    <mergeCell ref="F5:G5"/>
    <mergeCell ref="H5:I5"/>
    <mergeCell ref="A6:C6"/>
    <mergeCell ref="D6:E6"/>
    <mergeCell ref="F6:G6"/>
    <mergeCell ref="H6:I6"/>
    <mergeCell ref="A1:A2"/>
    <mergeCell ref="B1:B2"/>
    <mergeCell ref="C1:C2"/>
    <mergeCell ref="D1:E1"/>
    <mergeCell ref="F1:G1"/>
    <mergeCell ref="H1:I1"/>
    <mergeCell ref="L1:L15"/>
    <mergeCell ref="M1:M2"/>
    <mergeCell ref="N1:N2"/>
    <mergeCell ref="O1:Q1"/>
    <mergeCell ref="M3:M10"/>
    <mergeCell ref="M11:N11"/>
    <mergeCell ref="M12:M13"/>
    <mergeCell ref="M14:N14"/>
    <mergeCell ref="M15:N15"/>
    <mergeCell ref="L16:L26"/>
    <mergeCell ref="M16:M21"/>
    <mergeCell ref="M22:N22"/>
    <mergeCell ref="M23:M24"/>
    <mergeCell ref="M25:N25"/>
    <mergeCell ref="M26:N26"/>
    <mergeCell ref="O30:O31"/>
    <mergeCell ref="P30:P31"/>
    <mergeCell ref="L27:N27"/>
    <mergeCell ref="D30:D31"/>
    <mergeCell ref="E30:E31"/>
    <mergeCell ref="F30:F31"/>
    <mergeCell ref="G30:I30"/>
    <mergeCell ref="J30:M30"/>
    <mergeCell ref="N30:N31"/>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8" customWidth="1"/>
    <col min="2" max="3" width="22.375" style="1938" customWidth="1"/>
    <col min="4" max="4" width="23" style="1938" customWidth="1"/>
    <col min="5" max="16384" width="9" style="1938"/>
  </cols>
  <sheetData>
    <row r="1" spans="1:4" ht="18.75">
      <c r="A1" s="3152" t="s">
        <v>1656</v>
      </c>
      <c r="B1" s="3152"/>
      <c r="C1" s="3152"/>
      <c r="D1" s="3152"/>
    </row>
    <row r="2" spans="1:4" ht="18">
      <c r="A2" s="3153" t="s">
        <v>1640</v>
      </c>
      <c r="B2" s="3153"/>
      <c r="C2" s="3153"/>
      <c r="D2" s="3153"/>
    </row>
    <row r="3" spans="1:4" ht="18.75">
      <c r="A3" s="1970" t="s">
        <v>1641</v>
      </c>
      <c r="B3" s="1970" t="s">
        <v>1642</v>
      </c>
      <c r="C3" s="1970" t="s">
        <v>1643</v>
      </c>
      <c r="D3" s="1970" t="s">
        <v>1644</v>
      </c>
    </row>
    <row r="4" spans="1:4" ht="56.25" customHeight="1">
      <c r="A4" s="1971" t="str">
        <f>项目基本情况!B4</f>
        <v>郑燚</v>
      </c>
      <c r="B4" s="1972">
        <f ca="1">项目基本情况!C4</f>
        <v>1120070131</v>
      </c>
      <c r="C4" s="1973"/>
      <c r="D4" s="1974" t="s">
        <v>1645</v>
      </c>
    </row>
    <row r="5" spans="1:4" ht="56.25" customHeight="1">
      <c r="A5" s="1971" t="str">
        <f>项目基本情况!D4</f>
        <v>崔锴</v>
      </c>
      <c r="B5" s="1972">
        <f ca="1">项目基本情况!E4</f>
        <v>1120100036</v>
      </c>
      <c r="C5" s="1975"/>
      <c r="D5" s="1974" t="s">
        <v>1645</v>
      </c>
    </row>
    <row r="6" spans="1:4" ht="18">
      <c r="A6" s="3153" t="s">
        <v>1646</v>
      </c>
      <c r="B6" s="3153"/>
      <c r="C6" s="3153"/>
      <c r="D6" s="3153"/>
    </row>
    <row r="7" spans="1:4" ht="18.75">
      <c r="A7" s="1970" t="s">
        <v>1641</v>
      </c>
      <c r="B7" s="1972" t="s">
        <v>1647</v>
      </c>
      <c r="C7" s="1970" t="s">
        <v>1643</v>
      </c>
      <c r="D7" s="1970" t="s">
        <v>1644</v>
      </c>
    </row>
    <row r="8" spans="1:4" ht="56.25" customHeight="1">
      <c r="A8" s="1976" t="s">
        <v>865</v>
      </c>
      <c r="B8" s="1976" t="s">
        <v>1</v>
      </c>
      <c r="C8" s="1973"/>
      <c r="D8" s="1974" t="s">
        <v>1645</v>
      </c>
    </row>
    <row r="9" spans="1:4">
      <c r="A9" s="726"/>
      <c r="B9" s="726"/>
      <c r="C9" s="726"/>
      <c r="D9" s="726"/>
    </row>
    <row r="10" spans="1:4" ht="18.75">
      <c r="A10" s="1977" t="s">
        <v>1648</v>
      </c>
      <c r="B10" s="726"/>
      <c r="C10" s="726"/>
      <c r="D10" s="726"/>
    </row>
    <row r="11" spans="1:4" ht="30" customHeight="1">
      <c r="A11" s="3154" t="s">
        <v>1649</v>
      </c>
      <c r="B11" s="3146"/>
      <c r="C11" s="3146"/>
      <c r="D11" s="3146"/>
    </row>
    <row r="12" spans="1:4" ht="15.75">
      <c r="A12" s="31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1"/>
      <c r="C12" s="3151"/>
      <c r="D12" s="3151"/>
    </row>
    <row r="13" spans="1:4" ht="30" customHeight="1">
      <c r="A13" s="31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1"/>
      <c r="C13" s="3151"/>
      <c r="D13" s="3151"/>
    </row>
    <row r="14" spans="1:4" ht="15.75" customHeight="1">
      <c r="A14" s="3146" t="str">
        <f>IF(项目基本情况!B8="抵押","4.本次评估估价师所知悉的法定优先受偿款情况说明如下：","——")</f>
        <v>4.本次评估估价师所知悉的法定优先受偿款情况说明如下：</v>
      </c>
      <c r="B14" s="3151"/>
      <c r="C14" s="3151"/>
      <c r="D14" s="3151"/>
    </row>
    <row r="15" spans="1:4" ht="42" customHeight="1">
      <c r="A15" s="314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46"/>
      <c r="C15" s="3146"/>
      <c r="D15" s="3146"/>
    </row>
    <row r="16" spans="1:4" ht="30" customHeight="1">
      <c r="A16" s="3148" t="s">
        <v>1650</v>
      </c>
      <c r="B16" s="3148"/>
      <c r="C16" s="3148"/>
      <c r="D16" s="3148"/>
    </row>
    <row r="17" spans="1:4" ht="144" customHeight="1">
      <c r="A17" s="3148" t="s">
        <v>1651</v>
      </c>
      <c r="B17" s="3148"/>
      <c r="C17" s="3148"/>
      <c r="D17" s="3148"/>
    </row>
    <row r="18" spans="1:4" ht="15.75" customHeight="1">
      <c r="A18" s="3146" t="str">
        <f>IF(项目基本情况!B8="抵押",结果表!K120,"——")</f>
        <v>故，本次评估不存在估价师知悉的法定优先受偿款</v>
      </c>
      <c r="B18" s="3146"/>
      <c r="C18" s="3146"/>
      <c r="D18" s="3146"/>
    </row>
    <row r="19" spans="1:4" ht="46.5" customHeight="1">
      <c r="A19" s="31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6"/>
      <c r="C19" s="3146"/>
      <c r="D19" s="3146"/>
    </row>
    <row r="20" spans="1:4" ht="57.75" customHeight="1">
      <c r="A20" s="31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46"/>
      <c r="C20" s="3146"/>
      <c r="D20" s="3146"/>
    </row>
    <row r="21" spans="1:4" ht="57.75" customHeight="1">
      <c r="A21" s="31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49"/>
      <c r="C21" s="3149"/>
      <c r="D21" s="3149"/>
    </row>
    <row r="22" spans="1:4" ht="18.75" customHeight="1">
      <c r="A22" s="3150" t="s">
        <v>1652</v>
      </c>
      <c r="B22" s="3150"/>
      <c r="C22" s="3150"/>
      <c r="D22" s="3150"/>
    </row>
    <row r="23" spans="1:4">
      <c r="A23" s="1978"/>
      <c r="B23" s="1950"/>
      <c r="C23" s="1950"/>
      <c r="D23" s="1950"/>
    </row>
    <row r="24" spans="1:4">
      <c r="A24" s="1978"/>
      <c r="B24" s="1950"/>
      <c r="C24" s="1950"/>
      <c r="D24" s="1950"/>
    </row>
    <row r="25" spans="1:4" ht="18.75">
      <c r="A25" s="1979" t="s">
        <v>1653</v>
      </c>
    </row>
    <row r="26" spans="1:4" ht="18">
      <c r="A26" s="1948"/>
    </row>
    <row r="27" spans="1:4" ht="18.75">
      <c r="A27" s="1948" t="s">
        <v>1654</v>
      </c>
    </row>
    <row r="30" spans="1:4" ht="18.75">
      <c r="D30" s="1979" t="s">
        <v>1655</v>
      </c>
    </row>
    <row r="31" spans="1:4" ht="13.5" customHeight="1">
      <c r="C31" s="3147">
        <v>42551</v>
      </c>
      <c r="D31" s="314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6" customWidth="1"/>
    <col min="3" max="10" width="12.5" style="1936" customWidth="1"/>
    <col min="11" max="16384" width="9" style="1936"/>
  </cols>
  <sheetData>
    <row r="1" spans="1:10" ht="18.75">
      <c r="A1" s="1969" t="s">
        <v>866</v>
      </c>
      <c r="B1" s="1980"/>
      <c r="C1" s="1980"/>
      <c r="D1" s="1980"/>
      <c r="E1" s="1980"/>
      <c r="F1" s="1980"/>
      <c r="G1" s="1980"/>
      <c r="H1" s="1980"/>
      <c r="I1" s="1980"/>
      <c r="J1" s="1980"/>
    </row>
    <row r="2" spans="1:10" ht="18.75">
      <c r="A2" s="1981"/>
      <c r="B2" s="1980"/>
      <c r="C2" s="1980"/>
      <c r="D2" s="1980"/>
      <c r="E2" s="1980"/>
      <c r="F2" s="1980"/>
      <c r="G2" s="1980"/>
      <c r="H2" s="1980"/>
      <c r="I2" s="1980"/>
      <c r="J2" s="1980"/>
    </row>
    <row r="3" spans="1:10">
      <c r="A3" s="1980"/>
      <c r="B3" s="1980"/>
      <c r="C3" s="1980"/>
      <c r="D3" s="1980"/>
      <c r="E3" s="1980"/>
      <c r="F3" s="1980"/>
      <c r="G3" s="1980"/>
      <c r="H3" s="1980"/>
      <c r="I3" s="1980"/>
      <c r="J3" s="1980"/>
    </row>
    <row r="4" spans="1:10">
      <c r="A4" s="1980"/>
      <c r="B4" s="1980"/>
      <c r="C4" s="1980"/>
      <c r="D4" s="1980"/>
      <c r="E4" s="1980"/>
      <c r="F4" s="1980"/>
      <c r="G4" s="1980"/>
      <c r="H4" s="1980"/>
      <c r="I4" s="1980"/>
      <c r="J4" s="1980"/>
    </row>
    <row r="5" spans="1:10">
      <c r="A5" s="1980"/>
      <c r="B5" s="1980"/>
      <c r="C5" s="1980"/>
      <c r="D5" s="1980"/>
      <c r="E5" s="1980"/>
      <c r="F5" s="1980"/>
      <c r="G5" s="1980"/>
      <c r="H5" s="1980"/>
      <c r="I5" s="1980"/>
      <c r="J5" s="1980"/>
    </row>
    <row r="6" spans="1:10">
      <c r="A6" s="1980"/>
      <c r="B6" s="1980"/>
      <c r="C6" s="1980"/>
      <c r="D6" s="1980"/>
      <c r="E6" s="1980"/>
      <c r="F6" s="1980"/>
      <c r="G6" s="1980"/>
      <c r="H6" s="1980"/>
      <c r="I6" s="1980"/>
      <c r="J6" s="1980"/>
    </row>
    <row r="7" spans="1:10">
      <c r="A7" s="1980"/>
      <c r="B7" s="1980"/>
      <c r="C7" s="1980"/>
      <c r="D7" s="1980"/>
      <c r="E7" s="1980"/>
      <c r="F7" s="1980"/>
      <c r="G7" s="1980"/>
      <c r="H7" s="1980"/>
      <c r="I7" s="1980"/>
      <c r="J7" s="1980"/>
    </row>
    <row r="8" spans="1:10">
      <c r="A8" s="1980"/>
      <c r="B8" s="1980"/>
      <c r="C8" s="1980"/>
      <c r="D8" s="1980"/>
      <c r="E8" s="1980"/>
      <c r="F8" s="1980"/>
      <c r="G8" s="1980"/>
      <c r="H8" s="1980"/>
      <c r="I8" s="1980"/>
      <c r="J8" s="1980"/>
    </row>
    <row r="9" spans="1:10">
      <c r="A9" s="1980"/>
      <c r="B9" s="1980"/>
      <c r="C9" s="1980"/>
      <c r="D9" s="1980"/>
      <c r="E9" s="1980"/>
      <c r="F9" s="1980"/>
      <c r="G9" s="1980"/>
      <c r="H9" s="1980"/>
      <c r="I9" s="1980"/>
      <c r="J9" s="1980"/>
    </row>
    <row r="10" spans="1:10">
      <c r="A10" s="1980"/>
      <c r="B10" s="1980"/>
      <c r="C10" s="1980"/>
      <c r="D10" s="1980"/>
      <c r="E10" s="1980"/>
      <c r="F10" s="1980"/>
      <c r="G10" s="1980"/>
      <c r="H10" s="1980"/>
      <c r="I10" s="1980"/>
      <c r="J10" s="1980"/>
    </row>
    <row r="11" spans="1:10">
      <c r="A11" s="1980"/>
      <c r="B11" s="1980"/>
      <c r="C11" s="1980"/>
      <c r="D11" s="1980"/>
      <c r="E11" s="1980"/>
      <c r="F11" s="1980"/>
      <c r="G11" s="1980"/>
      <c r="H11" s="1980"/>
      <c r="I11" s="1980"/>
      <c r="J11" s="1980"/>
    </row>
    <row r="12" spans="1:10">
      <c r="A12" s="1980"/>
      <c r="B12" s="1980"/>
      <c r="C12" s="1980"/>
      <c r="D12" s="1980"/>
      <c r="E12" s="1980"/>
      <c r="F12" s="1980"/>
      <c r="G12" s="1980"/>
      <c r="H12" s="1980"/>
      <c r="I12" s="1980"/>
      <c r="J12" s="1980"/>
    </row>
    <row r="13" spans="1:10">
      <c r="A13" s="1980"/>
      <c r="B13" s="1980"/>
      <c r="C13" s="1980"/>
      <c r="D13" s="1980"/>
      <c r="E13" s="1980"/>
      <c r="F13" s="1980"/>
      <c r="G13" s="1980"/>
      <c r="H13" s="1980"/>
      <c r="I13" s="1980"/>
      <c r="J13" s="1980"/>
    </row>
    <row r="14" spans="1:10">
      <c r="A14" s="1980"/>
      <c r="B14" s="1980"/>
      <c r="C14" s="1980"/>
      <c r="D14" s="1980"/>
      <c r="E14" s="1980"/>
      <c r="F14" s="1980"/>
      <c r="G14" s="1980"/>
      <c r="H14" s="1980"/>
      <c r="I14" s="1980"/>
      <c r="J14" s="1980"/>
    </row>
    <row r="15" spans="1:10">
      <c r="A15" s="1980"/>
      <c r="B15" s="1980"/>
      <c r="C15" s="1980"/>
      <c r="D15" s="1980"/>
      <c r="E15" s="1980"/>
      <c r="F15" s="1980"/>
      <c r="G15" s="1980"/>
      <c r="H15" s="1980"/>
      <c r="I15" s="1980"/>
      <c r="J15" s="1980"/>
    </row>
    <row r="16" spans="1:10">
      <c r="A16" s="1980"/>
      <c r="B16" s="1980"/>
      <c r="C16" s="1980"/>
      <c r="D16" s="1980"/>
      <c r="E16" s="1980"/>
      <c r="F16" s="1980"/>
      <c r="G16" s="1980"/>
      <c r="H16" s="1980"/>
      <c r="I16" s="1980"/>
      <c r="J16" s="1980"/>
    </row>
    <row r="17" spans="1:10">
      <c r="A17" s="1980"/>
      <c r="B17" s="1980"/>
      <c r="C17" s="1980"/>
      <c r="D17" s="1980"/>
      <c r="E17" s="1980"/>
      <c r="F17" s="1980"/>
      <c r="G17" s="1980"/>
      <c r="H17" s="1980"/>
      <c r="I17" s="1980"/>
      <c r="J17" s="1980"/>
    </row>
    <row r="18" spans="1:10">
      <c r="A18" s="1980"/>
      <c r="B18" s="1980"/>
      <c r="C18" s="1980"/>
      <c r="D18" s="1980"/>
      <c r="E18" s="1980"/>
      <c r="F18" s="1980"/>
      <c r="G18" s="1980"/>
      <c r="H18" s="1980"/>
      <c r="I18" s="1980"/>
      <c r="J18" s="1980"/>
    </row>
    <row r="19" spans="1:10">
      <c r="A19" s="1980"/>
      <c r="B19" s="1980"/>
      <c r="C19" s="1980"/>
      <c r="D19" s="1980"/>
      <c r="E19" s="1980"/>
      <c r="F19" s="1980"/>
      <c r="G19" s="1980"/>
      <c r="H19" s="1980"/>
      <c r="I19" s="1980"/>
      <c r="J19" s="1980"/>
    </row>
    <row r="20" spans="1:10">
      <c r="A20" s="1980"/>
      <c r="B20" s="1980"/>
      <c r="C20" s="1980"/>
      <c r="D20" s="1980"/>
      <c r="E20" s="1980"/>
      <c r="F20" s="1980"/>
      <c r="G20" s="1980"/>
      <c r="H20" s="1980"/>
      <c r="I20" s="1980"/>
      <c r="J20" s="1980"/>
    </row>
    <row r="21" spans="1:10">
      <c r="A21" s="1980"/>
      <c r="B21" s="1980"/>
      <c r="C21" s="1980"/>
      <c r="D21" s="1980"/>
      <c r="E21" s="1980"/>
      <c r="F21" s="1980"/>
      <c r="G21" s="1980"/>
      <c r="H21" s="1980"/>
      <c r="I21" s="1980"/>
      <c r="J21" s="1980"/>
    </row>
    <row r="22" spans="1:10">
      <c r="A22" s="1980"/>
      <c r="B22" s="1980"/>
      <c r="C22" s="1980"/>
      <c r="D22" s="1980"/>
      <c r="E22" s="1980"/>
      <c r="F22" s="1980"/>
      <c r="G22" s="1980"/>
      <c r="H22" s="1980"/>
      <c r="I22" s="1980"/>
      <c r="J22" s="1980"/>
    </row>
    <row r="23" spans="1:10">
      <c r="A23" s="1980"/>
      <c r="B23" s="1980"/>
      <c r="C23" s="1980"/>
      <c r="D23" s="1980"/>
      <c r="E23" s="1980"/>
      <c r="F23" s="1980"/>
      <c r="G23" s="1980"/>
      <c r="H23" s="1980"/>
      <c r="I23" s="1980"/>
      <c r="J23" s="1980"/>
    </row>
    <row r="24" spans="1:10">
      <c r="A24" s="1980"/>
      <c r="B24" s="1980"/>
      <c r="C24" s="1980"/>
      <c r="D24" s="1980"/>
      <c r="E24" s="1980"/>
      <c r="F24" s="1980"/>
      <c r="G24" s="1980"/>
      <c r="H24" s="1980"/>
      <c r="I24" s="1980"/>
      <c r="J24" s="1980"/>
    </row>
    <row r="25" spans="1:10">
      <c r="A25" s="1980"/>
      <c r="B25" s="1980"/>
      <c r="C25" s="1980"/>
      <c r="D25" s="1980"/>
      <c r="E25" s="1980"/>
      <c r="F25" s="1980"/>
      <c r="G25" s="1980"/>
      <c r="H25" s="1980"/>
      <c r="I25" s="1980"/>
      <c r="J25" s="1980"/>
    </row>
    <row r="26" spans="1:10">
      <c r="A26" s="1980"/>
      <c r="B26" s="1980"/>
      <c r="C26" s="1980"/>
      <c r="D26" s="1980"/>
      <c r="E26" s="1980"/>
      <c r="F26" s="1980"/>
      <c r="G26" s="1980"/>
      <c r="H26" s="1980"/>
      <c r="I26" s="1980"/>
      <c r="J26" s="1980"/>
    </row>
    <row r="27" spans="1:10">
      <c r="A27" s="1980"/>
      <c r="B27" s="1980"/>
      <c r="C27" s="1980"/>
      <c r="D27" s="1980"/>
      <c r="E27" s="1980"/>
      <c r="F27" s="1980"/>
      <c r="G27" s="1980"/>
      <c r="H27" s="1980"/>
      <c r="I27" s="1980"/>
      <c r="J27" s="1980"/>
    </row>
    <row r="28" spans="1:10">
      <c r="A28" s="1980"/>
      <c r="B28" s="1980"/>
      <c r="C28" s="1980"/>
      <c r="D28" s="1980"/>
      <c r="E28" s="1980"/>
      <c r="F28" s="1980"/>
      <c r="G28" s="1980"/>
      <c r="H28" s="1980"/>
      <c r="I28" s="1980"/>
      <c r="J28" s="1980"/>
    </row>
    <row r="29" spans="1:10">
      <c r="A29" s="1980"/>
      <c r="B29" s="1980"/>
      <c r="C29" s="1980"/>
      <c r="D29" s="1980"/>
      <c r="E29" s="1980"/>
      <c r="F29" s="1980"/>
      <c r="G29" s="1980"/>
      <c r="H29" s="1980"/>
      <c r="I29" s="1980"/>
      <c r="J29" s="1980"/>
    </row>
    <row r="30" spans="1:10">
      <c r="A30" s="1980"/>
      <c r="B30" s="1980"/>
      <c r="C30" s="1980"/>
      <c r="D30" s="1980"/>
      <c r="E30" s="1980"/>
      <c r="F30" s="1980"/>
      <c r="G30" s="1980"/>
      <c r="H30" s="1980"/>
      <c r="I30" s="1980"/>
      <c r="J30" s="1980"/>
    </row>
    <row r="31" spans="1:10">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6" customWidth="1"/>
    <col min="2" max="16384" width="14.5" style="1968"/>
  </cols>
  <sheetData>
    <row r="1" spans="1:7" s="1983" customFormat="1" ht="18.75">
      <c r="A1" s="1982" t="s">
        <v>1657</v>
      </c>
    </row>
    <row r="3" spans="1:7">
      <c r="A3" s="1984" t="s">
        <v>82</v>
      </c>
      <c r="B3" s="1968" t="s">
        <v>1658</v>
      </c>
      <c r="G3" s="1985"/>
    </row>
    <row r="4" spans="1:7">
      <c r="G4" s="1985"/>
    </row>
    <row r="5" spans="1:7">
      <c r="A5" s="1987" t="s">
        <v>73</v>
      </c>
      <c r="B5" s="1968" t="s">
        <v>1659</v>
      </c>
      <c r="G5" s="1985"/>
    </row>
    <row r="6" spans="1:7">
      <c r="G6" s="1985"/>
    </row>
    <row r="7" spans="1:7">
      <c r="A7" s="1988" t="s">
        <v>135</v>
      </c>
      <c r="B7" s="1968" t="s">
        <v>1660</v>
      </c>
      <c r="G7" s="1985"/>
    </row>
    <row r="8" spans="1:7">
      <c r="G8" s="1985"/>
    </row>
    <row r="9" spans="1:7">
      <c r="A9" s="1989" t="s">
        <v>74</v>
      </c>
      <c r="B9" s="1968" t="s">
        <v>1661</v>
      </c>
    </row>
    <row r="11" spans="1:7">
      <c r="A11" s="1990" t="s">
        <v>75</v>
      </c>
      <c r="B11" s="1991" t="s">
        <v>72</v>
      </c>
    </row>
    <row r="13" spans="1:7">
      <c r="A13" s="1992" t="s">
        <v>1662</v>
      </c>
    </row>
    <row r="15" spans="1:7" ht="13.5">
      <c r="A15" s="3160" t="s">
        <v>1663</v>
      </c>
      <c r="B15" s="3155" t="s">
        <v>136</v>
      </c>
      <c r="C15" s="3156"/>
    </row>
    <row r="16" spans="1:7" ht="13.5">
      <c r="A16" s="3161"/>
      <c r="B16" s="3155" t="s">
        <v>69</v>
      </c>
      <c r="C16" s="3156"/>
    </row>
    <row r="17" spans="1:3" ht="13.5">
      <c r="A17" s="3161"/>
      <c r="B17" s="3158" t="s">
        <v>1664</v>
      </c>
      <c r="C17" s="1993" t="s">
        <v>1663</v>
      </c>
    </row>
    <row r="18" spans="1:3" ht="13.5">
      <c r="A18" s="3161"/>
      <c r="B18" s="3158"/>
      <c r="C18" s="1993" t="s">
        <v>1665</v>
      </c>
    </row>
    <row r="19" spans="1:3" ht="13.5">
      <c r="A19" s="3161"/>
      <c r="B19" s="3158"/>
      <c r="C19" s="1993" t="s">
        <v>1666</v>
      </c>
    </row>
    <row r="20" spans="1:3" ht="13.5">
      <c r="A20" s="3162"/>
      <c r="B20" s="3157" t="s">
        <v>1667</v>
      </c>
      <c r="C20" s="3156"/>
    </row>
    <row r="21" spans="1:3" ht="13.5">
      <c r="A21" s="1994" t="s">
        <v>1668</v>
      </c>
      <c r="B21" s="1995"/>
      <c r="C21" s="1996"/>
    </row>
    <row r="22" spans="1:3" ht="13.5">
      <c r="A22" s="3159" t="s">
        <v>1669</v>
      </c>
      <c r="B22" s="3157" t="s">
        <v>1670</v>
      </c>
      <c r="C22" s="3156"/>
    </row>
    <row r="23" spans="1:3" ht="13.5">
      <c r="A23" s="3159"/>
      <c r="B23" s="3157" t="s">
        <v>1671</v>
      </c>
      <c r="C23" s="3156"/>
    </row>
    <row r="24" spans="1:3" ht="13.5">
      <c r="A24" s="3159"/>
      <c r="B24" s="3157" t="s">
        <v>1672</v>
      </c>
      <c r="C24" s="3156"/>
    </row>
    <row r="25" spans="1:3" ht="13.5">
      <c r="A25" s="3159"/>
      <c r="B25" s="3158" t="s">
        <v>1673</v>
      </c>
      <c r="C25" s="1993" t="s">
        <v>1674</v>
      </c>
    </row>
    <row r="26" spans="1:3" ht="13.5">
      <c r="A26" s="3159"/>
      <c r="B26" s="3158"/>
      <c r="C26" s="1993" t="s">
        <v>1675</v>
      </c>
    </row>
    <row r="27" spans="1:3" ht="13.5">
      <c r="A27" s="3159"/>
      <c r="B27" s="3158"/>
      <c r="C27" s="1993" t="s">
        <v>1676</v>
      </c>
    </row>
    <row r="28" spans="1:3" ht="13.5">
      <c r="A28" s="3159"/>
      <c r="B28" s="3158"/>
      <c r="C28" s="1993" t="s">
        <v>1677</v>
      </c>
    </row>
    <row r="29" spans="1:3" ht="13.5">
      <c r="A29" s="3159"/>
      <c r="B29" s="3158"/>
      <c r="C29" s="1993" t="s">
        <v>1678</v>
      </c>
    </row>
    <row r="30" spans="1:3" ht="13.5">
      <c r="A30" s="3159"/>
      <c r="B30" s="3158"/>
      <c r="C30" s="1993" t="s">
        <v>1679</v>
      </c>
    </row>
    <row r="31" spans="1:3" ht="13.5">
      <c r="A31" s="3159"/>
      <c r="B31" s="3158"/>
      <c r="C31" s="1993" t="s">
        <v>1680</v>
      </c>
    </row>
    <row r="32" spans="1:3" ht="13.5">
      <c r="A32" s="3159"/>
      <c r="B32" s="3158"/>
      <c r="C32" s="1993" t="s">
        <v>1681</v>
      </c>
    </row>
    <row r="33" spans="1:3" ht="13.5">
      <c r="A33" s="3159"/>
      <c r="B33" s="3158"/>
      <c r="C33" s="1993" t="s">
        <v>1682</v>
      </c>
    </row>
    <row r="34" spans="1:3">
      <c r="A34" s="1997" t="s">
        <v>76</v>
      </c>
    </row>
    <row r="37" spans="1:3">
      <c r="A37" s="1997" t="s">
        <v>1683</v>
      </c>
    </row>
    <row r="38" spans="1:3" ht="13.5">
      <c r="A38" s="1998" t="s">
        <v>77</v>
      </c>
    </row>
    <row r="39" spans="1:3" ht="13.5">
      <c r="A39" s="1998" t="s">
        <v>78</v>
      </c>
    </row>
    <row r="40" spans="1:3" ht="13.5">
      <c r="A40" s="1998" t="s">
        <v>79</v>
      </c>
    </row>
    <row r="41" spans="1:3" ht="13.5">
      <c r="A41" s="1999" t="s">
        <v>80</v>
      </c>
    </row>
    <row r="42" spans="1:3" ht="13.5">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2"/>
    <col min="3" max="3" width="32.25" style="1012" customWidth="1"/>
    <col min="4" max="5" width="22.625" style="1012"/>
    <col min="6" max="6" width="25.625" style="1012" customWidth="1"/>
    <col min="7" max="16384" width="22.625" style="1012"/>
  </cols>
  <sheetData>
    <row r="2" spans="1:6" ht="24" customHeight="1">
      <c r="A2" s="1014" t="s">
        <v>825</v>
      </c>
      <c r="B2" s="1015">
        <f ca="1">TODAY()</f>
        <v>43900</v>
      </c>
      <c r="C2" s="1016" t="s">
        <v>826</v>
      </c>
      <c r="D2" s="1016"/>
    </row>
    <row r="3" spans="1:6" ht="24" customHeight="1">
      <c r="A3" s="1017" t="s">
        <v>827</v>
      </c>
      <c r="B3" s="1018" t="s">
        <v>828</v>
      </c>
      <c r="C3" s="2332" t="s">
        <v>829</v>
      </c>
      <c r="D3" s="2335" t="s">
        <v>830</v>
      </c>
      <c r="E3" s="1019" t="s">
        <v>831</v>
      </c>
      <c r="F3" s="1018" t="s">
        <v>829</v>
      </c>
    </row>
    <row r="4" spans="1:6" ht="24" customHeight="1">
      <c r="A4" s="1696" t="s">
        <v>832</v>
      </c>
      <c r="B4" s="1019" t="str">
        <f ca="1">IF(C4&lt;B2,"已过期",1119970066)</f>
        <v>已过期</v>
      </c>
      <c r="C4" s="2333">
        <v>43849</v>
      </c>
      <c r="D4" s="2336" t="s">
        <v>832</v>
      </c>
      <c r="E4" s="1019">
        <f ca="1">IF(F4&lt;B2,"已过期",96010014)</f>
        <v>96010014</v>
      </c>
      <c r="F4" s="1027">
        <v>47118</v>
      </c>
    </row>
    <row r="5" spans="1:6" ht="24" customHeight="1">
      <c r="A5" s="1696"/>
      <c r="B5" s="1019"/>
      <c r="C5" s="2333"/>
      <c r="D5" s="2336"/>
      <c r="E5" s="1019"/>
      <c r="F5" s="1027"/>
    </row>
    <row r="6" spans="1:6" ht="24" customHeight="1">
      <c r="A6" s="1696" t="s">
        <v>833</v>
      </c>
      <c r="B6" s="1019">
        <f ca="1">IF(C6&lt;B2,"已过期",1119970111)</f>
        <v>1119970111</v>
      </c>
      <c r="C6" s="2333">
        <v>44876</v>
      </c>
      <c r="D6" s="2336" t="s">
        <v>833</v>
      </c>
      <c r="E6" s="1019">
        <f ca="1">IF(F6&lt;B2,"已过期",94010078)</f>
        <v>94010078</v>
      </c>
      <c r="F6" s="1027">
        <v>46387</v>
      </c>
    </row>
    <row r="7" spans="1:6" ht="24" customHeight="1">
      <c r="A7" s="1696" t="s">
        <v>834</v>
      </c>
      <c r="B7" s="1019">
        <f ca="1">IF(C7&lt;B2,"已过期",1120050019)</f>
        <v>1120050019</v>
      </c>
      <c r="C7" s="2333">
        <v>44395</v>
      </c>
      <c r="D7" s="2336" t="s">
        <v>834</v>
      </c>
      <c r="E7" s="1019">
        <f ca="1">IF(F7&lt;B2,"已过期",2002110030)</f>
        <v>2002110030</v>
      </c>
      <c r="F7" s="1027">
        <v>46387</v>
      </c>
    </row>
    <row r="8" spans="1:6" ht="24" customHeight="1">
      <c r="A8" s="1696" t="s">
        <v>835</v>
      </c>
      <c r="B8" s="1019" t="str">
        <f ca="1">IF(C8&lt;B2,"已过期",1120000080)</f>
        <v>已过期</v>
      </c>
      <c r="C8" s="2333">
        <v>43849</v>
      </c>
      <c r="D8" s="2336" t="s">
        <v>835</v>
      </c>
      <c r="E8" s="1019">
        <f ca="1">IF(F8&lt;B2,"已过期",2000110082)</f>
        <v>2000110082</v>
      </c>
      <c r="F8" s="1027">
        <v>46387</v>
      </c>
    </row>
    <row r="9" spans="1:6" ht="24" customHeight="1">
      <c r="A9" s="1696" t="s">
        <v>836</v>
      </c>
      <c r="B9" s="1019" t="str">
        <f ca="1">IF(C9&lt;B2,"已过期",1419970001)</f>
        <v>已过期</v>
      </c>
      <c r="C9" s="2333">
        <v>43867</v>
      </c>
      <c r="D9" s="2336" t="s">
        <v>836</v>
      </c>
      <c r="E9" s="1019">
        <f ca="1">IF(F9&lt;B2,"已过期",2002110125)</f>
        <v>2002110125</v>
      </c>
      <c r="F9" s="1027">
        <v>47118</v>
      </c>
    </row>
    <row r="10" spans="1:6" ht="24" customHeight="1">
      <c r="A10" s="1696" t="s">
        <v>837</v>
      </c>
      <c r="B10" s="1019">
        <f ca="1">IF(C10&lt;B2,"已过期",1120060040)</f>
        <v>1120060040</v>
      </c>
      <c r="C10" s="2333">
        <v>44554</v>
      </c>
      <c r="D10" s="2336" t="s">
        <v>837</v>
      </c>
      <c r="E10" s="1019">
        <f ca="1">IF(F10&lt;B2,"已过期",2004110096)</f>
        <v>2004110096</v>
      </c>
      <c r="F10" s="1027">
        <v>47118</v>
      </c>
    </row>
    <row r="11" spans="1:6" ht="24" customHeight="1">
      <c r="A11" s="1696" t="s">
        <v>838</v>
      </c>
      <c r="B11" s="1019">
        <f ca="1">IF(C11&lt;B2,"已过期",1120100036)</f>
        <v>1120100036</v>
      </c>
      <c r="C11" s="2333">
        <v>44675</v>
      </c>
      <c r="D11" s="2336" t="s">
        <v>838</v>
      </c>
      <c r="E11" s="1019">
        <f ca="1">IF(F11&lt;B2,"已过期",2010110070)</f>
        <v>2010110070</v>
      </c>
      <c r="F11" s="1027">
        <v>47907</v>
      </c>
    </row>
    <row r="12" spans="1:6" ht="24" customHeight="1">
      <c r="A12" s="1696"/>
      <c r="B12" s="1019"/>
      <c r="C12" s="2912"/>
      <c r="D12" s="1696"/>
      <c r="E12" s="1019"/>
      <c r="F12" s="1027"/>
    </row>
    <row r="13" spans="1:6" ht="24" customHeight="1">
      <c r="A13" s="1696" t="s">
        <v>839</v>
      </c>
      <c r="B13" s="1019">
        <f ca="1">IF(C13&lt;B2,"已过期",1120070131)</f>
        <v>1120070131</v>
      </c>
      <c r="C13" s="2333">
        <v>44849</v>
      </c>
      <c r="D13" s="2336" t="s">
        <v>839</v>
      </c>
      <c r="E13" s="1019">
        <f ca="1">IF(F13&lt;B2,"已过期",2014110011)</f>
        <v>2014110011</v>
      </c>
      <c r="F13" s="1027">
        <v>49302</v>
      </c>
    </row>
    <row r="14" spans="1:6" ht="24" customHeight="1">
      <c r="A14" s="1696" t="s">
        <v>3026</v>
      </c>
      <c r="B14" s="1019">
        <f ca="1">IF(C14&lt;B2,"已过期",1120040230)</f>
        <v>1120040230</v>
      </c>
      <c r="C14" s="2333">
        <v>44864</v>
      </c>
      <c r="D14" s="2336" t="s">
        <v>3026</v>
      </c>
      <c r="E14" s="1019">
        <f ca="1">IF(F14&lt;B2,"已过期",98030020)</f>
        <v>98030020</v>
      </c>
      <c r="F14" s="1027">
        <v>47118</v>
      </c>
    </row>
    <row r="15" spans="1:6" ht="24" customHeight="1">
      <c r="A15" s="1697"/>
      <c r="B15" s="1019"/>
      <c r="C15" s="2333"/>
      <c r="D15" s="2337"/>
      <c r="E15" s="1019"/>
      <c r="F15" s="1020"/>
    </row>
    <row r="16" spans="1:6" ht="24" customHeight="1">
      <c r="A16" s="1696"/>
      <c r="B16" s="1019"/>
      <c r="C16" s="2912"/>
      <c r="D16" s="2336"/>
      <c r="E16" s="1019"/>
      <c r="F16" s="1027"/>
    </row>
    <row r="17" spans="1:7" ht="24" customHeight="1">
      <c r="A17" s="1696"/>
      <c r="B17" s="1019"/>
      <c r="C17" s="2333"/>
      <c r="D17" s="2336"/>
      <c r="E17" s="1019"/>
      <c r="F17" s="1027"/>
    </row>
    <row r="18" spans="1:7" ht="24" customHeight="1">
      <c r="A18" s="1696" t="s">
        <v>3033</v>
      </c>
      <c r="B18" s="1019">
        <v>1120190079</v>
      </c>
      <c r="C18" s="2912">
        <v>44826</v>
      </c>
      <c r="D18" s="2336"/>
      <c r="E18" s="1019"/>
      <c r="F18" s="1027"/>
    </row>
    <row r="19" spans="1:7" ht="24" customHeight="1">
      <c r="A19" s="1696"/>
      <c r="B19" s="1019"/>
      <c r="C19" s="2333"/>
      <c r="D19" s="2336"/>
      <c r="E19" s="1019"/>
      <c r="F19" s="1019"/>
    </row>
    <row r="20" spans="1:7" ht="24" customHeight="1">
      <c r="A20" s="1696"/>
      <c r="B20" s="1019"/>
      <c r="C20" s="2333"/>
      <c r="D20" s="2336"/>
      <c r="E20" s="1019"/>
      <c r="F20" s="1019"/>
    </row>
    <row r="21" spans="1:7" ht="24" customHeight="1">
      <c r="A21" s="1696"/>
      <c r="B21" s="1019"/>
      <c r="C21" s="2333"/>
      <c r="D21" s="2336" t="s">
        <v>840</v>
      </c>
      <c r="E21" s="1019">
        <f ca="1">IF(F21&lt;B2,"已过期",2011110090)</f>
        <v>2011110090</v>
      </c>
      <c r="F21" s="1027">
        <v>48302</v>
      </c>
    </row>
    <row r="22" spans="1:7" ht="24" customHeight="1">
      <c r="A22" s="1696" t="s">
        <v>841</v>
      </c>
      <c r="B22" s="1019">
        <f ca="1">IF(C22&lt;B2,"已过期",1120020033)</f>
        <v>1120020033</v>
      </c>
      <c r="C22" s="2912">
        <v>44339</v>
      </c>
      <c r="D22" s="2336" t="s">
        <v>841</v>
      </c>
      <c r="E22" s="1019">
        <f ca="1">IF(F22&lt;B2,"已过期",2000110137)</f>
        <v>2000110137</v>
      </c>
      <c r="F22" s="1027">
        <v>46387</v>
      </c>
    </row>
    <row r="23" spans="1:7" ht="24" customHeight="1">
      <c r="A23" s="1696" t="s">
        <v>3035</v>
      </c>
      <c r="B23" s="1019">
        <v>1119980106</v>
      </c>
      <c r="C23" s="2333">
        <v>43916</v>
      </c>
      <c r="D23" s="2336"/>
      <c r="E23" s="1019"/>
      <c r="F23" s="1019"/>
    </row>
    <row r="24" spans="1:7" s="1021" customFormat="1" ht="24" customHeight="1">
      <c r="A24" s="1697" t="s">
        <v>1328</v>
      </c>
      <c r="B24" s="1697" t="s">
        <v>1328</v>
      </c>
      <c r="C24" s="2334" t="s">
        <v>1328</v>
      </c>
      <c r="D24" s="2337" t="s">
        <v>1328</v>
      </c>
      <c r="E24" s="1697" t="s">
        <v>1328</v>
      </c>
      <c r="F24" s="1697" t="s">
        <v>1328</v>
      </c>
    </row>
    <row r="25" spans="1:7" ht="24" customHeight="1">
      <c r="A25" s="3163" t="s">
        <v>842</v>
      </c>
      <c r="B25" s="3163"/>
      <c r="C25" s="3163"/>
      <c r="D25" s="3163"/>
      <c r="E25" s="3163"/>
      <c r="F25" s="3163"/>
      <c r="G25" s="3163"/>
    </row>
    <row r="26" spans="1:7" s="1022" customFormat="1" ht="24" customHeight="1">
      <c r="A26" s="3164" t="s">
        <v>843</v>
      </c>
      <c r="B26" s="3164"/>
      <c r="C26" s="3165"/>
      <c r="D26" s="3166" t="s">
        <v>844</v>
      </c>
      <c r="E26" s="3164"/>
      <c r="F26" s="3164"/>
    </row>
    <row r="27" spans="1:7" s="1024" customFormat="1" ht="24" customHeight="1">
      <c r="A27" s="1023" t="s">
        <v>845</v>
      </c>
      <c r="B27" s="1018" t="s">
        <v>846</v>
      </c>
      <c r="C27" s="2332" t="s">
        <v>847</v>
      </c>
      <c r="D27" s="2339" t="s">
        <v>845</v>
      </c>
      <c r="E27" s="1018" t="s">
        <v>846</v>
      </c>
      <c r="F27" s="1018" t="s">
        <v>847</v>
      </c>
    </row>
    <row r="28" spans="1:7" s="1024" customFormat="1" ht="24" customHeight="1">
      <c r="A28" s="1025" t="s">
        <v>848</v>
      </c>
      <c r="B28" s="1026" t="s">
        <v>849</v>
      </c>
      <c r="C28" s="1027">
        <v>44820</v>
      </c>
      <c r="D28" s="2340" t="s">
        <v>850</v>
      </c>
      <c r="E28" s="1025" t="s">
        <v>851</v>
      </c>
      <c r="F28" s="1054">
        <v>44377</v>
      </c>
    </row>
    <row r="29" spans="1:7" s="1024" customFormat="1" ht="24" customHeight="1">
      <c r="A29" s="1025"/>
      <c r="B29" s="1025"/>
      <c r="C29" s="2338"/>
      <c r="D29" s="2340" t="s">
        <v>852</v>
      </c>
      <c r="E29" s="1198" t="s">
        <v>3034</v>
      </c>
      <c r="F29" s="1199">
        <v>44012</v>
      </c>
    </row>
    <row r="30" spans="1:7" ht="24" customHeight="1">
      <c r="C30" s="1028"/>
      <c r="D30" s="1028"/>
    </row>
  </sheetData>
  <sheetProtection sheet="1" objects="1" scenarios="1"/>
  <mergeCells count="3">
    <mergeCell ref="A25:G25"/>
    <mergeCell ref="A26:C26"/>
    <mergeCell ref="D26:F26"/>
  </mergeCells>
  <phoneticPr fontId="86" type="noConversion"/>
  <conditionalFormatting sqref="F4">
    <cfRule type="cellIs" dxfId="226" priority="97" stopIfTrue="1" operator="lessThan">
      <formula>$B$2</formula>
    </cfRule>
  </conditionalFormatting>
  <conditionalFormatting sqref="C5">
    <cfRule type="expression" dxfId="225" priority="92">
      <formula>AND($C5-TODAY()&lt;30,TODAY()&lt;$C5)</formula>
    </cfRule>
  </conditionalFormatting>
  <conditionalFormatting sqref="C5 F5">
    <cfRule type="cellIs" dxfId="224" priority="93" stopIfTrue="1" operator="lessThan">
      <formula>$B$2</formula>
    </cfRule>
  </conditionalFormatting>
  <conditionalFormatting sqref="F6 F8 F10">
    <cfRule type="cellIs" dxfId="223" priority="91" stopIfTrue="1" operator="lessThan">
      <formula>$B$2</formula>
    </cfRule>
  </conditionalFormatting>
  <conditionalFormatting sqref="C4:C11 C13 C23 C17 C19:C21">
    <cfRule type="expression" dxfId="222" priority="89">
      <formula>AND($C4-TODAY()&lt;30,TODAY()&lt;$C4)</formula>
    </cfRule>
  </conditionalFormatting>
  <conditionalFormatting sqref="F7 F9 F11 C4:C11 C13 C23 C17 C19:C21">
    <cfRule type="cellIs" dxfId="221" priority="90" stopIfTrue="1" operator="lessThan">
      <formula>$B$2</formula>
    </cfRule>
  </conditionalFormatting>
  <conditionalFormatting sqref="C20">
    <cfRule type="expression" dxfId="220" priority="77">
      <formula>AND($C20-TODAY()&lt;30,TODAY()&lt;$C20)</formula>
    </cfRule>
  </conditionalFormatting>
  <conditionalFormatting sqref="C20">
    <cfRule type="cellIs" dxfId="219" priority="78" stopIfTrue="1" operator="lessThan">
      <formula>$B$2</formula>
    </cfRule>
  </conditionalFormatting>
  <conditionalFormatting sqref="C17">
    <cfRule type="expression" dxfId="218" priority="71">
      <formula>AND($C17-TODAY()&lt;30,TODAY()&lt;$C17)</formula>
    </cfRule>
  </conditionalFormatting>
  <conditionalFormatting sqref="C17">
    <cfRule type="cellIs" dxfId="217" priority="72" stopIfTrue="1" operator="lessThan">
      <formula>$B$2</formula>
    </cfRule>
  </conditionalFormatting>
  <conditionalFormatting sqref="C19">
    <cfRule type="expression" dxfId="216" priority="69">
      <formula>AND($C19-TODAY()&lt;30,TODAY()&lt;$C19)</formula>
    </cfRule>
  </conditionalFormatting>
  <conditionalFormatting sqref="C19">
    <cfRule type="cellIs" dxfId="215" priority="70" stopIfTrue="1" operator="lessThan">
      <formula>$B$2</formula>
    </cfRule>
  </conditionalFormatting>
  <conditionalFormatting sqref="C21">
    <cfRule type="expression" dxfId="214" priority="67">
      <formula>AND($C21-TODAY()&lt;30,TODAY()&lt;$C21)</formula>
    </cfRule>
  </conditionalFormatting>
  <conditionalFormatting sqref="C21">
    <cfRule type="cellIs" dxfId="213" priority="68" stopIfTrue="1" operator="lessThan">
      <formula>$B$2</formula>
    </cfRule>
  </conditionalFormatting>
  <conditionalFormatting sqref="C23">
    <cfRule type="expression" dxfId="212" priority="65">
      <formula>AND($C23-TODAY()&lt;30,TODAY()&lt;$C23)</formula>
    </cfRule>
  </conditionalFormatting>
  <conditionalFormatting sqref="C23">
    <cfRule type="cellIs" dxfId="211" priority="66" stopIfTrue="1" operator="lessThan">
      <formula>$B$2</formula>
    </cfRule>
  </conditionalFormatting>
  <conditionalFormatting sqref="F18">
    <cfRule type="cellIs" dxfId="210" priority="62" stopIfTrue="1" operator="lessThan">
      <formula>$B$2</formula>
    </cfRule>
  </conditionalFormatting>
  <conditionalFormatting sqref="F22">
    <cfRule type="cellIs" dxfId="209" priority="61" stopIfTrue="1" operator="lessThan">
      <formula>$B$2</formula>
    </cfRule>
  </conditionalFormatting>
  <conditionalFormatting sqref="F21">
    <cfRule type="cellIs" dxfId="208" priority="60" stopIfTrue="1" operator="lessThan">
      <formula>$B$2</formula>
    </cfRule>
  </conditionalFormatting>
  <conditionalFormatting sqref="B4:B11 E4:E11 B17 E18:E23 B13 E13 B19:B23">
    <cfRule type="cellIs" dxfId="207" priority="58" stopIfTrue="1" operator="equal">
      <formula>"已过期"</formula>
    </cfRule>
  </conditionalFormatting>
  <conditionalFormatting sqref="A24:F24">
    <cfRule type="cellIs" dxfId="206" priority="54" stopIfTrue="1" operator="equal">
      <formula>"已过期"</formula>
    </cfRule>
  </conditionalFormatting>
  <conditionalFormatting sqref="F28">
    <cfRule type="expression" dxfId="205" priority="52">
      <formula>AND($E28-TODAY()&lt;30,TODAY()&lt;$E28)</formula>
    </cfRule>
  </conditionalFormatting>
  <conditionalFormatting sqref="F28">
    <cfRule type="cellIs" dxfId="204" priority="53" stopIfTrue="1" operator="lessThan">
      <formula>$B$2</formula>
    </cfRule>
  </conditionalFormatting>
  <conditionalFormatting sqref="F29">
    <cfRule type="expression" dxfId="203" priority="48" stopIfTrue="1">
      <formula>AND($E29-TODAY()&lt;30,TODAY()&lt;$E29)</formula>
    </cfRule>
  </conditionalFormatting>
  <conditionalFormatting sqref="F29">
    <cfRule type="cellIs" dxfId="202" priority="49" stopIfTrue="1" operator="lessThan">
      <formula>$B$2</formula>
    </cfRule>
  </conditionalFormatting>
  <conditionalFormatting sqref="F13">
    <cfRule type="cellIs" dxfId="201" priority="41" stopIfTrue="1" operator="lessThan">
      <formula>$B$2</formula>
    </cfRule>
  </conditionalFormatting>
  <conditionalFormatting sqref="C12">
    <cfRule type="expression" dxfId="200" priority="39">
      <formula>AND($C12-TODAY()&lt;30,TODAY()&lt;$C12)</formula>
    </cfRule>
  </conditionalFormatting>
  <conditionalFormatting sqref="C12">
    <cfRule type="cellIs" dxfId="199" priority="40" stopIfTrue="1" operator="lessThan">
      <formula>$B$2</formula>
    </cfRule>
  </conditionalFormatting>
  <conditionalFormatting sqref="C12">
    <cfRule type="expression" dxfId="198" priority="37">
      <formula>AND($C12-TODAY()&lt;30,TODAY()&lt;$C12)</formula>
    </cfRule>
  </conditionalFormatting>
  <conditionalFormatting sqref="C12">
    <cfRule type="cellIs" dxfId="197" priority="38" stopIfTrue="1" operator="lessThan">
      <formula>$B$2</formula>
    </cfRule>
  </conditionalFormatting>
  <conditionalFormatting sqref="B12">
    <cfRule type="cellIs" dxfId="196" priority="36" stopIfTrue="1" operator="equal">
      <formula>"已过期"</formula>
    </cfRule>
  </conditionalFormatting>
  <conditionalFormatting sqref="E12">
    <cfRule type="cellIs" dxfId="195" priority="35" stopIfTrue="1" operator="equal">
      <formula>"已过期"</formula>
    </cfRule>
  </conditionalFormatting>
  <conditionalFormatting sqref="F12">
    <cfRule type="cellIs" dxfId="194" priority="34" stopIfTrue="1" operator="lessThan">
      <formula>$B$2</formula>
    </cfRule>
  </conditionalFormatting>
  <conditionalFormatting sqref="C22">
    <cfRule type="expression" dxfId="193" priority="32">
      <formula>AND($C22-TODAY()&lt;30,TODAY()&lt;$C22)</formula>
    </cfRule>
  </conditionalFormatting>
  <conditionalFormatting sqref="C22">
    <cfRule type="cellIs" dxfId="192" priority="33" stopIfTrue="1" operator="lessThan">
      <formula>$B$2</formula>
    </cfRule>
  </conditionalFormatting>
  <conditionalFormatting sqref="C22">
    <cfRule type="expression" dxfId="191" priority="30">
      <formula>AND($C22-TODAY()&lt;30,TODAY()&lt;$C22)</formula>
    </cfRule>
  </conditionalFormatting>
  <conditionalFormatting sqref="C22">
    <cfRule type="cellIs" dxfId="190" priority="31" stopIfTrue="1" operator="lessThan">
      <formula>$B$2</formula>
    </cfRule>
  </conditionalFormatting>
  <conditionalFormatting sqref="C16">
    <cfRule type="expression" dxfId="189" priority="28">
      <formula>AND($C16-TODAY()&lt;30,TODAY()&lt;$C16)</formula>
    </cfRule>
  </conditionalFormatting>
  <conditionalFormatting sqref="C16">
    <cfRule type="cellIs" dxfId="188" priority="29" stopIfTrue="1" operator="lessThan">
      <formula>$B$2</formula>
    </cfRule>
  </conditionalFormatting>
  <conditionalFormatting sqref="C16">
    <cfRule type="expression" dxfId="187" priority="26">
      <formula>AND($C16-TODAY()&lt;30,TODAY()&lt;$C16)</formula>
    </cfRule>
  </conditionalFormatting>
  <conditionalFormatting sqref="C16">
    <cfRule type="cellIs" dxfId="186" priority="27" stopIfTrue="1" operator="lessThan">
      <formula>$B$2</formula>
    </cfRule>
  </conditionalFormatting>
  <conditionalFormatting sqref="B16">
    <cfRule type="cellIs" dxfId="185" priority="25" stopIfTrue="1" operator="equal">
      <formula>"已过期"</formula>
    </cfRule>
  </conditionalFormatting>
  <conditionalFormatting sqref="C14:C15">
    <cfRule type="expression" dxfId="184" priority="23">
      <formula>AND($C14-TODAY()&lt;30,TODAY()&lt;$C14)</formula>
    </cfRule>
  </conditionalFormatting>
  <conditionalFormatting sqref="C14:C15">
    <cfRule type="cellIs" dxfId="183" priority="24" stopIfTrue="1" operator="lessThan">
      <formula>$B$2</formula>
    </cfRule>
  </conditionalFormatting>
  <conditionalFormatting sqref="C14">
    <cfRule type="expression" dxfId="182" priority="21">
      <formula>AND($C14-TODAY()&lt;30,TODAY()&lt;$C14)</formula>
    </cfRule>
  </conditionalFormatting>
  <conditionalFormatting sqref="C14">
    <cfRule type="cellIs" dxfId="181" priority="22" stopIfTrue="1" operator="lessThan">
      <formula>$B$2</formula>
    </cfRule>
  </conditionalFormatting>
  <conditionalFormatting sqref="C15">
    <cfRule type="expression" dxfId="180" priority="19">
      <formula>AND($C15-TODAY()&lt;30,TODAY()&lt;$C15)</formula>
    </cfRule>
  </conditionalFormatting>
  <conditionalFormatting sqref="C15">
    <cfRule type="cellIs" dxfId="179" priority="20" stopIfTrue="1" operator="lessThan">
      <formula>$B$2</formula>
    </cfRule>
  </conditionalFormatting>
  <conditionalFormatting sqref="B14">
    <cfRule type="cellIs" dxfId="178" priority="18" stopIfTrue="1" operator="equal">
      <formula>"已过期"</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F16">
    <cfRule type="cellIs" dxfId="174" priority="14" stopIfTrue="1" operator="lessThan">
      <formula>$B$2</formula>
    </cfRule>
  </conditionalFormatting>
  <conditionalFormatting sqref="E16 E14">
    <cfRule type="cellIs" dxfId="173" priority="13" stopIfTrue="1" operator="equal">
      <formula>"已过期"</formula>
    </cfRule>
  </conditionalFormatting>
  <conditionalFormatting sqref="E15">
    <cfRule type="cellIs" dxfId="172" priority="12" stopIfTrue="1" operator="equal">
      <formula>"已过期"</formula>
    </cfRule>
  </conditionalFormatting>
  <conditionalFormatting sqref="D15">
    <cfRule type="cellIs" dxfId="171" priority="11" stopIfTrue="1" operator="equal">
      <formula>"已过期"</formula>
    </cfRule>
  </conditionalFormatting>
  <conditionalFormatting sqref="F17">
    <cfRule type="cellIs" dxfId="170" priority="10" stopIfTrue="1" operator="lessThan">
      <formula>$B$2</formula>
    </cfRule>
  </conditionalFormatting>
  <conditionalFormatting sqref="E17">
    <cfRule type="cellIs" dxfId="169" priority="9" stopIfTrue="1" operator="equal">
      <formula>"已过期"</formula>
    </cfRule>
  </conditionalFormatting>
  <conditionalFormatting sqref="F14">
    <cfRule type="cellIs" dxfId="168" priority="8" stopIfTrue="1" operator="lessThan">
      <formula>$B$2</formula>
    </cfRule>
  </conditionalFormatting>
  <conditionalFormatting sqref="C18">
    <cfRule type="expression" dxfId="167" priority="6">
      <formula>AND($C18-TODAY()&lt;30,TODAY()&lt;$C18)</formula>
    </cfRule>
  </conditionalFormatting>
  <conditionalFormatting sqref="C18">
    <cfRule type="cellIs" dxfId="166" priority="7" stopIfTrue="1" operator="lessThan">
      <formula>$B$2</formula>
    </cfRule>
  </conditionalFormatting>
  <conditionalFormatting sqref="C18">
    <cfRule type="expression" dxfId="165" priority="4">
      <formula>AND($C18-TODAY()&lt;30,TODAY()&lt;$C18)</formula>
    </cfRule>
  </conditionalFormatting>
  <conditionalFormatting sqref="C18">
    <cfRule type="cellIs" dxfId="164" priority="5" stopIfTrue="1" operator="lessThan">
      <formula>$B$2</formula>
    </cfRule>
  </conditionalFormatting>
  <conditionalFormatting sqref="B18">
    <cfRule type="cellIs" dxfId="163" priority="3" stopIfTrue="1" operator="equal">
      <formula>"已过期"</formula>
    </cfRule>
  </conditionalFormatting>
  <conditionalFormatting sqref="C28">
    <cfRule type="expression" dxfId="162" priority="1">
      <formula>AND($C28-TODAY()&lt;30,TODAY()&lt;$C28)</formula>
    </cfRule>
  </conditionalFormatting>
  <conditionalFormatting sqref="C28">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140</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规证</vt:lpstr>
      <vt:lpstr>合院测绘</vt:lpstr>
      <vt:lpstr>合院清单</vt:lpstr>
      <vt:lpstr>洋房测绘</vt:lpstr>
      <vt:lpstr>洋房清单</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收益法（自持住宅）</vt:lpstr>
      <vt:lpstr>收益法（商业）</vt:lpstr>
      <vt:lpstr>收益法 (元)</vt:lpstr>
      <vt:lpstr>比较法-车位</vt:lpstr>
      <vt:lpstr>收益法（车库）</vt:lpstr>
      <vt:lpstr>车库案例</vt:lpstr>
      <vt:lpstr>收益法（仓储）</vt:lpstr>
      <vt:lpstr>收益法（汇总）</vt:lpstr>
      <vt:lpstr>酒店收入计算</vt:lpstr>
      <vt:lpstr>比较法-住宅</vt:lpstr>
      <vt:lpstr>比较法-商业</vt:lpstr>
      <vt:lpstr>比较法-办公</vt:lpstr>
      <vt:lpstr>比较法-工业</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'比较法-车位'!Print_Area</vt:lpstr>
      <vt:lpstr>估价对象房地状况!Print_Area</vt:lpstr>
      <vt:lpstr>估价师及机构信息!Print_Area</vt:lpstr>
      <vt:lpstr>'收益法 (元)'!Print_Area</vt:lpstr>
      <vt:lpstr>'收益法（仓储）'!Print_Area</vt:lpstr>
      <vt:lpstr>'收益法（车库）'!Print_Area</vt:lpstr>
      <vt:lpstr>'收益法（商业）'!Print_Area</vt:lpstr>
      <vt:lpstr>'收益法（自持住宅）'!Print_Area</vt:lpstr>
      <vt:lpstr>'数据-汇总表'!Print_Area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2020-03-10T03:00:21Z</dcterms:modified>
</cp:coreProperties>
</file>