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7"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商业）" sheetId="9" r:id="rId18"/>
    <sheet name="成本法" sheetId="68" state="hidden" r:id="rId19"/>
    <sheet name="成本法 (元)" sheetId="69" state="hidden" r:id="rId20"/>
    <sheet name="假设开发法" sheetId="12" state="hidden" r:id="rId21"/>
    <sheet name="结果表（办公）" sheetId="79" r:id="rId22"/>
    <sheet name="收益法（1层商业）" sheetId="15" r:id="rId23"/>
    <sheet name="收益法 (元)" sheetId="67" state="hidden" r:id="rId24"/>
    <sheet name="收益法（办公）" sheetId="78" r:id="rId25"/>
    <sheet name="收益法（汇总）" sheetId="70" state="hidden" r:id="rId26"/>
    <sheet name="酒店收入计算" sheetId="66" state="hidden" r:id="rId27"/>
    <sheet name="比较法-住宅" sheetId="21" state="hidden" r:id="rId28"/>
    <sheet name="比较法-商业" sheetId="33" r:id="rId29"/>
    <sheet name="比较法-商业 （租金）" sheetId="80" r:id="rId30"/>
    <sheet name="比较法-办公" sheetId="34"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地价" sheetId="71" state="hidden" r:id="rId40"/>
    <sheet name="比较法-办公 (租金)" sheetId="82"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面积明细及结果汇总" sheetId="76" r:id="rId48"/>
    <sheet name="案例" sheetId="77" r:id="rId49"/>
  </sheets>
  <externalReferences>
    <externalReference r:id="rId50"/>
  </externalReferences>
  <definedNames>
    <definedName name="_xlnm._FilterDatabase" localSheetId="30" hidden="1">'比较法-办公'!$A$1:$L$50</definedName>
    <definedName name="_xlnm._FilterDatabase" localSheetId="40" hidden="1">'比较法-办公 (租金)'!$A$1:$L$50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'比较法-商业'!$A$1:$L$49</definedName>
    <definedName name="_xlnm._FilterDatabase" localSheetId="29" hidden="1">'比较法-商业 （租金）'!$A$1:$L$49</definedName>
    <definedName name="_xlnm._FilterDatabase" localSheetId="27" hidden="1">'比较法-住宅'!$A$1:$L$49</definedName>
    <definedName name="_xlnm._FilterDatabase" localSheetId="47" hidden="1">面积明细及结果汇总!$B$1:$P$366</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估价师及机构信息!$A$1:$F$24</definedName>
    <definedName name="_xlnm.Print_Area" localSheetId="23">'收益法 (元)'!$A$1:$AK$69</definedName>
    <definedName name="_xlnm.Print_Area" localSheetId="22">'收益法（1层商业）'!$A$1:$AK$69</definedName>
    <definedName name="_xlnm.Print_Area" localSheetId="24">'收益法（办公）'!$A$1:$AK$69</definedName>
    <definedName name="_xlnm.Print_Area" localSheetId="13">'数据-汇总表'!$A$1:$P$32</definedName>
    <definedName name="_xlnm.Print_Area" localSheetId="5">'预评函-4'!$A$1:$D$31</definedName>
    <definedName name="八级">区片价!$O$1:$O$40</definedName>
    <definedName name="办公层高" localSheetId="40">'比较法-办公 (租金)'!$B$119:$M$119</definedName>
    <definedName name="办公层高" localSheetId="5">'[1]比较法-办公'!$B$115:$M$115</definedName>
    <definedName name="办公层高">'比较法-办公'!$B$119:$M$119</definedName>
    <definedName name="办公朝向" localSheetId="40">'比较法-办公 (租金)'!$B$91:$M$91</definedName>
    <definedName name="办公朝向" localSheetId="5">'[1]比较法-办公'!$B$87:$M$87</definedName>
    <definedName name="办公朝向">'比较法-办公'!$B$91:$M$91</definedName>
    <definedName name="办公道路级别" localSheetId="40">'比较法-办公 (租金)'!$B$87:$M$87</definedName>
    <definedName name="办公道路级别" localSheetId="5">'[1]比较法-办公'!$B$83:$M$83</definedName>
    <definedName name="办公道路级别">'比较法-办公'!$B$87:$M$87</definedName>
    <definedName name="办公公共部分装修" localSheetId="40">'比较法-办公 (租金)'!$B$108:$M$108</definedName>
    <definedName name="办公公共部分装修" localSheetId="5">'[1]比较法-办公'!$B$104:$M$104</definedName>
    <definedName name="办公公共部分装修">'比较法-办公'!$B$108:$M$108</definedName>
    <definedName name="办公基础设施水平" localSheetId="40">'比较法-办公 (租金)'!$B$117:$M$117</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40">'比较法-办公 (租金)'!$B$106:$M$106</definedName>
    <definedName name="办公建筑结构" localSheetId="5">'[1]比较法-办公'!$B$102:$M$102</definedName>
    <definedName name="办公建筑结构">'比较法-办公'!$B$106:$M$106</definedName>
    <definedName name="办公建筑类型" localSheetId="40">'比较法-办公 (租金)'!$B$101:$M$101</definedName>
    <definedName name="办公建筑类型" localSheetId="5">'[1]比较法-办公'!$B$97:$M$97</definedName>
    <definedName name="办公建筑类型">'比较法-办公'!$B$101:$M$101</definedName>
    <definedName name="办公交易情况" localSheetId="40">'比较法-办公 (租金)'!$A$62:$M$62</definedName>
    <definedName name="办公交易情况" localSheetId="5">'[1]比较法-办公'!$A$60:$M$60</definedName>
    <definedName name="办公交易情况">'比较法-办公'!$A$62:$M$62</definedName>
    <definedName name="办公楼层" localSheetId="40">'比较法-办公 (租金)'!$B$89:$M$89</definedName>
    <definedName name="办公楼层" localSheetId="5">'[1]比较法-办公'!$B$85:$M$85</definedName>
    <definedName name="办公楼层">'比较法-办公'!$B$89:$M$89</definedName>
    <definedName name="办公内部装修" localSheetId="40">'比较法-办公 (租金)'!$B$123:$M$123</definedName>
    <definedName name="办公内部装修" localSheetId="5">'[1]比较法-办公'!$B$119:$M$119</definedName>
    <definedName name="办公内部装修">'比较法-办公'!$B$123:$M$123</definedName>
    <definedName name="办公物业管理" localSheetId="40">'比较法-办公 (租金)'!$B$115:$M$115</definedName>
    <definedName name="办公物业管理" localSheetId="5">'[1]比较法-办公'!$B$111:$M$111</definedName>
    <definedName name="办公物业管理">'比较法-办公'!$B$115:$M$115</definedName>
    <definedName name="办公用途" localSheetId="40">'比较法-办公 (租金)'!$B$64:$M$64</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29">'比较法-商业 （租金）'!$B$116:$M$116</definedName>
    <definedName name="商业层高" localSheetId="5">'[1]比较法-商业'!$B$112:$M$112</definedName>
    <definedName name="商业层高">'比较法-商业'!$B$116:$M$116</definedName>
    <definedName name="商业成新度" localSheetId="29">'比较法-商业 （租金）'!$B$109:$M$109</definedName>
    <definedName name="商业成新度">'比较法-商业'!$B$109:$M$109</definedName>
    <definedName name="商业繁华度" localSheetId="5">[1]定义!$L$1:$L$6</definedName>
    <definedName name="商业繁华度">定义!$L$1:$L$6</definedName>
    <definedName name="商业公共部分装修" localSheetId="29">'比较法-商业 （租金）'!$B$107:$M$107</definedName>
    <definedName name="商业公共部分装修" localSheetId="5">'[1]比较法-商业'!$B$103:$M$103</definedName>
    <definedName name="商业公共部分装修">'比较法-商业'!$B$107:$M$107</definedName>
    <definedName name="商业基础设施水平" localSheetId="29">'比较法-商业 （租金）'!$B$112:$M$112</definedName>
    <definedName name="商业基础设施水平" localSheetId="5">'[1]比较法-商业'!$B$108:$M$108</definedName>
    <definedName name="商业基础设施水平">'比较法-商业'!$B$112:$M$112</definedName>
    <definedName name="商业建筑结构" localSheetId="29">'比较法-商业 （租金）'!$B$105:$M$105</definedName>
    <definedName name="商业建筑结构" localSheetId="5">'[1]比较法-商业'!$B$101:$M$101</definedName>
    <definedName name="商业建筑结构">'比较法-商业'!$B$105:$M$105</definedName>
    <definedName name="商业交易情况" localSheetId="29">'比较法-商业 （租金）'!$A$61:$M$61</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29">'比较法-商业 （租金）'!$B$120:$M$120</definedName>
    <definedName name="商业进深比" localSheetId="5">'[1]比较法-商业'!$B$116:$M$116</definedName>
    <definedName name="商业进深比">'比较法-商业'!$B$120:$M$120</definedName>
    <definedName name="商业类型" localSheetId="29">'比较法-商业 （租金）'!$B$100:$M$100</definedName>
    <definedName name="商业类型" localSheetId="5">'[1]比较法-商业'!$B$96:$M$96</definedName>
    <definedName name="商业类型">'比较法-商业'!$B$100:$M$100</definedName>
    <definedName name="商业临街状况" localSheetId="29">'比较法-商业 （租金）'!$B$86:$M$86</definedName>
    <definedName name="商业临街状况" localSheetId="5">'[1]比较法-商业'!$B$82:$M$82</definedName>
    <definedName name="商业临街状况">'比较法-商业'!$B$86:$M$86</definedName>
    <definedName name="商业楼层" localSheetId="29">'比较法-商业 （租金）'!$B$92:$M$92</definedName>
    <definedName name="商业楼层" localSheetId="5">'[1]比较法-商业'!$B$88:$M$88</definedName>
    <definedName name="商业楼层">'比较法-商业'!$B$92:$M$92</definedName>
    <definedName name="商业内部装修" localSheetId="29">'比较法-商业 （租金）'!$B$122:$M$122</definedName>
    <definedName name="商业内部装修" localSheetId="5">'[1]比较法-商业'!$B$118:$M$118</definedName>
    <definedName name="商业内部装修">'比较法-商业'!$B$122:$M$122</definedName>
    <definedName name="商业人流量" localSheetId="29">'比较法-商业 （租金）'!$B$90:$M$90</definedName>
    <definedName name="商业人流量" localSheetId="5">'[1]比较法-商业'!$B$86:$M$86</definedName>
    <definedName name="商业人流量">'比较法-商业'!$B$90:$M$90</definedName>
    <definedName name="商业业态" localSheetId="29">'比较法-商业 （租金）'!$B$114:$M$114</definedName>
    <definedName name="商业业态" localSheetId="5">'[1]比较法-商业'!$B$110:$M$110</definedName>
    <definedName name="商业业态">'比较法-商业'!$B$114:$M$114</definedName>
    <definedName name="商业用途" localSheetId="29">'比较法-商业 （租金）'!$B$63:$M$63</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40">'比较法-办公 (租金)'!$B$113:$M$113</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L26" i="76" l="1"/>
  <c r="M26" i="76"/>
  <c r="K26" i="76"/>
  <c r="J26" i="76"/>
  <c r="K25" i="76"/>
  <c r="K24" i="76"/>
  <c r="K23" i="76"/>
  <c r="J25" i="76"/>
  <c r="J24" i="76"/>
  <c r="J23" i="76"/>
  <c r="M25" i="76"/>
  <c r="L25" i="76"/>
  <c r="M24" i="76"/>
  <c r="L24" i="76"/>
  <c r="M23" i="76"/>
  <c r="L23" i="76"/>
  <c r="G37" i="82"/>
  <c r="H37" i="82" s="1"/>
  <c r="E37" i="82"/>
  <c r="B131" i="82"/>
  <c r="H47" i="82" s="1"/>
  <c r="AB47" i="82" s="1"/>
  <c r="B129" i="82"/>
  <c r="B127" i="82"/>
  <c r="J45" i="82" s="1"/>
  <c r="AC45" i="82" s="1"/>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E109" i="82"/>
  <c r="F109" i="82" s="1"/>
  <c r="G109" i="82" s="1"/>
  <c r="H109" i="82" s="1"/>
  <c r="I109" i="82" s="1"/>
  <c r="J109" i="82" s="1"/>
  <c r="K109" i="82" s="1"/>
  <c r="L109" i="82" s="1"/>
  <c r="M109" i="82" s="1"/>
  <c r="D109" i="82"/>
  <c r="E107" i="82"/>
  <c r="F107" i="82" s="1"/>
  <c r="G107" i="82" s="1"/>
  <c r="H107" i="82" s="1"/>
  <c r="I107" i="82" s="1"/>
  <c r="J107" i="82" s="1"/>
  <c r="K107" i="82" s="1"/>
  <c r="L107" i="82" s="1"/>
  <c r="M107" i="82" s="1"/>
  <c r="D107" i="82"/>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B95" i="82"/>
  <c r="B93" i="82"/>
  <c r="F92" i="82"/>
  <c r="G92" i="82" s="1"/>
  <c r="H92" i="82" s="1"/>
  <c r="I92" i="82" s="1"/>
  <c r="J92" i="82" s="1"/>
  <c r="K92" i="82" s="1"/>
  <c r="L92" i="82" s="1"/>
  <c r="M92" i="82" s="1"/>
  <c r="D92" i="82"/>
  <c r="E92" i="82" s="1"/>
  <c r="B91" i="82"/>
  <c r="G90" i="82"/>
  <c r="H90" i="82" s="1"/>
  <c r="I90" i="82" s="1"/>
  <c r="J90" i="82" s="1"/>
  <c r="K90" i="82" s="1"/>
  <c r="L90" i="82" s="1"/>
  <c r="M90" i="82" s="1"/>
  <c r="E90" i="82"/>
  <c r="F90" i="82" s="1"/>
  <c r="D90" i="82"/>
  <c r="B89" i="82"/>
  <c r="D88" i="82"/>
  <c r="E88" i="82" s="1"/>
  <c r="F88" i="82" s="1"/>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B73" i="82"/>
  <c r="B71" i="82"/>
  <c r="D70" i="82"/>
  <c r="E70" i="82" s="1"/>
  <c r="F70" i="82" s="1"/>
  <c r="M68" i="82"/>
  <c r="L68" i="82"/>
  <c r="K68" i="82"/>
  <c r="J68" i="82"/>
  <c r="I68" i="82"/>
  <c r="H68" i="82"/>
  <c r="G68" i="82"/>
  <c r="F68" i="82"/>
  <c r="E68" i="82"/>
  <c r="D68" i="82"/>
  <c r="C68" i="82"/>
  <c r="F67" i="82"/>
  <c r="G67" i="82" s="1"/>
  <c r="H67" i="82" s="1"/>
  <c r="I67" i="82" s="1"/>
  <c r="C64" i="82"/>
  <c r="I55" i="82"/>
  <c r="J55" i="82" s="1"/>
  <c r="G55" i="82"/>
  <c r="H55" i="82" s="1"/>
  <c r="E55" i="82"/>
  <c r="F55" i="82" s="1"/>
  <c r="P50" i="82"/>
  <c r="P49" i="82"/>
  <c r="V48" i="82"/>
  <c r="T48" i="82"/>
  <c r="R48" i="82"/>
  <c r="P48" i="82"/>
  <c r="Q47" i="82"/>
  <c r="Z47" i="82" s="1"/>
  <c r="J47" i="82"/>
  <c r="AC47" i="82" s="1"/>
  <c r="Q46" i="82"/>
  <c r="Z46" i="82" s="1"/>
  <c r="J46" i="82"/>
  <c r="AC46" i="82" s="1"/>
  <c r="H46" i="82"/>
  <c r="AB46" i="82" s="1"/>
  <c r="F46" i="82"/>
  <c r="AA46" i="82" s="1"/>
  <c r="Q45" i="82"/>
  <c r="Z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I37" i="82"/>
  <c r="J37" i="82" s="1"/>
  <c r="F37" i="82"/>
  <c r="C37" i="82"/>
  <c r="Q36" i="82"/>
  <c r="Z36" i="82" s="1"/>
  <c r="J36" i="82"/>
  <c r="AC36" i="82" s="1"/>
  <c r="H36" i="82"/>
  <c r="AB36" i="82" s="1"/>
  <c r="F36" i="82"/>
  <c r="AA36" i="82" s="1"/>
  <c r="Q35" i="82"/>
  <c r="Z35" i="82" s="1"/>
  <c r="J35" i="82"/>
  <c r="AC35" i="82" s="1"/>
  <c r="H35" i="82"/>
  <c r="AB35" i="82" s="1"/>
  <c r="F35" i="82"/>
  <c r="AA35" i="82" s="1"/>
  <c r="Q34" i="82"/>
  <c r="Z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W29" i="82"/>
  <c r="Q29" i="82"/>
  <c r="Z29" i="82" s="1"/>
  <c r="J29" i="82"/>
  <c r="AC29" i="82" s="1"/>
  <c r="H29" i="82"/>
  <c r="AB29" i="82" s="1"/>
  <c r="F29" i="82"/>
  <c r="AA29" i="82" s="1"/>
  <c r="AB28" i="82"/>
  <c r="U28" i="82"/>
  <c r="Q28" i="82"/>
  <c r="Z28" i="82" s="1"/>
  <c r="J28" i="82"/>
  <c r="AC28" i="82" s="1"/>
  <c r="H28" i="82"/>
  <c r="F28" i="82"/>
  <c r="AA28" i="82" s="1"/>
  <c r="Q27" i="82"/>
  <c r="Z27" i="82" s="1"/>
  <c r="J27" i="82"/>
  <c r="AC27" i="82" s="1"/>
  <c r="H27" i="82"/>
  <c r="AB27" i="82" s="1"/>
  <c r="F27" i="82"/>
  <c r="AA27" i="82" s="1"/>
  <c r="Q25" i="82"/>
  <c r="Z25" i="82" s="1"/>
  <c r="H25" i="82"/>
  <c r="AB25" i="82" s="1"/>
  <c r="AC23" i="82"/>
  <c r="W23" i="82"/>
  <c r="Q23" i="82"/>
  <c r="Z23" i="82" s="1"/>
  <c r="J23" i="82"/>
  <c r="H23" i="82"/>
  <c r="AB23" i="82" s="1"/>
  <c r="F23" i="82"/>
  <c r="AA23" i="82" s="1"/>
  <c r="C23" i="82"/>
  <c r="Q21" i="82"/>
  <c r="Z21" i="82" s="1"/>
  <c r="J21" i="82"/>
  <c r="AC21" i="82" s="1"/>
  <c r="H21" i="82"/>
  <c r="AB21" i="82" s="1"/>
  <c r="F21" i="82"/>
  <c r="AA21" i="82" s="1"/>
  <c r="C21" i="82"/>
  <c r="AC19" i="82"/>
  <c r="W19" i="82"/>
  <c r="Q19" i="82"/>
  <c r="Z19" i="82" s="1"/>
  <c r="J19" i="82"/>
  <c r="H19" i="82"/>
  <c r="AB19" i="82" s="1"/>
  <c r="F19" i="82"/>
  <c r="AA19" i="82" s="1"/>
  <c r="C19" i="82"/>
  <c r="Q17" i="82"/>
  <c r="Z17" i="82" s="1"/>
  <c r="J17" i="82"/>
  <c r="AC17" i="82" s="1"/>
  <c r="H17" i="82"/>
  <c r="AB17" i="82" s="1"/>
  <c r="F17" i="82"/>
  <c r="AA17" i="82" s="1"/>
  <c r="C17" i="82"/>
  <c r="AC15" i="82"/>
  <c r="W15" i="82"/>
  <c r="Q15" i="82"/>
  <c r="Z15" i="82" s="1"/>
  <c r="J15" i="82"/>
  <c r="H15" i="82"/>
  <c r="AB15" i="82" s="1"/>
  <c r="F15" i="82"/>
  <c r="AA15" i="82" s="1"/>
  <c r="C15" i="82"/>
  <c r="Q14" i="82"/>
  <c r="Z14" i="82" s="1"/>
  <c r="J14" i="82"/>
  <c r="AC14" i="82" s="1"/>
  <c r="H14" i="82"/>
  <c r="AB14" i="82" s="1"/>
  <c r="F14" i="82"/>
  <c r="AA14" i="82" s="1"/>
  <c r="Q13" i="82"/>
  <c r="Z13" i="82" s="1"/>
  <c r="J13" i="82"/>
  <c r="AC13" i="82" s="1"/>
  <c r="H13" i="82"/>
  <c r="AB13" i="82" s="1"/>
  <c r="F13" i="82"/>
  <c r="AA13" i="82" s="1"/>
  <c r="AC12" i="82"/>
  <c r="W12" i="82"/>
  <c r="Q12" i="82"/>
  <c r="Z12" i="82" s="1"/>
  <c r="J12" i="82"/>
  <c r="H12" i="82"/>
  <c r="AB12" i="82" s="1"/>
  <c r="F12" i="82"/>
  <c r="AA12" i="82" s="1"/>
  <c r="Q11" i="82"/>
  <c r="Z11" i="82" s="1"/>
  <c r="Q10" i="82"/>
  <c r="Z10" i="82" s="1"/>
  <c r="J10" i="82"/>
  <c r="AC10" i="82" s="1"/>
  <c r="H10" i="82"/>
  <c r="AB10" i="82" s="1"/>
  <c r="F10" i="82"/>
  <c r="AA10" i="82" s="1"/>
  <c r="Q9" i="82"/>
  <c r="Z9" i="82" s="1"/>
  <c r="J9" i="82"/>
  <c r="AC9" i="82" s="1"/>
  <c r="H9" i="82"/>
  <c r="AB9" i="82" s="1"/>
  <c r="F9" i="82"/>
  <c r="AA9" i="82" s="1"/>
  <c r="W8" i="82"/>
  <c r="S8" i="82"/>
  <c r="J8" i="82"/>
  <c r="AC8" i="82" s="1"/>
  <c r="H8" i="82"/>
  <c r="U8" i="82" s="1"/>
  <c r="F8" i="82"/>
  <c r="AA8" i="82" s="1"/>
  <c r="J7" i="82"/>
  <c r="W7" i="82" s="1"/>
  <c r="F7" i="82"/>
  <c r="S7" i="82" s="1"/>
  <c r="C7" i="82"/>
  <c r="C59" i="82" s="1"/>
  <c r="D59" i="82" s="1"/>
  <c r="E59" i="82" s="1"/>
  <c r="F59" i="82" s="1"/>
  <c r="G59" i="82" s="1"/>
  <c r="H59" i="82" s="1"/>
  <c r="I59" i="82" s="1"/>
  <c r="J59" i="82" s="1"/>
  <c r="K59" i="82" s="1"/>
  <c r="L59" i="82" s="1"/>
  <c r="M59" i="82" s="1"/>
  <c r="N59" i="82" s="1"/>
  <c r="O59" i="82" s="1"/>
  <c r="I47" i="80"/>
  <c r="E47" i="80"/>
  <c r="G47" i="80"/>
  <c r="Y7" i="1"/>
  <c r="Y8" i="1"/>
  <c r="Y6" i="1"/>
  <c r="D2" i="82"/>
  <c r="G70" i="82" l="1"/>
  <c r="F11" i="82"/>
  <c r="AA11" i="82" s="1"/>
  <c r="H45" i="82"/>
  <c r="AB45" i="82" s="1"/>
  <c r="F47" i="82"/>
  <c r="AA47" i="82" s="1"/>
  <c r="F45" i="82"/>
  <c r="AA45" i="82" s="1"/>
  <c r="AA7" i="82"/>
  <c r="AC7" i="82"/>
  <c r="AB8" i="82"/>
  <c r="S9" i="82"/>
  <c r="W9" i="82"/>
  <c r="U10" i="82"/>
  <c r="S11" i="82"/>
  <c r="S14" i="82"/>
  <c r="S17" i="82"/>
  <c r="S21" i="82"/>
  <c r="S27" i="82"/>
  <c r="AB37" i="82"/>
  <c r="U37" i="82"/>
  <c r="H7" i="82"/>
  <c r="U9" i="82"/>
  <c r="S10" i="82"/>
  <c r="W10" i="82"/>
  <c r="H11" i="82"/>
  <c r="S12" i="82"/>
  <c r="U13" i="82"/>
  <c r="W14" i="82"/>
  <c r="S15" i="82"/>
  <c r="W17" i="82"/>
  <c r="S19" i="82"/>
  <c r="W21" i="82"/>
  <c r="S23" i="82"/>
  <c r="U25" i="82"/>
  <c r="W27" i="82"/>
  <c r="S29" i="82"/>
  <c r="AA37" i="82"/>
  <c r="S37" i="82"/>
  <c r="AC37" i="82"/>
  <c r="W37" i="82"/>
  <c r="G88" i="82"/>
  <c r="H88" i="82" s="1"/>
  <c r="I88" i="82" s="1"/>
  <c r="J88" i="82" s="1"/>
  <c r="K88" i="82" s="1"/>
  <c r="L88" i="82" s="1"/>
  <c r="M88" i="82" s="1"/>
  <c r="J25" i="82"/>
  <c r="F25" i="82"/>
  <c r="U12" i="82"/>
  <c r="S13" i="82"/>
  <c r="W13" i="82"/>
  <c r="U14" i="82"/>
  <c r="U15" i="82"/>
  <c r="U17" i="82"/>
  <c r="U19" i="82"/>
  <c r="U21" i="82"/>
  <c r="U23" i="82"/>
  <c r="U27" i="82"/>
  <c r="S28" i="82"/>
  <c r="W28" i="82"/>
  <c r="U29" i="82"/>
  <c r="S30" i="82"/>
  <c r="W30" i="82"/>
  <c r="U31" i="82"/>
  <c r="S32" i="82"/>
  <c r="W32" i="82"/>
  <c r="U33" i="82"/>
  <c r="S35" i="82"/>
  <c r="W35" i="82"/>
  <c r="U36" i="82"/>
  <c r="U38" i="82"/>
  <c r="S39" i="82"/>
  <c r="W39" i="82"/>
  <c r="U40" i="82"/>
  <c r="S41" i="82"/>
  <c r="W41" i="82"/>
  <c r="U42" i="82"/>
  <c r="S43" i="82"/>
  <c r="W43" i="82"/>
  <c r="U44" i="82"/>
  <c r="S45" i="82"/>
  <c r="W45" i="82"/>
  <c r="U46" i="82"/>
  <c r="S47" i="82"/>
  <c r="W47" i="82"/>
  <c r="U30" i="82"/>
  <c r="S31" i="82"/>
  <c r="W31" i="82"/>
  <c r="U32" i="82"/>
  <c r="S33" i="82"/>
  <c r="W33" i="82"/>
  <c r="U35" i="82"/>
  <c r="S36" i="82"/>
  <c r="W36" i="82"/>
  <c r="S38" i="82"/>
  <c r="W38" i="82"/>
  <c r="U39" i="82"/>
  <c r="S40" i="82"/>
  <c r="W40" i="82"/>
  <c r="U41" i="82"/>
  <c r="S42" i="82"/>
  <c r="W42" i="82"/>
  <c r="U43" i="82"/>
  <c r="S44" i="82"/>
  <c r="W44" i="82"/>
  <c r="S46" i="82"/>
  <c r="W46" i="82"/>
  <c r="U47" i="82"/>
  <c r="H70" i="82" l="1"/>
  <c r="I70" i="82" s="1"/>
  <c r="J70" i="82" s="1"/>
  <c r="K70" i="82" s="1"/>
  <c r="L70" i="82" s="1"/>
  <c r="M70" i="82" s="1"/>
  <c r="J11" i="82"/>
  <c r="U45" i="82"/>
  <c r="AC25" i="82"/>
  <c r="W25" i="82"/>
  <c r="AB11" i="82"/>
  <c r="U11" i="82"/>
  <c r="AA25" i="82"/>
  <c r="S25" i="82"/>
  <c r="AB7" i="82"/>
  <c r="U7" i="82"/>
  <c r="AC11" i="82" l="1"/>
  <c r="W11" i="82"/>
  <c r="J13" i="76" l="1"/>
  <c r="I36" i="80" l="1"/>
  <c r="B130" i="80" l="1"/>
  <c r="H46" i="80" s="1"/>
  <c r="B128" i="80"/>
  <c r="B126" i="80"/>
  <c r="H44" i="80" s="1"/>
  <c r="D125" i="80"/>
  <c r="E125" i="80" s="1"/>
  <c r="F125" i="80" s="1"/>
  <c r="G125" i="80" s="1"/>
  <c r="F123" i="80"/>
  <c r="G123" i="80" s="1"/>
  <c r="H123" i="80" s="1"/>
  <c r="I123" i="80" s="1"/>
  <c r="J123" i="80" s="1"/>
  <c r="K123" i="80" s="1"/>
  <c r="L123" i="80" s="1"/>
  <c r="M123" i="80" s="1"/>
  <c r="D123" i="80"/>
  <c r="E123" i="80" s="1"/>
  <c r="D121" i="80"/>
  <c r="E121" i="80" s="1"/>
  <c r="F121" i="80" s="1"/>
  <c r="G121" i="80" s="1"/>
  <c r="H121" i="80" s="1"/>
  <c r="I121" i="80" s="1"/>
  <c r="J121" i="80" s="1"/>
  <c r="K121" i="80" s="1"/>
  <c r="L121" i="80" s="1"/>
  <c r="M121" i="80" s="1"/>
  <c r="D117" i="80"/>
  <c r="E117" i="80" s="1"/>
  <c r="F117" i="80" s="1"/>
  <c r="G117" i="80" s="1"/>
  <c r="F115" i="80"/>
  <c r="G115" i="80" s="1"/>
  <c r="H115" i="80" s="1"/>
  <c r="I115" i="80" s="1"/>
  <c r="J115" i="80" s="1"/>
  <c r="K115" i="80" s="1"/>
  <c r="L115" i="80" s="1"/>
  <c r="M115" i="80" s="1"/>
  <c r="D115" i="80"/>
  <c r="E115" i="80" s="1"/>
  <c r="D113" i="80"/>
  <c r="E113" i="80" s="1"/>
  <c r="F113" i="80" s="1"/>
  <c r="G113" i="80" s="1"/>
  <c r="H113" i="80" s="1"/>
  <c r="I113" i="80" s="1"/>
  <c r="J113" i="80" s="1"/>
  <c r="K113" i="80" s="1"/>
  <c r="L113" i="80" s="1"/>
  <c r="M113" i="80" s="1"/>
  <c r="F111" i="80"/>
  <c r="G111" i="80" s="1"/>
  <c r="H111" i="80" s="1"/>
  <c r="I111" i="80" s="1"/>
  <c r="J111" i="80" s="1"/>
  <c r="K111" i="80" s="1"/>
  <c r="L111" i="80" s="1"/>
  <c r="M111" i="80" s="1"/>
  <c r="D111" i="80"/>
  <c r="E111" i="80" s="1"/>
  <c r="G109" i="80"/>
  <c r="F109" i="80"/>
  <c r="E109" i="80"/>
  <c r="D109" i="80"/>
  <c r="C109" i="80"/>
  <c r="G108" i="80"/>
  <c r="H108" i="80" s="1"/>
  <c r="I108" i="80" s="1"/>
  <c r="J108" i="80" s="1"/>
  <c r="K108" i="80" s="1"/>
  <c r="L108" i="80" s="1"/>
  <c r="M108" i="80" s="1"/>
  <c r="E108" i="80"/>
  <c r="F108" i="80" s="1"/>
  <c r="D108" i="80"/>
  <c r="G106" i="80"/>
  <c r="H106" i="80" s="1"/>
  <c r="I106" i="80" s="1"/>
  <c r="J106" i="80" s="1"/>
  <c r="K106" i="80" s="1"/>
  <c r="L106" i="80" s="1"/>
  <c r="M106" i="80" s="1"/>
  <c r="E106" i="80"/>
  <c r="F106" i="80" s="1"/>
  <c r="D106" i="80"/>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F91" i="80"/>
  <c r="G91" i="80" s="1"/>
  <c r="H91" i="80" s="1"/>
  <c r="I91" i="80" s="1"/>
  <c r="J91" i="80" s="1"/>
  <c r="K91" i="80" s="1"/>
  <c r="L91" i="80" s="1"/>
  <c r="M91" i="80" s="1"/>
  <c r="D91" i="80"/>
  <c r="E91" i="80" s="1"/>
  <c r="B90" i="80"/>
  <c r="B88" i="80"/>
  <c r="D87" i="80"/>
  <c r="E87" i="80" s="1"/>
  <c r="F87" i="80" s="1"/>
  <c r="G87" i="80" s="1"/>
  <c r="H87" i="80" s="1"/>
  <c r="I87" i="80" s="1"/>
  <c r="J87" i="80" s="1"/>
  <c r="K87" i="80" s="1"/>
  <c r="L87" i="80" s="1"/>
  <c r="M87" i="80" s="1"/>
  <c r="D85" i="80"/>
  <c r="E85" i="80" s="1"/>
  <c r="F85" i="80" s="1"/>
  <c r="G85" i="80" s="1"/>
  <c r="D83" i="80"/>
  <c r="E83" i="80" s="1"/>
  <c r="F83" i="80" s="1"/>
  <c r="G83" i="80" s="1"/>
  <c r="D81" i="80"/>
  <c r="E81" i="80" s="1"/>
  <c r="F81" i="80" s="1"/>
  <c r="G81" i="80" s="1"/>
  <c r="D79" i="80"/>
  <c r="E79" i="80" s="1"/>
  <c r="F79" i="80" s="1"/>
  <c r="G79" i="80" s="1"/>
  <c r="D77" i="80"/>
  <c r="E77" i="80" s="1"/>
  <c r="F77" i="80" s="1"/>
  <c r="G77" i="80" s="1"/>
  <c r="B74" i="80"/>
  <c r="B72" i="80"/>
  <c r="B70" i="80"/>
  <c r="E69" i="80"/>
  <c r="F69" i="80" s="1"/>
  <c r="G69" i="80" s="1"/>
  <c r="H69" i="80" s="1"/>
  <c r="I69" i="80" s="1"/>
  <c r="J69" i="80" s="1"/>
  <c r="K69" i="80" s="1"/>
  <c r="L69" i="80" s="1"/>
  <c r="M69" i="80" s="1"/>
  <c r="D69" i="80"/>
  <c r="M67" i="80"/>
  <c r="L67" i="80"/>
  <c r="K67" i="80"/>
  <c r="J67" i="80"/>
  <c r="I67" i="80"/>
  <c r="H67" i="80"/>
  <c r="G67" i="80"/>
  <c r="F67" i="80"/>
  <c r="E67" i="80"/>
  <c r="D67" i="80"/>
  <c r="C67" i="80"/>
  <c r="H66" i="80"/>
  <c r="I66" i="80" s="1"/>
  <c r="G66" i="80"/>
  <c r="C63" i="80"/>
  <c r="I54" i="80"/>
  <c r="J54" i="80" s="1"/>
  <c r="G54" i="80"/>
  <c r="H54" i="80" s="1"/>
  <c r="E54" i="80"/>
  <c r="F54" i="80" s="1"/>
  <c r="P49" i="80"/>
  <c r="P48" i="80"/>
  <c r="V47" i="80"/>
  <c r="T47" i="80"/>
  <c r="R47" i="80"/>
  <c r="P47" i="80"/>
  <c r="Q46" i="80"/>
  <c r="Z46" i="80" s="1"/>
  <c r="Q45" i="80"/>
  <c r="Z45" i="80" s="1"/>
  <c r="J45" i="80"/>
  <c r="AC45" i="80" s="1"/>
  <c r="H45" i="80"/>
  <c r="AB45" i="80" s="1"/>
  <c r="F45" i="80"/>
  <c r="AA45" i="80" s="1"/>
  <c r="Q44" i="80"/>
  <c r="Z44" i="80" s="1"/>
  <c r="Q43" i="80"/>
  <c r="Z43" i="80" s="1"/>
  <c r="J43" i="80"/>
  <c r="AC43" i="80" s="1"/>
  <c r="H43" i="80"/>
  <c r="AB43" i="80" s="1"/>
  <c r="F43" i="80"/>
  <c r="AA43" i="80" s="1"/>
  <c r="Q42" i="80"/>
  <c r="Z42" i="80" s="1"/>
  <c r="J42" i="80"/>
  <c r="AC42" i="80" s="1"/>
  <c r="F42" i="80"/>
  <c r="AA42" i="80" s="1"/>
  <c r="Q41" i="80"/>
  <c r="Z41" i="80" s="1"/>
  <c r="H41" i="80"/>
  <c r="AB41" i="80" s="1"/>
  <c r="Q40" i="80"/>
  <c r="Z40" i="80" s="1"/>
  <c r="J40" i="80"/>
  <c r="AC40" i="80" s="1"/>
  <c r="H40" i="80"/>
  <c r="AB40" i="80" s="1"/>
  <c r="F40" i="80"/>
  <c r="AA40" i="80" s="1"/>
  <c r="Q39" i="80"/>
  <c r="Z39" i="80" s="1"/>
  <c r="H39" i="80"/>
  <c r="AB39" i="80" s="1"/>
  <c r="Q38" i="80"/>
  <c r="Z38" i="80" s="1"/>
  <c r="J38" i="80"/>
  <c r="AC38" i="80" s="1"/>
  <c r="H38" i="80"/>
  <c r="AB38" i="80" s="1"/>
  <c r="F38" i="80"/>
  <c r="AA38" i="80" s="1"/>
  <c r="Q37" i="80"/>
  <c r="Z37" i="80" s="1"/>
  <c r="H37" i="80"/>
  <c r="AB37" i="80" s="1"/>
  <c r="Q36" i="80"/>
  <c r="Z36" i="80" s="1"/>
  <c r="G36" i="80"/>
  <c r="E36" i="80"/>
  <c r="C36" i="80"/>
  <c r="J36" i="80" s="1"/>
  <c r="Q35" i="80"/>
  <c r="Z35" i="80" s="1"/>
  <c r="J35" i="80"/>
  <c r="AC35" i="80" s="1"/>
  <c r="H35" i="80"/>
  <c r="AB35" i="80" s="1"/>
  <c r="F35" i="80"/>
  <c r="AA35" i="80" s="1"/>
  <c r="Q34" i="80"/>
  <c r="Z34" i="80" s="1"/>
  <c r="J34" i="80"/>
  <c r="AC34" i="80" s="1"/>
  <c r="H34" i="80"/>
  <c r="AB34" i="80" s="1"/>
  <c r="F34" i="80"/>
  <c r="AA34" i="80" s="1"/>
  <c r="Q33" i="80"/>
  <c r="Z33" i="80" s="1"/>
  <c r="Q32" i="80"/>
  <c r="Z32" i="80" s="1"/>
  <c r="H32" i="80"/>
  <c r="AB32" i="80" s="1"/>
  <c r="F32" i="80"/>
  <c r="AA32" i="80" s="1"/>
  <c r="Q31" i="80"/>
  <c r="Z31" i="80" s="1"/>
  <c r="J31" i="80"/>
  <c r="AC31" i="80" s="1"/>
  <c r="H31" i="80"/>
  <c r="AB31" i="80" s="1"/>
  <c r="F31" i="80"/>
  <c r="AA31" i="80" s="1"/>
  <c r="Q30" i="80"/>
  <c r="Z30" i="80" s="1"/>
  <c r="J30" i="80"/>
  <c r="AC30" i="80" s="1"/>
  <c r="H30" i="80"/>
  <c r="AB30" i="80" s="1"/>
  <c r="F30" i="80"/>
  <c r="AA30" i="80" s="1"/>
  <c r="AC29" i="80"/>
  <c r="W29" i="80"/>
  <c r="Q29" i="80"/>
  <c r="Z29" i="80" s="1"/>
  <c r="J29" i="80"/>
  <c r="H29" i="80"/>
  <c r="AB29" i="80" s="1"/>
  <c r="F29" i="80"/>
  <c r="AA29" i="80" s="1"/>
  <c r="AB28" i="80"/>
  <c r="U28" i="80"/>
  <c r="Q28" i="80"/>
  <c r="Z28" i="80" s="1"/>
  <c r="J28" i="80"/>
  <c r="AC28" i="80" s="1"/>
  <c r="H28" i="80"/>
  <c r="F28" i="80"/>
  <c r="AA28" i="80" s="1"/>
  <c r="Q27" i="80"/>
  <c r="Z27" i="80" s="1"/>
  <c r="J27" i="80"/>
  <c r="AC27" i="80" s="1"/>
  <c r="H27" i="80"/>
  <c r="AB27" i="80" s="1"/>
  <c r="F27" i="80"/>
  <c r="AA27" i="80" s="1"/>
  <c r="Q26" i="80"/>
  <c r="Z26" i="80" s="1"/>
  <c r="J26" i="80"/>
  <c r="AC26" i="80" s="1"/>
  <c r="H26" i="80"/>
  <c r="AB26" i="80" s="1"/>
  <c r="F26" i="80"/>
  <c r="AA26" i="80" s="1"/>
  <c r="AC25" i="80"/>
  <c r="W25" i="80"/>
  <c r="Q25" i="80"/>
  <c r="Z25" i="80" s="1"/>
  <c r="J25" i="80"/>
  <c r="H25" i="80"/>
  <c r="AB25" i="80" s="1"/>
  <c r="F25" i="80"/>
  <c r="AA25" i="80" s="1"/>
  <c r="AB23" i="80"/>
  <c r="U23" i="80"/>
  <c r="Q23" i="80"/>
  <c r="Z23" i="80" s="1"/>
  <c r="J23" i="80"/>
  <c r="AC23" i="80" s="1"/>
  <c r="H23" i="80"/>
  <c r="F23" i="80"/>
  <c r="AA23" i="80" s="1"/>
  <c r="C23" i="80"/>
  <c r="AB21" i="80"/>
  <c r="U21" i="80"/>
  <c r="Q21" i="80"/>
  <c r="Z21" i="80" s="1"/>
  <c r="J21" i="80"/>
  <c r="AC21" i="80" s="1"/>
  <c r="H21" i="80"/>
  <c r="F21" i="80"/>
  <c r="AA21" i="80" s="1"/>
  <c r="C21" i="80"/>
  <c r="AB19" i="80"/>
  <c r="U19" i="80"/>
  <c r="Q19" i="80"/>
  <c r="Z19" i="80" s="1"/>
  <c r="J19" i="80"/>
  <c r="AC19" i="80" s="1"/>
  <c r="H19" i="80"/>
  <c r="F19" i="80"/>
  <c r="AA19" i="80" s="1"/>
  <c r="C19" i="80"/>
  <c r="AB17" i="80"/>
  <c r="U17" i="80"/>
  <c r="Q17" i="80"/>
  <c r="Z17" i="80" s="1"/>
  <c r="J17" i="80"/>
  <c r="AC17" i="80" s="1"/>
  <c r="H17" i="80"/>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C11" i="80"/>
  <c r="H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C7" i="80"/>
  <c r="C58" i="80" s="1"/>
  <c r="D58" i="80" s="1"/>
  <c r="E58" i="80" s="1"/>
  <c r="F58" i="80" s="1"/>
  <c r="G58" i="80" s="1"/>
  <c r="H58" i="80" s="1"/>
  <c r="I58" i="80" s="1"/>
  <c r="J58" i="80" s="1"/>
  <c r="K58" i="80" s="1"/>
  <c r="L58" i="80" s="1"/>
  <c r="M58" i="80" s="1"/>
  <c r="N58" i="80" s="1"/>
  <c r="O58" i="80" s="1"/>
  <c r="C6" i="80"/>
  <c r="D2" i="80"/>
  <c r="F44" i="80" l="1"/>
  <c r="AA44" i="80" s="1"/>
  <c r="F46" i="80"/>
  <c r="AA46" i="80" s="1"/>
  <c r="J44" i="80"/>
  <c r="AC44" i="80" s="1"/>
  <c r="J46" i="80"/>
  <c r="AC46" i="80" s="1"/>
  <c r="AB11" i="80"/>
  <c r="U11" i="80"/>
  <c r="H7" i="80"/>
  <c r="U8" i="80"/>
  <c r="AA8" i="80"/>
  <c r="AC8" i="80"/>
  <c r="U9" i="80"/>
  <c r="S10" i="80"/>
  <c r="W10" i="80"/>
  <c r="F11" i="80"/>
  <c r="J11" i="80"/>
  <c r="U12" i="80"/>
  <c r="S13" i="80"/>
  <c r="W13" i="80"/>
  <c r="U14" i="80"/>
  <c r="S25" i="80"/>
  <c r="U26" i="80"/>
  <c r="W27" i="80"/>
  <c r="S29" i="80"/>
  <c r="U30" i="80"/>
  <c r="F7" i="80"/>
  <c r="J7" i="80"/>
  <c r="S9" i="80"/>
  <c r="W9" i="80"/>
  <c r="U10" i="80"/>
  <c r="S12" i="80"/>
  <c r="W12" i="80"/>
  <c r="U13" i="80"/>
  <c r="S14" i="80"/>
  <c r="W14" i="80"/>
  <c r="U15" i="80"/>
  <c r="S27" i="80"/>
  <c r="AC36" i="80"/>
  <c r="W36" i="80"/>
  <c r="AB44" i="80"/>
  <c r="U44" i="80"/>
  <c r="AB46" i="80"/>
  <c r="U46" i="80"/>
  <c r="S15" i="80"/>
  <c r="W15" i="80"/>
  <c r="S17" i="80"/>
  <c r="W17" i="80"/>
  <c r="S19" i="80"/>
  <c r="W19" i="80"/>
  <c r="S21" i="80"/>
  <c r="W21" i="80"/>
  <c r="S23" i="80"/>
  <c r="W23" i="80"/>
  <c r="U25" i="80"/>
  <c r="S26" i="80"/>
  <c r="W26" i="80"/>
  <c r="U27" i="80"/>
  <c r="S28" i="80"/>
  <c r="W28" i="80"/>
  <c r="U29" i="80"/>
  <c r="S30" i="80"/>
  <c r="W30" i="80"/>
  <c r="U31" i="80"/>
  <c r="J32" i="80"/>
  <c r="S32" i="80"/>
  <c r="U34" i="80"/>
  <c r="S35" i="80"/>
  <c r="W35" i="80"/>
  <c r="F37" i="80"/>
  <c r="J37" i="80"/>
  <c r="U38" i="80"/>
  <c r="F39" i="80"/>
  <c r="J39" i="80"/>
  <c r="U40" i="80"/>
  <c r="F41" i="80"/>
  <c r="J41" i="80"/>
  <c r="H42" i="80"/>
  <c r="S43" i="80"/>
  <c r="W43" i="80"/>
  <c r="S45" i="80"/>
  <c r="W45" i="80"/>
  <c r="S31" i="80"/>
  <c r="W31" i="80"/>
  <c r="U32" i="80"/>
  <c r="S34" i="80"/>
  <c r="W34" i="80"/>
  <c r="U35" i="80"/>
  <c r="F36" i="80"/>
  <c r="H36" i="80"/>
  <c r="U37" i="80"/>
  <c r="S38" i="80"/>
  <c r="W38" i="80"/>
  <c r="U39" i="80"/>
  <c r="S40" i="80"/>
  <c r="W40" i="80"/>
  <c r="U41" i="80"/>
  <c r="S42" i="80"/>
  <c r="W42" i="80"/>
  <c r="U43" i="80"/>
  <c r="S44" i="80"/>
  <c r="U45" i="80"/>
  <c r="J52" i="15"/>
  <c r="L52" i="78"/>
  <c r="Q59" i="78" s="1"/>
  <c r="J52" i="78"/>
  <c r="Q51" i="78" s="1"/>
  <c r="A126" i="79"/>
  <c r="A122" i="79"/>
  <c r="A120" i="79"/>
  <c r="A118" i="79"/>
  <c r="H111" i="79"/>
  <c r="D126" i="79" s="1"/>
  <c r="D127" i="79" s="1"/>
  <c r="E111" i="79"/>
  <c r="H112" i="79" s="1"/>
  <c r="E109" i="79"/>
  <c r="A124" i="79" s="1"/>
  <c r="E107" i="79"/>
  <c r="H106" i="79"/>
  <c r="H103" i="79" s="1"/>
  <c r="D120" i="79" s="1"/>
  <c r="H105" i="79"/>
  <c r="H104" i="79"/>
  <c r="D101" i="79"/>
  <c r="C101" i="79"/>
  <c r="D93" i="79"/>
  <c r="C91" i="79"/>
  <c r="E90" i="79"/>
  <c r="D89" i="79"/>
  <c r="C89" i="79"/>
  <c r="C87" i="79" s="1"/>
  <c r="D78" i="79"/>
  <c r="H77" i="79"/>
  <c r="D77" i="79"/>
  <c r="C77" i="79" s="1"/>
  <c r="C76" i="79"/>
  <c r="D68" i="79"/>
  <c r="F59" i="79"/>
  <c r="E59" i="79"/>
  <c r="D59" i="79"/>
  <c r="F56" i="79"/>
  <c r="O55" i="79"/>
  <c r="N55" i="79"/>
  <c r="M55" i="79"/>
  <c r="K55" i="79"/>
  <c r="J55" i="79"/>
  <c r="I55" i="79"/>
  <c r="F55" i="79"/>
  <c r="O53" i="79" s="1"/>
  <c r="O54" i="79"/>
  <c r="N54" i="79"/>
  <c r="F54" i="79"/>
  <c r="N53" i="79"/>
  <c r="F53" i="79"/>
  <c r="F52" i="79"/>
  <c r="K49" i="79"/>
  <c r="F48" i="79"/>
  <c r="O52" i="79" s="1"/>
  <c r="E48" i="79"/>
  <c r="N52" i="79" s="1"/>
  <c r="D48" i="79"/>
  <c r="M52" i="79" s="1"/>
  <c r="M47" i="79"/>
  <c r="F33" i="79"/>
  <c r="B30" i="79"/>
  <c r="D27" i="79"/>
  <c r="D30" i="79" s="1"/>
  <c r="C30" i="79" s="1"/>
  <c r="C25" i="79"/>
  <c r="C24" i="79"/>
  <c r="D17" i="79"/>
  <c r="C17" i="79"/>
  <c r="C18" i="79" s="1"/>
  <c r="D18" i="79" s="1"/>
  <c r="L4" i="79"/>
  <c r="K4" i="79"/>
  <c r="A2" i="79"/>
  <c r="H1" i="79"/>
  <c r="Q72" i="78"/>
  <c r="F59" i="78"/>
  <c r="Q58" i="78"/>
  <c r="J50" i="78"/>
  <c r="J51" i="78" s="1"/>
  <c r="M47" i="78"/>
  <c r="D46" i="78"/>
  <c r="F34" i="78"/>
  <c r="F62" i="78" s="1"/>
  <c r="F33" i="78"/>
  <c r="F61" i="78" s="1"/>
  <c r="F32" i="78"/>
  <c r="F60" i="78" s="1"/>
  <c r="F31" i="78"/>
  <c r="F28" i="78"/>
  <c r="C28" i="78" s="1"/>
  <c r="F23" i="78"/>
  <c r="D24" i="78" s="1"/>
  <c r="F21" i="78"/>
  <c r="M20" i="78"/>
  <c r="F20" i="78"/>
  <c r="M19" i="78"/>
  <c r="M18" i="78"/>
  <c r="F18" i="78"/>
  <c r="M17" i="78"/>
  <c r="F17" i="78"/>
  <c r="F15" i="78"/>
  <c r="G1" i="78"/>
  <c r="I36" i="33"/>
  <c r="S46" i="80" l="1"/>
  <c r="W44" i="80"/>
  <c r="W46" i="80"/>
  <c r="AA36" i="80"/>
  <c r="S36" i="80"/>
  <c r="AC41" i="80"/>
  <c r="W41" i="80"/>
  <c r="AA39" i="80"/>
  <c r="S39" i="80"/>
  <c r="AC37" i="80"/>
  <c r="W37" i="80"/>
  <c r="AC32" i="80"/>
  <c r="W32" i="80"/>
  <c r="AC7" i="80"/>
  <c r="W7" i="80"/>
  <c r="AA11" i="80"/>
  <c r="S11" i="80"/>
  <c r="AB36" i="80"/>
  <c r="U36" i="80"/>
  <c r="AB42" i="80"/>
  <c r="U42" i="80"/>
  <c r="AA41" i="80"/>
  <c r="S41" i="80"/>
  <c r="AC39" i="80"/>
  <c r="W39" i="80"/>
  <c r="AA37" i="80"/>
  <c r="S37" i="80"/>
  <c r="AA7" i="80"/>
  <c r="S7" i="80"/>
  <c r="AC11" i="80"/>
  <c r="W11" i="80"/>
  <c r="U7" i="80"/>
  <c r="AB7" i="80"/>
  <c r="C74" i="79"/>
  <c r="C92" i="79"/>
  <c r="C94" i="79"/>
  <c r="K120" i="79"/>
  <c r="D121" i="79"/>
  <c r="H109" i="79"/>
  <c r="D22" i="78"/>
  <c r="D23" i="78"/>
  <c r="G36" i="33"/>
  <c r="E36" i="33"/>
  <c r="C36" i="33"/>
  <c r="C11" i="33"/>
  <c r="C6" i="33"/>
  <c r="I37" i="34"/>
  <c r="G37" i="34"/>
  <c r="E37" i="34"/>
  <c r="L47" i="78"/>
  <c r="F37" i="78"/>
  <c r="M26" i="78"/>
  <c r="F36" i="78"/>
  <c r="C76" i="78"/>
  <c r="M28" i="78"/>
  <c r="F16" i="78"/>
  <c r="M27" i="78"/>
  <c r="M8" i="78"/>
  <c r="M24" i="78"/>
  <c r="F9" i="78"/>
  <c r="F13" i="78"/>
  <c r="L48" i="78"/>
  <c r="M9" i="78"/>
  <c r="J15" i="78"/>
  <c r="F26" i="78"/>
  <c r="F38" i="78"/>
  <c r="F8" i="78"/>
  <c r="F42" i="78"/>
  <c r="M23" i="78"/>
  <c r="M6" i="78"/>
  <c r="F40" i="78"/>
  <c r="M22" i="78"/>
  <c r="D124" i="79" l="1"/>
  <c r="D125" i="79" s="1"/>
  <c r="H110" i="79"/>
  <c r="F51" i="78"/>
  <c r="F68" i="78"/>
  <c r="L57" i="78"/>
  <c r="L56" i="78"/>
  <c r="K53" i="78"/>
  <c r="L60" i="78"/>
  <c r="J57" i="78"/>
  <c r="J55" i="78" s="1"/>
  <c r="J58" i="78" s="1"/>
  <c r="Q50" i="78" s="1"/>
  <c r="J53" i="78"/>
  <c r="F64" i="78"/>
  <c r="F66" i="78"/>
  <c r="L59" i="78"/>
  <c r="L58" i="78"/>
  <c r="C27" i="78"/>
  <c r="F65" i="78"/>
  <c r="Q71" i="78"/>
  <c r="C37" i="34"/>
  <c r="Q74" i="78" l="1"/>
  <c r="Q61" i="78"/>
  <c r="Q73" i="78"/>
  <c r="Q60" i="78"/>
  <c r="Q52" i="78"/>
  <c r="F1" i="78"/>
  <c r="Q57" i="78"/>
  <c r="Q66" i="78"/>
  <c r="N8" i="1" l="1"/>
  <c r="N7" i="1"/>
  <c r="N6" i="1"/>
  <c r="J4" i="76" l="1"/>
  <c r="K4" i="76"/>
  <c r="K14" i="3" s="1"/>
  <c r="L4" i="76"/>
  <c r="K15" i="3" s="1"/>
  <c r="L3" i="76"/>
  <c r="L2" i="76"/>
  <c r="D366" i="76"/>
  <c r="K3" i="76"/>
  <c r="D251" i="76"/>
  <c r="J3" i="76"/>
  <c r="M3" i="76" s="1"/>
  <c r="F20" i="6" s="1"/>
  <c r="B25" i="31" s="1"/>
  <c r="J2" i="76"/>
  <c r="D149" i="76"/>
  <c r="I14" i="3" l="1"/>
  <c r="I11" i="76"/>
  <c r="I15" i="3"/>
  <c r="I12" i="76"/>
  <c r="I10" i="76"/>
  <c r="M2" i="76"/>
  <c r="M4" i="76"/>
  <c r="F21" i="6" s="1"/>
  <c r="F19" i="6"/>
  <c r="B24" i="31" s="1"/>
  <c r="K13" i="3"/>
  <c r="I13" i="3"/>
  <c r="D3" i="4"/>
  <c r="J10" i="76" l="1"/>
  <c r="I13" i="76"/>
  <c r="J12" i="76"/>
  <c r="J11" i="76"/>
  <c r="M5" i="76"/>
  <c r="A15" i="51"/>
  <c r="C76" i="9" l="1"/>
  <c r="I107" i="40" l="1"/>
  <c r="K6" i="4" l="1"/>
  <c r="N56" i="79" l="1"/>
  <c r="K56" i="79"/>
  <c r="M56" i="79"/>
  <c r="J56" i="79"/>
  <c r="J57" i="79" s="1"/>
  <c r="J59" i="79" s="1"/>
  <c r="J61" i="79" s="1"/>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D3" i="73"/>
  <c r="D7" i="73"/>
  <c r="F5" i="73"/>
  <c r="D4" i="73"/>
  <c r="F6" i="73"/>
  <c r="F3" i="73"/>
  <c r="F4" i="73"/>
  <c r="E20" i="43" l="1"/>
  <c r="I1" i="73"/>
  <c r="B39" i="1" s="1"/>
  <c r="D6" i="73"/>
  <c r="D5" i="73"/>
  <c r="F11" i="78" l="1"/>
  <c r="M11" i="78"/>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B39" i="71" s="1"/>
  <c r="S39"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F9" i="71"/>
  <c r="F10" i="71" s="1"/>
  <c r="F11" i="71" s="1"/>
  <c r="V11" i="71" s="1"/>
  <c r="Q8" i="71"/>
  <c r="AB8" i="71" s="1"/>
  <c r="P8" i="71"/>
  <c r="O8" i="71"/>
  <c r="N8" i="71"/>
  <c r="D8" i="71"/>
  <c r="O7" i="71"/>
  <c r="N7" i="71"/>
  <c r="B9" i="71" l="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43" i="71"/>
  <c r="S43" i="71" s="1"/>
  <c r="N47" i="71"/>
  <c r="C9" i="71"/>
  <c r="Y8" i="71"/>
  <c r="Z8" i="71" s="1"/>
  <c r="AA11" i="71"/>
  <c r="C13" i="71"/>
  <c r="Y12" i="71"/>
  <c r="Z12" i="71" s="1"/>
  <c r="AA15" i="71"/>
  <c r="C17" i="71"/>
  <c r="Y16" i="71"/>
  <c r="Z16" i="71" s="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9" i="1"/>
  <c r="AO11" i="1"/>
  <c r="AO13" i="1"/>
  <c r="AO10" i="1"/>
  <c r="B9" i="70" l="1"/>
  <c r="B10" i="70"/>
  <c r="B11"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AZ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AZ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AZ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AZ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AZ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AZ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AZ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AZ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AZ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AZ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AZ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AZ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AZ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AZ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D3" i="82"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AZ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A551" i="3" s="1"/>
  <c r="AZ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AC39" i="40" s="1"/>
  <c r="H39" i="40"/>
  <c r="U39" i="40" s="1"/>
  <c r="F39" i="40"/>
  <c r="AA39" i="40" s="1"/>
  <c r="Q38" i="40"/>
  <c r="Z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Q41" i="33"/>
  <c r="Z41" i="33"/>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Q32" i="33"/>
  <c r="Z32" i="33"/>
  <c r="Q31" i="33"/>
  <c r="Z31" i="33"/>
  <c r="Q30" i="33"/>
  <c r="Z30" i="33"/>
  <c r="Q29" i="33"/>
  <c r="Z29" i="33"/>
  <c r="Q28" i="33"/>
  <c r="Z28" i="33"/>
  <c r="Q27" i="33"/>
  <c r="Z27" i="33"/>
  <c r="Q26" i="33"/>
  <c r="Z26" i="33" s="1"/>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H39" i="33"/>
  <c r="AB39" i="33" s="1"/>
  <c r="F26" i="33"/>
  <c r="AA26" i="33" s="1"/>
  <c r="S40" i="33"/>
  <c r="H39" i="37"/>
  <c r="AB39" i="37" s="1"/>
  <c r="S27" i="35"/>
  <c r="F11" i="40"/>
  <c r="AA11" i="40" s="1"/>
  <c r="H11" i="40"/>
  <c r="AB11" i="40" s="1"/>
  <c r="W8" i="40"/>
  <c r="AB39" i="40"/>
  <c r="AA9" i="40"/>
  <c r="AC9" i="40"/>
  <c r="U9" i="40"/>
  <c r="S34" i="40"/>
  <c r="U38" i="40"/>
  <c r="U34"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AA15" i="34" s="1"/>
  <c r="J15" i="34"/>
  <c r="W15" i="34" s="1"/>
  <c r="H15" i="34"/>
  <c r="AB15" i="34" s="1"/>
  <c r="W8" i="34"/>
  <c r="J28" i="34"/>
  <c r="W28" i="34" s="1"/>
  <c r="F41" i="33"/>
  <c r="AA41" i="33" s="1"/>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28" i="37"/>
  <c r="AA13" i="35"/>
  <c r="AA47" i="34"/>
  <c r="U31" i="34"/>
  <c r="AC13" i="34"/>
  <c r="U30" i="33"/>
  <c r="AA14" i="33"/>
  <c r="J36" i="37"/>
  <c r="AC36" i="37" s="1"/>
  <c r="AB11" i="36"/>
  <c r="J10" i="36"/>
  <c r="AC10" i="36" s="1"/>
  <c r="AB30" i="21"/>
  <c r="AA14" i="37"/>
  <c r="W13" i="36"/>
  <c r="W11" i="36"/>
  <c r="W11" i="35"/>
  <c r="AB46" i="34"/>
  <c r="AC30" i="34"/>
  <c r="AA14" i="34"/>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AZ505" i="3" s="1"/>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A36" i="39"/>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G125" i="33"/>
  <c r="J43" i="33"/>
  <c r="AC43" i="33" s="1"/>
  <c r="S28" i="31"/>
  <c r="S27" i="31"/>
  <c r="S26" i="31"/>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C12" i="43"/>
  <c r="H19" i="40"/>
  <c r="U19" i="40" s="1"/>
  <c r="F19" i="40"/>
  <c r="S19" i="40" s="1"/>
  <c r="S14" i="40"/>
  <c r="AC13" i="40"/>
  <c r="AB33" i="40"/>
  <c r="W23" i="39"/>
  <c r="G101" i="39"/>
  <c r="H37" i="39"/>
  <c r="AB37" i="39" s="1"/>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AZ20" i="3"/>
  <c r="AZ24" i="3"/>
  <c r="AZ28" i="3"/>
  <c r="AZ32" i="3"/>
  <c r="AZ497" i="3"/>
  <c r="AZ525" i="3"/>
  <c r="AZ529" i="3"/>
  <c r="AZ53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s="1"/>
  <c r="BL311" i="3"/>
  <c r="AZ311" i="3" s="1"/>
  <c r="G312" i="3"/>
  <c r="BA314" i="3"/>
  <c r="AZ314" i="3" s="1"/>
  <c r="BL315" i="3"/>
  <c r="G316" i="3"/>
  <c r="BA318" i="3"/>
  <c r="AZ318" i="3"/>
  <c r="BL319" i="3"/>
  <c r="G320" i="3"/>
  <c r="BA322" i="3"/>
  <c r="AZ322" i="3"/>
  <c r="BL323" i="3"/>
  <c r="AZ323" i="3"/>
  <c r="G324" i="3"/>
  <c r="BA326" i="3"/>
  <c r="AZ326" i="3" s="1"/>
  <c r="BL327" i="3"/>
  <c r="AZ327" i="3" s="1"/>
  <c r="G328" i="3"/>
  <c r="BA330" i="3"/>
  <c r="AZ330" i="3" s="1"/>
  <c r="BL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BL384" i="3"/>
  <c r="G385" i="3"/>
  <c r="BA387" i="3"/>
  <c r="AZ387" i="3"/>
  <c r="BL388" i="3"/>
  <c r="G389" i="3"/>
  <c r="BA391" i="3"/>
  <c r="AZ391" i="3"/>
  <c r="BL392" i="3"/>
  <c r="G393" i="3"/>
  <c r="AZ263" i="3"/>
  <c r="AZ275" i="3"/>
  <c r="AZ279" i="3"/>
  <c r="AZ283" i="3"/>
  <c r="AZ287" i="3"/>
  <c r="AZ291" i="3"/>
  <c r="AZ295" i="3"/>
  <c r="AZ299" i="3"/>
  <c r="AZ541" i="3"/>
  <c r="AZ545" i="3"/>
  <c r="BO5" i="3"/>
  <c r="BM5" i="3"/>
  <c r="F29" i="6" s="1"/>
  <c r="BJ5" i="3"/>
  <c r="BH5" i="3"/>
  <c r="BF5" i="3"/>
  <c r="BD5" i="3"/>
  <c r="AZ309" i="3"/>
  <c r="AZ325" i="3"/>
  <c r="AZ341" i="3"/>
  <c r="BQ5" i="3"/>
  <c r="AC5" i="3"/>
  <c r="AZ533" i="3"/>
  <c r="AZ549" i="3"/>
  <c r="AZ535" i="3"/>
  <c r="AZ547" i="3"/>
  <c r="AZ506" i="3"/>
  <c r="AZ496" i="3"/>
  <c r="G548" i="3"/>
  <c r="G538" i="3"/>
  <c r="G520" i="3"/>
  <c r="G502" i="3"/>
  <c r="BS5" i="3"/>
  <c r="BP5" i="3"/>
  <c r="BN5" i="3"/>
  <c r="AZ343" i="3"/>
  <c r="BK5" i="3"/>
  <c r="BI5" i="3"/>
  <c r="BG5" i="3"/>
  <c r="BE5" i="3"/>
  <c r="BC5" i="3"/>
  <c r="G17" i="3"/>
  <c r="BA17" i="3"/>
  <c r="BT5" i="3"/>
  <c r="AZ352" i="3"/>
  <c r="AZ356" i="3"/>
  <c r="AZ364" i="3"/>
  <c r="BA15" i="3"/>
  <c r="BB5" i="3"/>
  <c r="BR5" i="3"/>
  <c r="G28" i="6" s="1"/>
  <c r="AZ380" i="3"/>
  <c r="AZ384" i="3"/>
  <c r="AZ392" i="3"/>
  <c r="AZ396" i="3"/>
  <c r="AZ499" i="3"/>
  <c r="AZ509" i="3"/>
  <c r="G509" i="3"/>
  <c r="BL493" i="3"/>
  <c r="AZ390"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H35" i="40"/>
  <c r="AB35" i="40" s="1"/>
  <c r="AC29" i="35"/>
  <c r="W29" i="35"/>
  <c r="H35" i="37"/>
  <c r="U35" i="37" s="1"/>
  <c r="AC14" i="35"/>
  <c r="H20" i="35"/>
  <c r="U20" i="35" s="1"/>
  <c r="F20" i="35"/>
  <c r="AA20" i="35" s="1"/>
  <c r="AB23" i="35"/>
  <c r="AB29" i="36"/>
  <c r="U29" i="36"/>
  <c r="H32" i="37"/>
  <c r="AB32" i="37" s="1"/>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354"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F97" i="39"/>
  <c r="H27" i="36"/>
  <c r="U27" i="36" s="1"/>
  <c r="F27" i="36"/>
  <c r="AA27" i="36" s="1"/>
  <c r="H33" i="34"/>
  <c r="U33" i="34" s="1"/>
  <c r="F32" i="37"/>
  <c r="AA32" i="37" s="1"/>
  <c r="H96" i="37"/>
  <c r="I96" i="37" s="1"/>
  <c r="J96" i="37" s="1"/>
  <c r="K96" i="37" s="1"/>
  <c r="L96" i="37" s="1"/>
  <c r="M96" i="37" s="1"/>
  <c r="G68" i="36"/>
  <c r="F20" i="36"/>
  <c r="AA20" i="36" s="1"/>
  <c r="J33" i="34"/>
  <c r="AC33" i="34" s="1"/>
  <c r="H23" i="39"/>
  <c r="U23" i="39" s="1"/>
  <c r="G97" i="39"/>
  <c r="D48" i="9"/>
  <c r="M52" i="9" s="1"/>
  <c r="H86" i="43"/>
  <c r="H87" i="43"/>
  <c r="K9" i="1"/>
  <c r="M9" i="1" s="1"/>
  <c r="O9" i="1" s="1"/>
  <c r="P9" i="1" s="1"/>
  <c r="F3" i="35"/>
  <c r="D93" i="9"/>
  <c r="J51" i="15"/>
  <c r="AE9" i="1"/>
  <c r="H82" i="43" l="1"/>
  <c r="H48" i="43"/>
  <c r="H50" i="43"/>
  <c r="H75" i="43"/>
  <c r="A15" i="62"/>
  <c r="B61" i="72" s="1"/>
  <c r="G14" i="3"/>
  <c r="K8" i="1"/>
  <c r="M18" i="79"/>
  <c r="B118" i="79" s="1"/>
  <c r="AC34" i="33"/>
  <c r="H42" i="33"/>
  <c r="AB42" i="33" s="1"/>
  <c r="F42" i="33"/>
  <c r="AA42" i="33" s="1"/>
  <c r="J42" i="33"/>
  <c r="AC42" i="33" s="1"/>
  <c r="J41" i="33"/>
  <c r="F37" i="33"/>
  <c r="U32" i="33"/>
  <c r="S41" i="33"/>
  <c r="U43" i="33"/>
  <c r="S45" i="33"/>
  <c r="U46" i="33"/>
  <c r="E15" i="6"/>
  <c r="E60" i="40" s="1"/>
  <c r="W39" i="33"/>
  <c r="S38" i="33"/>
  <c r="U35" i="33"/>
  <c r="S34" i="33"/>
  <c r="S26" i="33"/>
  <c r="AB26" i="33"/>
  <c r="S9" i="33"/>
  <c r="U8" i="33"/>
  <c r="S8" i="33"/>
  <c r="AB37" i="34"/>
  <c r="AA41" i="34"/>
  <c r="AB23" i="34"/>
  <c r="AB17" i="34"/>
  <c r="S15" i="34"/>
  <c r="AA38" i="34"/>
  <c r="AC36" i="34"/>
  <c r="S35" i="34"/>
  <c r="W31" i="34"/>
  <c r="S9" i="34"/>
  <c r="W9" i="34"/>
  <c r="AZ15" i="3"/>
  <c r="BL15" i="3"/>
  <c r="E12" i="6"/>
  <c r="E8" i="6"/>
  <c r="F27" i="6" s="1"/>
  <c r="E13" i="6"/>
  <c r="E58" i="40" s="1"/>
  <c r="G29" i="6"/>
  <c r="E29" i="6"/>
  <c r="F22" i="43"/>
  <c r="E22" i="43"/>
  <c r="G101" i="43"/>
  <c r="G105" i="43" s="1"/>
  <c r="C101" i="43"/>
  <c r="C104" i="43" s="1"/>
  <c r="J101" i="43"/>
  <c r="J104" i="43" s="1"/>
  <c r="N104" i="46"/>
  <c r="B113" i="43"/>
  <c r="K101" i="43"/>
  <c r="K103" i="43" s="1"/>
  <c r="F101" i="43"/>
  <c r="F104" i="43" s="1"/>
  <c r="N101" i="43"/>
  <c r="N102" i="43" s="1"/>
  <c r="AA32" i="36"/>
  <c r="S32" i="36"/>
  <c r="U25" i="37"/>
  <c r="AB25" i="37"/>
  <c r="AC43" i="39"/>
  <c r="W43" i="39"/>
  <c r="U45" i="39"/>
  <c r="AB45" i="39"/>
  <c r="W12" i="40"/>
  <c r="AC12" i="40"/>
  <c r="AC31" i="40"/>
  <c r="W31" i="40"/>
  <c r="W33" i="40"/>
  <c r="AC33" i="40"/>
  <c r="AA38" i="40"/>
  <c r="S38" i="40"/>
  <c r="W40" i="40"/>
  <c r="AC40" i="40"/>
  <c r="AC26" i="33"/>
  <c r="W26" i="33"/>
  <c r="AC27" i="34"/>
  <c r="W27" i="34"/>
  <c r="U34" i="36"/>
  <c r="AB34" i="36"/>
  <c r="U33" i="36"/>
  <c r="AB33" i="36"/>
  <c r="U27" i="37"/>
  <c r="AB27" i="37"/>
  <c r="AB44" i="39"/>
  <c r="U44" i="39"/>
  <c r="AC37" i="39"/>
  <c r="W37" i="39"/>
  <c r="AC32" i="40"/>
  <c r="W32" i="40"/>
  <c r="AZ550" i="3"/>
  <c r="AZ399" i="3"/>
  <c r="AZ405" i="3"/>
  <c r="AZ408" i="3"/>
  <c r="AZ415" i="3"/>
  <c r="AZ421" i="3"/>
  <c r="AZ425" i="3"/>
  <c r="AZ436" i="3"/>
  <c r="AZ447" i="3"/>
  <c r="AZ452" i="3"/>
  <c r="AZ463" i="3"/>
  <c r="AZ466" i="3"/>
  <c r="AZ470" i="3"/>
  <c r="BA14" i="3"/>
  <c r="AZ213" i="3"/>
  <c r="AZ224" i="3"/>
  <c r="AZ234" i="3"/>
  <c r="AZ238" i="3"/>
  <c r="AZ250" i="3"/>
  <c r="AZ254" i="3"/>
  <c r="AZ270" i="3"/>
  <c r="AZ274" i="3"/>
  <c r="AZ277" i="3"/>
  <c r="AZ284" i="3"/>
  <c r="AA39" i="34"/>
  <c r="F28" i="6"/>
  <c r="U12" i="37"/>
  <c r="S11" i="36"/>
  <c r="AB11" i="35"/>
  <c r="AA44" i="33"/>
  <c r="AA29" i="35"/>
  <c r="J38" i="40"/>
  <c r="AC38" i="40" s="1"/>
  <c r="F40" i="40"/>
  <c r="BL14" i="3"/>
  <c r="AZ297" i="3"/>
  <c r="AZ302" i="3"/>
  <c r="AZ113" i="3"/>
  <c r="AZ126" i="3"/>
  <c r="AZ129" i="3"/>
  <c r="AZ141" i="3"/>
  <c r="AZ149" i="3"/>
  <c r="AZ157" i="3"/>
  <c r="AZ165" i="3"/>
  <c r="AZ173" i="3"/>
  <c r="AZ181" i="3"/>
  <c r="AZ189" i="3"/>
  <c r="AZ197" i="3"/>
  <c r="AZ19" i="3"/>
  <c r="AZ46" i="3"/>
  <c r="AZ49" i="3"/>
  <c r="AZ62" i="3"/>
  <c r="AZ65" i="3"/>
  <c r="AZ35" i="3"/>
  <c r="AZ38" i="3"/>
  <c r="S12" i="1"/>
  <c r="R12" i="1"/>
  <c r="B12" i="1"/>
  <c r="E12" i="1" s="1"/>
  <c r="S10" i="1"/>
  <c r="AQ10" i="1" s="1"/>
  <c r="R10" i="1"/>
  <c r="B10" i="1"/>
  <c r="E10" i="1" s="1"/>
  <c r="D1" i="66"/>
  <c r="E10" i="66" s="1"/>
  <c r="AZ80" i="3"/>
  <c r="AZ84" i="3"/>
  <c r="AZ88" i="3"/>
  <c r="AZ107" i="3"/>
  <c r="AZ111" i="3"/>
  <c r="K12" i="1"/>
  <c r="M12" i="1" s="1"/>
  <c r="O12" i="1" s="1"/>
  <c r="P12" i="1" s="1"/>
  <c r="S13" i="1"/>
  <c r="AQ13" i="1" s="1"/>
  <c r="R13" i="1"/>
  <c r="S11" i="1"/>
  <c r="AR11" i="1" s="1"/>
  <c r="R11" i="1"/>
  <c r="S9" i="1"/>
  <c r="AQ9" i="1" s="1"/>
  <c r="R9" i="1"/>
  <c r="J51" i="67"/>
  <c r="C42" i="1"/>
  <c r="H100" i="43"/>
  <c r="E26" i="66"/>
  <c r="C30" i="66"/>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70" i="34"/>
  <c r="F11" i="34" s="1"/>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E30" i="6" s="1"/>
  <c r="G5" i="3"/>
  <c r="B3" i="3" s="1"/>
  <c r="J107" i="43"/>
  <c r="J103" i="43"/>
  <c r="J102" i="43"/>
  <c r="F107" i="43"/>
  <c r="F102" i="43"/>
  <c r="F106" i="43"/>
  <c r="C107" i="43"/>
  <c r="C105" i="43"/>
  <c r="C103"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C102" i="43"/>
  <c r="F103" i="43"/>
  <c r="F105" i="43"/>
  <c r="J106" i="43"/>
  <c r="T9" i="1"/>
  <c r="AR12" i="1"/>
  <c r="AQ12" i="1"/>
  <c r="T12" i="1"/>
  <c r="AR10" i="1"/>
  <c r="E19" i="69"/>
  <c r="E19" i="68"/>
  <c r="E19" i="11"/>
  <c r="M18" i="15"/>
  <c r="E1" i="73"/>
  <c r="K1" i="73" s="1"/>
  <c r="G41" i="69"/>
  <c r="G22" i="69"/>
  <c r="G41" i="68"/>
  <c r="G22" i="68"/>
  <c r="G27" i="12"/>
  <c r="G26" i="12"/>
  <c r="G41" i="11"/>
  <c r="G22" i="11"/>
  <c r="G25" i="12"/>
  <c r="C109" i="43"/>
  <c r="J109" i="43"/>
  <c r="C100"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F59" i="43" s="1"/>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55" i="43"/>
  <c r="H51" i="43"/>
  <c r="H56" i="43"/>
  <c r="H76" i="43"/>
  <c r="H72" i="43"/>
  <c r="H77" i="43"/>
  <c r="L20" i="6"/>
  <c r="K15" i="1"/>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L47" i="67"/>
  <c r="L48" i="67"/>
  <c r="F26" i="67"/>
  <c r="L47" i="15"/>
  <c r="M6" i="67"/>
  <c r="F40" i="15"/>
  <c r="F9" i="67"/>
  <c r="F43" i="78"/>
  <c r="F38" i="67"/>
  <c r="F16" i="15"/>
  <c r="L48" i="15"/>
  <c r="F7" i="15"/>
  <c r="M24" i="15"/>
  <c r="F8" i="15"/>
  <c r="M29" i="78"/>
  <c r="F9" i="15"/>
  <c r="M26" i="15"/>
  <c r="F8" i="67"/>
  <c r="M22" i="15"/>
  <c r="M24" i="67"/>
  <c r="J15" i="15"/>
  <c r="F37" i="67"/>
  <c r="J15" i="67"/>
  <c r="G1" i="73"/>
  <c r="C76" i="67"/>
  <c r="F7" i="67"/>
  <c r="M9" i="67"/>
  <c r="F43" i="67"/>
  <c r="F43" i="15"/>
  <c r="F42" i="67"/>
  <c r="M28" i="67"/>
  <c r="F36" i="15"/>
  <c r="M9" i="15"/>
  <c r="F36" i="67"/>
  <c r="M8" i="15"/>
  <c r="M26" i="67"/>
  <c r="M6" i="15"/>
  <c r="F6" i="67"/>
  <c r="M28" i="15"/>
  <c r="F16" i="67"/>
  <c r="F42" i="15"/>
  <c r="M8" i="67"/>
  <c r="C76" i="15"/>
  <c r="F13" i="67"/>
  <c r="F26" i="15"/>
  <c r="M23" i="67"/>
  <c r="M29" i="67"/>
  <c r="F37" i="15"/>
  <c r="F38" i="15"/>
  <c r="M22" i="67"/>
  <c r="F40" i="67"/>
  <c r="M29" i="15"/>
  <c r="F13" i="15"/>
  <c r="F7" i="78"/>
  <c r="M23" i="15"/>
  <c r="C33" i="80" l="1"/>
  <c r="H33" i="80" s="1"/>
  <c r="C34" i="82"/>
  <c r="BA5" i="3"/>
  <c r="E27" i="6" s="1"/>
  <c r="K20" i="6" s="1"/>
  <c r="AR13" i="1"/>
  <c r="E553" i="3"/>
  <c r="E526" i="3"/>
  <c r="E366" i="3"/>
  <c r="E217" i="3"/>
  <c r="E125" i="3"/>
  <c r="K105" i="43"/>
  <c r="K102" i="43"/>
  <c r="N105" i="43"/>
  <c r="D22" i="43"/>
  <c r="E343" i="3"/>
  <c r="E501" i="3"/>
  <c r="E530" i="3"/>
  <c r="E319" i="3"/>
  <c r="E175" i="3"/>
  <c r="E53" i="3"/>
  <c r="C4" i="4"/>
  <c r="E4" i="4"/>
  <c r="B5" i="62" s="1"/>
  <c r="B73" i="72" s="1"/>
  <c r="H65" i="43"/>
  <c r="H62" i="43"/>
  <c r="H61" i="43"/>
  <c r="H60" i="43"/>
  <c r="H59" i="43"/>
  <c r="H67" i="43"/>
  <c r="H66" i="43"/>
  <c r="H64" i="43"/>
  <c r="H63" i="43"/>
  <c r="C6" i="43"/>
  <c r="J33" i="80"/>
  <c r="F33" i="80"/>
  <c r="F50" i="78"/>
  <c r="C49" i="78" s="1"/>
  <c r="C48" i="78" s="1"/>
  <c r="M7" i="78"/>
  <c r="F71" i="78"/>
  <c r="M8" i="1"/>
  <c r="C16" i="43"/>
  <c r="AC41" i="33"/>
  <c r="W41" i="33"/>
  <c r="AQ11" i="1"/>
  <c r="N107" i="43"/>
  <c r="E69" i="3"/>
  <c r="C34" i="34"/>
  <c r="C33" i="33"/>
  <c r="S11" i="34"/>
  <c r="AA11" i="34"/>
  <c r="M18" i="67"/>
  <c r="F30" i="69"/>
  <c r="F32" i="67"/>
  <c r="F60" i="67" s="1"/>
  <c r="F32" i="15"/>
  <c r="F60" i="15" s="1"/>
  <c r="F28" i="67"/>
  <c r="F30" i="68"/>
  <c r="F31" i="12"/>
  <c r="C31" i="12" s="1"/>
  <c r="F30" i="11"/>
  <c r="F52" i="9"/>
  <c r="F28" i="15"/>
  <c r="C28" i="15" s="1"/>
  <c r="T10" i="1"/>
  <c r="AR9" i="1"/>
  <c r="T13" i="1"/>
  <c r="AZ14" i="3"/>
  <c r="E56" i="40"/>
  <c r="K109" i="43"/>
  <c r="T11" i="1"/>
  <c r="N104" i="43"/>
  <c r="K106" i="43"/>
  <c r="K104" i="43"/>
  <c r="K107" i="43"/>
  <c r="N106" i="43"/>
  <c r="N103" i="43"/>
  <c r="E59" i="40"/>
  <c r="E395" i="3"/>
  <c r="E565" i="3"/>
  <c r="E563" i="3"/>
  <c r="E528" i="3"/>
  <c r="E415" i="3"/>
  <c r="E304" i="3"/>
  <c r="E278" i="3"/>
  <c r="E261" i="3"/>
  <c r="E114" i="3"/>
  <c r="E237" i="3"/>
  <c r="D9" i="69"/>
  <c r="C9" i="69" s="1"/>
  <c r="D9" i="68"/>
  <c r="C9" i="68" s="1"/>
  <c r="E16" i="6"/>
  <c r="E63" i="39"/>
  <c r="E66" i="39" s="1"/>
  <c r="D19" i="12"/>
  <c r="C19" i="12" s="1"/>
  <c r="AZ13" i="3"/>
  <c r="C28" i="67"/>
  <c r="C30" i="69"/>
  <c r="C48" i="69"/>
  <c r="C74" i="9"/>
  <c r="AA40" i="40"/>
  <c r="S40" i="40"/>
  <c r="C77" i="9"/>
  <c r="C7" i="43"/>
  <c r="C48" i="68"/>
  <c r="C30" i="68"/>
  <c r="E302" i="3"/>
  <c r="E328" i="3"/>
  <c r="E535" i="3"/>
  <c r="AJ6" i="3"/>
  <c r="E503" i="3"/>
  <c r="E508" i="3"/>
  <c r="E550" i="3"/>
  <c r="N6" i="3"/>
  <c r="E17" i="3"/>
  <c r="E426" i="3"/>
  <c r="E445" i="3"/>
  <c r="E322" i="3"/>
  <c r="E361" i="3"/>
  <c r="E305" i="3"/>
  <c r="E260" i="3"/>
  <c r="E282" i="3"/>
  <c r="E213" i="3"/>
  <c r="E153" i="3"/>
  <c r="E172" i="3"/>
  <c r="E268" i="3"/>
  <c r="E183" i="3"/>
  <c r="C24" i="12"/>
  <c r="B115" i="43"/>
  <c r="C115" i="43" s="1"/>
  <c r="D117" i="43"/>
  <c r="E117" i="43" s="1"/>
  <c r="F117" i="43" s="1"/>
  <c r="G117" i="43" s="1"/>
  <c r="H117"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40" i="1"/>
  <c r="F24" i="78"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67"/>
  <c r="M17" i="67"/>
  <c r="F59" i="67"/>
  <c r="M17" i="15"/>
  <c r="F31" i="15"/>
  <c r="F59" i="15"/>
  <c r="C16" i="15"/>
  <c r="C17" i="15"/>
  <c r="C16" i="78"/>
  <c r="C16" i="67"/>
  <c r="S7" i="1" l="1"/>
  <c r="K27" i="6"/>
  <c r="M20" i="6"/>
  <c r="I20" i="6" s="1"/>
  <c r="H34" i="82"/>
  <c r="F34" i="82"/>
  <c r="J34" i="82"/>
  <c r="K4" i="4"/>
  <c r="B46" i="48" s="1"/>
  <c r="B4" i="72" s="1"/>
  <c r="E3" i="6"/>
  <c r="D3" i="80" s="1"/>
  <c r="AC33" i="80"/>
  <c r="V48" i="80" s="1"/>
  <c r="I48" i="80" s="1"/>
  <c r="W33" i="80"/>
  <c r="AA33" i="80"/>
  <c r="R48" i="80" s="1"/>
  <c r="S33" i="80"/>
  <c r="U33" i="80"/>
  <c r="AB33" i="80"/>
  <c r="T48" i="80" s="1"/>
  <c r="G48" i="80" s="1"/>
  <c r="C66" i="78"/>
  <c r="C60" i="78"/>
  <c r="J6" i="78"/>
  <c r="J10" i="78"/>
  <c r="C24" i="78"/>
  <c r="H34" i="34"/>
  <c r="J34" i="34"/>
  <c r="F34" i="34"/>
  <c r="H33" i="33"/>
  <c r="J33" i="33"/>
  <c r="F33" i="33"/>
  <c r="M21" i="6"/>
  <c r="I21" i="6" s="1"/>
  <c r="S8" i="1"/>
  <c r="C23" i="43"/>
  <c r="C21" i="43" s="1"/>
  <c r="C29" i="43" s="1"/>
  <c r="S3" i="43"/>
  <c r="T3" i="43" s="1"/>
  <c r="V3" i="43" s="1"/>
  <c r="S5" i="43"/>
  <c r="S7" i="43"/>
  <c r="S4" i="43"/>
  <c r="S6" i="43"/>
  <c r="S2" i="43"/>
  <c r="T2" i="43" s="1"/>
  <c r="V2" i="43" s="1"/>
  <c r="D113" i="43"/>
  <c r="J22" i="43" s="1"/>
  <c r="M19" i="6"/>
  <c r="M27" i="6" s="1"/>
  <c r="AR6" i="1"/>
  <c r="B14" i="74"/>
  <c r="B1" i="74" s="1"/>
  <c r="D3" i="33"/>
  <c r="D3" i="34"/>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7" i="43"/>
  <c r="V7"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L18" i="9" s="1"/>
  <c r="H10" i="39"/>
  <c r="J10" i="39"/>
  <c r="Q61" i="15"/>
  <c r="C49" i="15"/>
  <c r="Q60" i="15"/>
  <c r="M16" i="1"/>
  <c r="N16" i="1" s="1"/>
  <c r="Q60" i="67"/>
  <c r="Q73" i="67"/>
  <c r="F27" i="11"/>
  <c r="Q61" i="67"/>
  <c r="Q74" i="67"/>
  <c r="C49" i="67"/>
  <c r="F1" i="67"/>
  <c r="Q52" i="67"/>
  <c r="C17" i="78"/>
  <c r="AQ7" i="1" l="1"/>
  <c r="AR7" i="1"/>
  <c r="T7" i="1"/>
  <c r="AA34" i="82"/>
  <c r="R49" i="82" s="1"/>
  <c r="S34" i="82"/>
  <c r="AC34" i="82"/>
  <c r="V49" i="82" s="1"/>
  <c r="I49" i="82" s="1"/>
  <c r="W34" i="82"/>
  <c r="AB34" i="82"/>
  <c r="T49" i="82" s="1"/>
  <c r="G49" i="82" s="1"/>
  <c r="U34" i="82"/>
  <c r="G52" i="80"/>
  <c r="H52" i="80" s="1"/>
  <c r="G53" i="80"/>
  <c r="H53" i="80" s="1"/>
  <c r="R49" i="80"/>
  <c r="E48" i="80"/>
  <c r="I52" i="80"/>
  <c r="J52" i="80" s="1"/>
  <c r="I53" i="80"/>
  <c r="J53" i="80" s="1"/>
  <c r="J5" i="78"/>
  <c r="S21" i="6"/>
  <c r="L18" i="79"/>
  <c r="AA33" i="33"/>
  <c r="S33" i="33"/>
  <c r="AB33" i="33"/>
  <c r="U33" i="33"/>
  <c r="AC34" i="34"/>
  <c r="W34" i="34"/>
  <c r="AC33" i="33"/>
  <c r="W33" i="33"/>
  <c r="AA34" i="34"/>
  <c r="S34" i="34"/>
  <c r="AB34" i="34"/>
  <c r="U34" i="34"/>
  <c r="AQ8" i="1"/>
  <c r="AR8" i="1"/>
  <c r="T8" i="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E38" i="43"/>
  <c r="E6" i="3"/>
  <c r="C47" i="68"/>
  <c r="D45" i="68" s="1"/>
  <c r="AA10" i="39"/>
  <c r="D10" i="68"/>
  <c r="D10" i="11"/>
  <c r="C10" i="11" s="1"/>
  <c r="D20" i="12"/>
  <c r="C20" i="12" s="1"/>
  <c r="C18" i="12" s="1"/>
  <c r="D19" i="6"/>
  <c r="M19" i="9" s="1"/>
  <c r="C118" i="9" s="1"/>
  <c r="D25" i="6"/>
  <c r="D26" i="6"/>
  <c r="D15" i="6"/>
  <c r="C18" i="4"/>
  <c r="D22" i="6"/>
  <c r="D8" i="6"/>
  <c r="D21" i="6"/>
  <c r="D23" i="6"/>
  <c r="D24" i="6"/>
  <c r="D14" i="6"/>
  <c r="D20" i="6"/>
  <c r="R20" i="6" s="1"/>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C36" i="11"/>
  <c r="E70" i="39"/>
  <c r="F70" i="39"/>
  <c r="S10" i="40"/>
  <c r="C38" i="67"/>
  <c r="H19" i="6"/>
  <c r="L19" i="9" s="1"/>
  <c r="S19" i="6"/>
  <c r="S27" i="6" s="1"/>
  <c r="I27" i="6"/>
  <c r="W10" i="39"/>
  <c r="AC10" i="39"/>
  <c r="U10" i="39"/>
  <c r="AB10" i="39"/>
  <c r="F50" i="11"/>
  <c r="F50" i="69"/>
  <c r="F50" i="68"/>
  <c r="C47" i="11"/>
  <c r="D45" i="11" s="1"/>
  <c r="C29" i="11"/>
  <c r="D27" i="11" s="1"/>
  <c r="C28" i="11"/>
  <c r="C27" i="11" s="1"/>
  <c r="L16" i="1"/>
  <c r="C14" i="78"/>
  <c r="G54" i="82" l="1"/>
  <c r="H54" i="82" s="1"/>
  <c r="G53" i="82"/>
  <c r="H53" i="82" s="1"/>
  <c r="I53" i="82"/>
  <c r="J53" i="82" s="1"/>
  <c r="R50" i="82"/>
  <c r="E49" i="82"/>
  <c r="I54" i="82" s="1"/>
  <c r="J54" i="82" s="1"/>
  <c r="C34" i="11"/>
  <c r="C35" i="11" s="1"/>
  <c r="V49" i="34"/>
  <c r="I49" i="34" s="1"/>
  <c r="I53" i="34" s="1"/>
  <c r="J53" i="34" s="1"/>
  <c r="E52" i="80"/>
  <c r="F52" i="80" s="1"/>
  <c r="E53" i="80"/>
  <c r="F53" i="80" s="1"/>
  <c r="R25" i="6"/>
  <c r="C48" i="80"/>
  <c r="C49" i="80"/>
  <c r="C15" i="78"/>
  <c r="C18" i="78"/>
  <c r="M19" i="79"/>
  <c r="C118" i="79" s="1"/>
  <c r="L19" i="79"/>
  <c r="J24" i="78"/>
  <c r="J18" i="78"/>
  <c r="J26" i="78"/>
  <c r="AA7" i="34"/>
  <c r="R49" i="34" s="1"/>
  <c r="E49" i="34"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R7" i="1" s="1"/>
  <c r="C14" i="12"/>
  <c r="C23" i="12"/>
  <c r="E53" i="82" l="1"/>
  <c r="F53" i="82" s="1"/>
  <c r="E54" i="82"/>
  <c r="F54" i="82" s="1"/>
  <c r="C49" i="82"/>
  <c r="C50" i="82"/>
  <c r="C38" i="11"/>
  <c r="B2" i="80"/>
  <c r="B3" i="80"/>
  <c r="U6" i="1" s="1"/>
  <c r="C19" i="78"/>
  <c r="C20" i="78" s="1"/>
  <c r="C26" i="78" s="1"/>
  <c r="R50" i="34"/>
  <c r="C50" i="34" s="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H63" i="40"/>
  <c r="G65" i="40"/>
  <c r="H70" i="39"/>
  <c r="C33" i="11"/>
  <c r="C42" i="11" s="1"/>
  <c r="F35" i="15"/>
  <c r="F35" i="78"/>
  <c r="F35" i="67"/>
  <c r="M21" i="67"/>
  <c r="M21" i="15"/>
  <c r="F6" i="15"/>
  <c r="M21" i="78"/>
  <c r="B2" i="82" l="1"/>
  <c r="B3" i="82"/>
  <c r="U8" i="1" s="1"/>
  <c r="C49" i="34"/>
  <c r="C10" i="15"/>
  <c r="C6" i="15"/>
  <c r="C23" i="78"/>
  <c r="C29" i="78" s="1"/>
  <c r="J59" i="78" s="1"/>
  <c r="J60" i="78" s="1"/>
  <c r="C34" i="78"/>
  <c r="F63" i="78"/>
  <c r="C62" i="78" s="1"/>
  <c r="J20" i="78"/>
  <c r="I5" i="6"/>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F6" i="78"/>
  <c r="C6" i="78" l="1"/>
  <c r="C10" i="78"/>
  <c r="C5" i="15"/>
  <c r="Q48" i="78"/>
  <c r="L46" i="78"/>
  <c r="Q49" i="78"/>
  <c r="C36" i="78"/>
  <c r="C33" i="78"/>
  <c r="J19" i="78"/>
  <c r="J17" i="78" s="1"/>
  <c r="J14" i="78"/>
  <c r="C13" i="78"/>
  <c r="C57" i="78"/>
  <c r="C25" i="68"/>
  <c r="C22" i="68" s="1"/>
  <c r="C31" i="68" s="1"/>
  <c r="C27" i="12"/>
  <c r="C25" i="12" s="1"/>
  <c r="C32" i="12" s="1"/>
  <c r="B2" i="12" s="1"/>
  <c r="B3" i="12" s="1"/>
  <c r="C39" i="68"/>
  <c r="C43" i="68" s="1"/>
  <c r="C42" i="68"/>
  <c r="J63" i="40"/>
  <c r="I65" i="40"/>
  <c r="C46" i="11"/>
  <c r="C45" i="11" s="1"/>
  <c r="C49" i="11" s="1"/>
  <c r="C51" i="11" s="1"/>
  <c r="C52" i="11" s="1"/>
  <c r="B2" i="11" s="1"/>
  <c r="B3" i="11" s="1"/>
  <c r="J70" i="39"/>
  <c r="C5" i="78" l="1"/>
  <c r="C38" i="78" s="1"/>
  <c r="C32" i="15"/>
  <c r="C38" i="15"/>
  <c r="C75" i="78"/>
  <c r="Q70" i="78"/>
  <c r="C56" i="78"/>
  <c r="C65" i="78" s="1"/>
  <c r="C37" i="78"/>
  <c r="C64" i="78"/>
  <c r="C61" i="78"/>
  <c r="C59" i="78" s="1"/>
  <c r="J22" i="78"/>
  <c r="J13" i="78"/>
  <c r="J23" i="78" s="1"/>
  <c r="C41" i="68"/>
  <c r="C46" i="68"/>
  <c r="C45" i="68" s="1"/>
  <c r="K63" i="40"/>
  <c r="J65" i="40"/>
  <c r="K70" i="39"/>
  <c r="C56" i="11"/>
  <c r="C57" i="11" s="1"/>
  <c r="C32" i="78" l="1"/>
  <c r="C31" i="78" s="1"/>
  <c r="C30" i="78" s="1"/>
  <c r="C39" i="78" s="1"/>
  <c r="Q69" i="78" s="1"/>
  <c r="Q68" i="78" s="1"/>
  <c r="J16" i="78"/>
  <c r="J25" i="78" s="1"/>
  <c r="C58" i="78"/>
  <c r="C67" i="78" s="1"/>
  <c r="C49" i="68"/>
  <c r="C51" i="68" s="1"/>
  <c r="C52" i="68" s="1"/>
  <c r="C57" i="68" s="1"/>
  <c r="C56" i="68" s="1"/>
  <c r="L63" i="40"/>
  <c r="K65" i="40"/>
  <c r="L70" i="39"/>
  <c r="E8" i="70"/>
  <c r="E2" i="70" s="1"/>
  <c r="C34" i="69"/>
  <c r="C17" i="67"/>
  <c r="C80" i="78" l="1"/>
  <c r="C79" i="78" s="1"/>
  <c r="M63" i="40"/>
  <c r="L65" i="40"/>
  <c r="M70" i="39"/>
  <c r="C35" i="69"/>
  <c r="C38" i="69"/>
  <c r="D10" i="69"/>
  <c r="L51" i="78"/>
  <c r="Q67" i="78" l="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L51" i="15"/>
  <c r="AE6" i="1"/>
  <c r="AE8" i="1"/>
  <c r="C66" i="15" l="1"/>
  <c r="C60" i="15"/>
  <c r="C59" i="15" s="1"/>
  <c r="AG6" i="1"/>
  <c r="C80" i="15"/>
  <c r="C79" i="15" s="1"/>
  <c r="C65" i="15"/>
  <c r="Q68" i="15"/>
  <c r="L57" i="15"/>
  <c r="L60" i="15" s="1"/>
  <c r="Q67" i="15"/>
  <c r="F41" i="67"/>
  <c r="F41" i="15"/>
  <c r="M27" i="15"/>
  <c r="F41" i="78"/>
  <c r="M27" i="67"/>
  <c r="J29" i="78" l="1"/>
  <c r="F69" i="78"/>
  <c r="C68" i="78" s="1"/>
  <c r="C40" i="78"/>
  <c r="Q65" i="78" s="1"/>
  <c r="Q75" i="78" s="1"/>
  <c r="C71" i="78"/>
  <c r="J26" i="15"/>
  <c r="J29" i="15" s="1"/>
  <c r="J26" i="67"/>
  <c r="J29" i="67" s="1"/>
  <c r="C58" i="15"/>
  <c r="C67" i="15" s="1"/>
  <c r="F69" i="15"/>
  <c r="C40" i="15"/>
  <c r="C43" i="15" s="1"/>
  <c r="L46" i="15"/>
  <c r="Q57" i="15"/>
  <c r="Q66" i="15"/>
  <c r="F69" i="67"/>
  <c r="C68" i="67" s="1"/>
  <c r="C71" i="67" s="1"/>
  <c r="C40" i="67"/>
  <c r="C83" i="67" s="1"/>
  <c r="C82" i="67" s="1"/>
  <c r="Q47" i="78" l="1"/>
  <c r="Q53" i="78" s="1"/>
  <c r="C46" i="78"/>
  <c r="C83" i="78"/>
  <c r="C82" i="78" s="1"/>
  <c r="Q56" i="78"/>
  <c r="Q62" i="78" s="1"/>
  <c r="B2" i="78"/>
  <c r="C43" i="78"/>
  <c r="C68" i="15"/>
  <c r="C71" i="15" s="1"/>
  <c r="C83" i="15"/>
  <c r="C82" i="15" s="1"/>
  <c r="Q65" i="15"/>
  <c r="Q75" i="15" s="1"/>
  <c r="Q47" i="15"/>
  <c r="Q53" i="15" s="1"/>
  <c r="Q56" i="15"/>
  <c r="Q62" i="15" s="1"/>
  <c r="B2" i="15"/>
  <c r="H18" i="76" s="1"/>
  <c r="C43" i="67"/>
  <c r="C45" i="67"/>
  <c r="C46" i="67" s="1"/>
  <c r="Q65" i="67"/>
  <c r="Q75" i="67" s="1"/>
  <c r="Q56" i="67"/>
  <c r="Q62" i="67" s="1"/>
  <c r="Q47" i="67"/>
  <c r="Q53" i="67" s="1"/>
  <c r="D2" i="67"/>
  <c r="B2" i="67" s="1"/>
  <c r="AO8" i="1"/>
  <c r="D19" i="79"/>
  <c r="E2" i="69"/>
  <c r="AO6" i="1"/>
  <c r="AO7" i="1"/>
  <c r="B3" i="78" l="1"/>
  <c r="H17" i="76"/>
  <c r="H19" i="76" s="1"/>
  <c r="D102" i="79"/>
  <c r="D21" i="79"/>
  <c r="B3" i="15"/>
  <c r="C46" i="15"/>
  <c r="B2" i="69"/>
  <c r="B3" i="69" s="1"/>
  <c r="B8" i="70"/>
  <c r="B6" i="70"/>
  <c r="B2" i="68"/>
  <c r="B3" i="67"/>
  <c r="B7" i="70"/>
  <c r="D2" i="35"/>
  <c r="D20" i="79"/>
  <c r="D34" i="79"/>
  <c r="D2" i="34"/>
  <c r="D2" i="21"/>
  <c r="D35" i="79"/>
  <c r="D2" i="37"/>
  <c r="E2" i="68"/>
  <c r="D2" i="36"/>
  <c r="D2" i="33"/>
  <c r="I17" i="76" l="1"/>
  <c r="J17" i="76" s="1"/>
  <c r="D103" i="79"/>
  <c r="B2" i="36"/>
  <c r="B3" i="36" s="1"/>
  <c r="B2" i="35"/>
  <c r="B3" i="35" s="1"/>
  <c r="B2" i="37"/>
  <c r="B3" i="37" s="1"/>
  <c r="B2" i="34"/>
  <c r="B2" i="21"/>
  <c r="B3" i="21" s="1"/>
  <c r="B2" i="70"/>
  <c r="B3" i="68"/>
  <c r="D20" i="9"/>
  <c r="D19" i="9"/>
  <c r="C19" i="79"/>
  <c r="C102" i="79" l="1"/>
  <c r="C21" i="79"/>
  <c r="D22" i="79"/>
  <c r="G19" i="79"/>
  <c r="B3" i="34"/>
  <c r="B3" i="70"/>
  <c r="D102" i="9"/>
  <c r="D21" i="9"/>
  <c r="D103" i="9"/>
  <c r="C20" i="79"/>
  <c r="C103" i="79" l="1"/>
  <c r="G20" i="79"/>
  <c r="C32" i="79"/>
  <c r="G21" i="79"/>
  <c r="D34" i="9"/>
  <c r="C35" i="79" l="1"/>
  <c r="H118" i="79"/>
  <c r="H109" i="9"/>
  <c r="I118" i="79" l="1"/>
  <c r="C104" i="79"/>
  <c r="H101" i="79"/>
  <c r="H119" i="79"/>
  <c r="F118" i="79"/>
  <c r="C34" i="79"/>
  <c r="D118" i="79" s="1"/>
  <c r="D119" i="79" s="1"/>
  <c r="H110" i="9"/>
  <c r="D18" i="53" s="1"/>
  <c r="B35" i="72" s="1"/>
  <c r="D124" i="9"/>
  <c r="D16" i="53"/>
  <c r="B34" i="72" s="1"/>
  <c r="G118" i="79" l="1"/>
  <c r="E118" i="79" s="1"/>
  <c r="F119" i="79"/>
  <c r="D45" i="79"/>
  <c r="M48" i="79"/>
  <c r="H107" i="79"/>
  <c r="H102" i="79"/>
  <c r="C105" i="79"/>
  <c r="N4" i="76" s="1"/>
  <c r="D10" i="52"/>
  <c r="H14" i="74"/>
  <c r="D17" i="53"/>
  <c r="B36" i="72" s="1"/>
  <c r="D125" i="9"/>
  <c r="D11" i="52" s="1"/>
  <c r="O4" i="76" l="1"/>
  <c r="D122" i="79"/>
  <c r="D123" i="79" s="1"/>
  <c r="M49" i="79"/>
  <c r="H108" i="79"/>
  <c r="C78" i="79"/>
  <c r="C73" i="79" s="1"/>
  <c r="C93" i="79"/>
  <c r="C86" i="79" s="1"/>
  <c r="C72" i="79"/>
  <c r="D55" i="79"/>
  <c r="M53" i="79" s="1"/>
  <c r="D52" i="79"/>
  <c r="C85" i="79"/>
  <c r="C64" i="79"/>
  <c r="C63" i="79" s="1"/>
  <c r="C67" i="79" s="1"/>
  <c r="C68" i="79" s="1"/>
  <c r="D54" i="79" s="1"/>
  <c r="D53" i="79"/>
  <c r="B7" i="74"/>
  <c r="D7" i="74" s="1"/>
  <c r="C79" i="79" l="1"/>
  <c r="C95" i="79"/>
  <c r="C96" i="79" s="1"/>
  <c r="E96" i="79" s="1"/>
  <c r="E97" i="79" s="1"/>
  <c r="L66" i="79"/>
  <c r="M66" i="79" s="1"/>
  <c r="L65" i="79"/>
  <c r="M65" i="79" s="1"/>
  <c r="L68" i="79"/>
  <c r="M68" i="79" s="1"/>
  <c r="L63" i="79"/>
  <c r="M63" i="79" s="1"/>
  <c r="L64" i="79"/>
  <c r="M64" i="79" s="1"/>
  <c r="L67" i="79"/>
  <c r="M67" i="79" s="1"/>
  <c r="C7" i="74"/>
  <c r="C80" i="79" l="1"/>
  <c r="E80" i="79" s="1"/>
  <c r="E81" i="79" s="1"/>
  <c r="C97" i="79"/>
  <c r="D58" i="79" s="1"/>
  <c r="D56" i="79" s="1"/>
  <c r="M54" i="79" s="1"/>
  <c r="N57" i="79" s="1"/>
  <c r="P57" i="79" s="1"/>
  <c r="M69" i="79"/>
  <c r="N69" i="79" s="1"/>
  <c r="J7" i="33"/>
  <c r="W7" i="33" s="1"/>
  <c r="F7" i="33"/>
  <c r="S7" i="33" s="1"/>
  <c r="H7" i="33"/>
  <c r="AB7" i="33" s="1"/>
  <c r="T48" i="33" s="1"/>
  <c r="G48" i="33" s="1"/>
  <c r="C81" i="79" l="1"/>
  <c r="N59" i="79"/>
  <c r="N60" i="79" s="1"/>
  <c r="N58" i="79"/>
  <c r="N61" i="79"/>
  <c r="G52" i="33"/>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102" i="9" l="1"/>
  <c r="G19" i="9"/>
  <c r="D22" i="9"/>
  <c r="C21" i="9"/>
  <c r="B3" i="33"/>
  <c r="G52" i="39"/>
  <c r="H52" i="39" s="1"/>
  <c r="G51" i="39"/>
  <c r="H51" i="39" s="1"/>
  <c r="I51" i="39"/>
  <c r="J51" i="39" s="1"/>
  <c r="W7" i="39"/>
  <c r="U7" i="39"/>
  <c r="AA7" i="39"/>
  <c r="R47" i="39" s="1"/>
  <c r="C20" i="9"/>
  <c r="G20" i="9" l="1"/>
  <c r="C103" i="9"/>
  <c r="G21" i="9"/>
  <c r="C32" i="9"/>
  <c r="R48" i="39"/>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I18" i="76" l="1"/>
  <c r="C35" i="9"/>
  <c r="J18" i="76" l="1"/>
  <c r="J19" i="76" s="1"/>
  <c r="I19" i="76" s="1"/>
  <c r="C34" i="9"/>
  <c r="H112" i="9" l="1"/>
  <c r="D21" i="53" s="1"/>
  <c r="B39" i="72" s="1"/>
  <c r="H111" i="9"/>
  <c r="D126" i="9" s="1"/>
  <c r="D59" i="9"/>
  <c r="M55" i="9"/>
  <c r="D19" i="53" l="1"/>
  <c r="B38" i="72" s="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R24" i="31" s="1"/>
  <c r="N2" i="76" s="1"/>
  <c r="H119" i="9"/>
  <c r="H5" i="52" s="1"/>
  <c r="F4" i="52"/>
  <c r="B51" i="72" s="1"/>
  <c r="F119" i="9"/>
  <c r="F5" i="52" s="1"/>
  <c r="B53" i="72" s="1"/>
  <c r="D14" i="74"/>
  <c r="H4" i="52"/>
  <c r="D4" i="52"/>
  <c r="B47" i="72" s="1"/>
  <c r="H107" i="9"/>
  <c r="M49" i="9" s="1"/>
  <c r="O2" i="76" l="1"/>
  <c r="S24" i="31"/>
  <c r="R25" i="31"/>
  <c r="L68" i="9"/>
  <c r="M68" i="9" s="1"/>
  <c r="L66" i="9"/>
  <c r="M66" i="9" s="1"/>
  <c r="L63" i="9"/>
  <c r="M63" i="9" s="1"/>
  <c r="L64" i="9"/>
  <c r="M64" i="9" s="1"/>
  <c r="L67" i="9"/>
  <c r="M67" i="9" s="1"/>
  <c r="L65" i="9"/>
  <c r="M65" i="9" s="1"/>
  <c r="D45" i="9"/>
  <c r="D53" i="9" s="1"/>
  <c r="I4" i="52"/>
  <c r="D5" i="53"/>
  <c r="B20" i="72" s="1"/>
  <c r="H102" i="9"/>
  <c r="D7" i="53" s="1"/>
  <c r="B21" i="72" s="1"/>
  <c r="E118" i="9"/>
  <c r="E4" i="52" s="1"/>
  <c r="B48" i="72" s="1"/>
  <c r="D122" i="9"/>
  <c r="H108" i="9"/>
  <c r="D15" i="53" s="1"/>
  <c r="B31" i="72" s="1"/>
  <c r="D13" i="53"/>
  <c r="E14" i="74"/>
  <c r="B5" i="74"/>
  <c r="F14" i="74"/>
  <c r="S25" i="31" l="1"/>
  <c r="S22" i="31" s="1"/>
  <c r="B20" i="31" s="1"/>
  <c r="N3" i="76"/>
  <c r="O12" i="76" s="1"/>
  <c r="M69" i="9"/>
  <c r="N69" i="9" s="1"/>
  <c r="C93" i="9"/>
  <c r="C86" i="9" s="1"/>
  <c r="D52" i="9"/>
  <c r="C78" i="9"/>
  <c r="C73" i="9" s="1"/>
  <c r="C85" i="9"/>
  <c r="C72" i="9"/>
  <c r="D55" i="9"/>
  <c r="M53" i="9" s="1"/>
  <c r="C64" i="9"/>
  <c r="C63" i="9" s="1"/>
  <c r="D6" i="53"/>
  <c r="B22" i="72" s="1"/>
  <c r="D5" i="74"/>
  <c r="C5" i="74"/>
  <c r="D14" i="53"/>
  <c r="B32" i="72" s="1"/>
  <c r="B30" i="72"/>
  <c r="G14" i="74"/>
  <c r="B6" i="74" s="1"/>
  <c r="D123" i="9"/>
  <c r="D9" i="52" s="1"/>
  <c r="D8" i="52"/>
  <c r="M12" i="76" l="1"/>
  <c r="P12" i="76"/>
  <c r="O11" i="76"/>
  <c r="O10" i="76"/>
  <c r="O3" i="76"/>
  <c r="R22" i="31"/>
  <c r="B21" i="31" s="1"/>
  <c r="C95" i="9"/>
  <c r="C67" i="9"/>
  <c r="C68" i="9" s="1"/>
  <c r="D54" i="9" s="1"/>
  <c r="C79" i="9"/>
  <c r="D6" i="74"/>
  <c r="C6" i="74"/>
  <c r="K12" i="76" l="1"/>
  <c r="N12" i="76"/>
  <c r="L12" i="76" s="1"/>
  <c r="O13" i="76"/>
  <c r="O14" i="76" s="1"/>
  <c r="M11" i="76"/>
  <c r="M10" i="76"/>
  <c r="N10" i="76" s="1"/>
  <c r="P11" i="76"/>
  <c r="P10" i="76"/>
  <c r="C96" i="9"/>
  <c r="E96" i="9" s="1"/>
  <c r="E97" i="9" s="1"/>
  <c r="C80" i="9"/>
  <c r="E80" i="9" s="1"/>
  <c r="E81" i="9" s="1"/>
  <c r="M13" i="76" l="1"/>
  <c r="P13" i="76"/>
  <c r="L10" i="76"/>
  <c r="K11" i="76"/>
  <c r="N11" i="76"/>
  <c r="L11" i="76" s="1"/>
  <c r="K10" i="76"/>
  <c r="C81" i="9"/>
  <c r="C97" i="9"/>
  <c r="D58" i="9" s="1"/>
  <c r="D56" i="9" s="1"/>
  <c r="M54" i="9" s="1"/>
  <c r="N57" i="9" s="1"/>
  <c r="N13" i="76" l="1"/>
  <c r="L13" i="76" s="1"/>
  <c r="M14" i="76"/>
  <c r="K13" i="76"/>
  <c r="K14" i="76" s="1"/>
  <c r="P57" i="9"/>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<sst xmlns="http://schemas.openxmlformats.org/spreadsheetml/2006/main" count="9720" uniqueCount="3603">
  <si>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</si>
  <si>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</si>
  <si>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</si>
  <si>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</si>
  <si>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</si>
  <si>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</si>
  <si>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</si>
  <si>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</si>
  <si>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</si>
  <si>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</si>
  <si>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</si>
  <si>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</si>
  <si>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</si>
  <si>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</si>
  <si>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</si>
  <si>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</si>
  <si>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</si>
  <si>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</si>
  <si>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</si>
  <si>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</si>
  <si>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</si>
  <si>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</si>
  <si>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</si>
  <si>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</si>
  <si>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</si>
  <si>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</si>
  <si>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</si>
  <si>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</si>
  <si>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</si>
  <si>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</si>
  <si>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</si>
  <si>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</si>
  <si>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</si>
  <si>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</si>
  <si>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</si>
  <si>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</si>
  <si>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</si>
  <si>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</si>
  <si>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</si>
  <si>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工业</t>
  </si>
  <si>
    <t>住宅</t>
  </si>
  <si>
    <t>否</t>
  </si>
  <si>
    <t>1-2.1</t>
  </si>
  <si>
    <t>1-2.2</t>
  </si>
  <si>
    <t>1-2.3</t>
  </si>
  <si>
    <t>1-2.4</t>
  </si>
  <si>
    <t>1-3.1</t>
  </si>
  <si>
    <t>1-3.2</t>
  </si>
  <si>
    <t>1-3.3</t>
  </si>
  <si>
    <t>1-3.4</t>
    <phoneticPr fontId="18" type="noConversion"/>
  </si>
  <si>
    <t>v</t>
    <phoneticPr fontId="18" type="noConversion"/>
  </si>
  <si>
    <t>——</t>
    <phoneticPr fontId="18" type="noConversion"/>
  </si>
  <si>
    <t>居住社区成熟度</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</si>
  <si>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</si>
  <si>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</si>
  <si>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</si>
  <si>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</si>
  <si>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</si>
  <si>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</si>
  <si>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案例B名称</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</si>
  <si>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</si>
  <si>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</si>
  <si>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</si>
  <si>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</si>
  <si>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</si>
  <si>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</si>
  <si>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</si>
  <si>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</si>
  <si>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</si>
  <si>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</si>
  <si>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</si>
  <si>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</si>
  <si>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</si>
  <si>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</si>
  <si>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</si>
  <si>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</si>
  <si>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</si>
  <si>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</si>
  <si>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</si>
  <si>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</si>
  <si>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</si>
  <si>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</si>
  <si>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</si>
  <si>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</si>
  <si>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</si>
  <si>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</si>
  <si>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</si>
  <si>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</si>
  <si>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</si>
  <si>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</si>
  <si>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</si>
  <si>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</si>
  <si>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</si>
  <si>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</si>
  <si>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</si>
  <si>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</si>
  <si>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</si>
  <si>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</si>
  <si>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</si>
  <si>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</si>
  <si>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</si>
  <si>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</si>
  <si>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土地使用年限（年）</t>
    <phoneticPr fontId="4" type="noConversion"/>
  </si>
  <si>
    <t>钢混</t>
    <phoneticPr fontId="4" type="noConversion"/>
  </si>
  <si>
    <t>比较法</t>
    <phoneticPr fontId="4" type="noConversion"/>
  </si>
  <si>
    <t>区域土地利用方向</t>
    <phoneticPr fontId="4" type="noConversion"/>
  </si>
  <si>
    <t>居住社区成熟度</t>
    <phoneticPr fontId="4" type="noConversion"/>
  </si>
  <si>
    <t>建筑品质</t>
    <phoneticPr fontId="4" type="noConversion"/>
  </si>
  <si>
    <t>成新度</t>
    <phoneticPr fontId="4" type="noConversion"/>
  </si>
  <si>
    <t>房型</t>
    <phoneticPr fontId="4" type="noConversion"/>
  </si>
  <si>
    <t>——</t>
    <phoneticPr fontId="18" type="noConversion"/>
  </si>
  <si>
    <t>100/</t>
    <phoneticPr fontId="4" type="noConversion"/>
  </si>
  <si>
    <t>正常</t>
    <phoneticPr fontId="35" type="noConversion"/>
  </si>
  <si>
    <t>系数%</t>
    <phoneticPr fontId="4" type="noConversion"/>
  </si>
  <si>
    <t>官方公布的价格指数/增幅</t>
    <phoneticPr fontId="35" type="noConversion"/>
  </si>
  <si>
    <t>经营性</t>
  </si>
  <si>
    <t>面积</t>
    <phoneticPr fontId="9" type="noConversion"/>
  </si>
  <si>
    <t>单价</t>
    <phoneticPr fontId="9" type="noConversion"/>
  </si>
  <si>
    <t>总值</t>
    <phoneticPr fontId="9" type="noConversion"/>
  </si>
  <si>
    <t>建筑类型</t>
    <phoneticPr fontId="4" type="noConversion"/>
  </si>
  <si>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</si>
  <si>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</si>
  <si>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</si>
  <si>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</si>
  <si>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</si>
  <si>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</si>
  <si>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</si>
  <si>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</si>
  <si>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</si>
  <si>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</si>
  <si>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</si>
  <si>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</si>
  <si>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</si>
  <si>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</si>
  <si>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</si>
  <si>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</si>
  <si>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</si>
  <si>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</si>
  <si>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</si>
  <si>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</si>
  <si>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</si>
  <si>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</si>
  <si>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</si>
  <si>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</si>
  <si>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</si>
  <si>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</si>
  <si>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无</t>
  </si>
  <si>
    <t>产业集聚程度</t>
    <phoneticPr fontId="46" type="noConversion"/>
  </si>
  <si>
    <t>内部装修维护状况</t>
    <phoneticPr fontId="4" type="noConversion"/>
  </si>
  <si>
    <t>土地级别</t>
    <phoneticPr fontId="46" type="noConversion"/>
  </si>
  <si>
    <t>自然及人文环境状况</t>
    <phoneticPr fontId="4" type="noConversion"/>
  </si>
  <si>
    <t>正常</t>
  </si>
  <si>
    <t>-</t>
    <phoneticPr fontId="46" type="noConversion"/>
  </si>
  <si>
    <t>-</t>
    <phoneticPr fontId="46" type="noConversion"/>
  </si>
  <si>
    <t>楼面地价</t>
  </si>
  <si>
    <t>产业集聚程度</t>
    <phoneticPr fontId="4" type="noConversion"/>
  </si>
  <si>
    <t>配建</t>
    <phoneticPr fontId="46"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</si>
  <si>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</si>
  <si>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</si>
  <si>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</si>
  <si>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</si>
  <si>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</si>
  <si>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</si>
  <si>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</si>
  <si>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</si>
  <si>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</si>
  <si>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</si>
  <si>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</si>
  <si>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</si>
  <si>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</si>
  <si>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</si>
  <si>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</si>
  <si>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</si>
  <si>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</si>
  <si>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</si>
  <si>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</si>
  <si>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</si>
  <si>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</si>
  <si>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</si>
  <si>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</si>
  <si>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</si>
  <si>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</si>
  <si>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</si>
  <si>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</si>
  <si>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</si>
  <si>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</si>
  <si>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</si>
  <si>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</si>
  <si>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</si>
  <si>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</si>
  <si>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</si>
  <si>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</si>
  <si>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</si>
  <si>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</si>
  <si>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</si>
  <si>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</si>
  <si>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</si>
  <si>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</si>
  <si>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</si>
  <si>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</si>
  <si>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</si>
  <si>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</si>
  <si>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</si>
  <si>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</si>
  <si>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</si>
  <si>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</si>
  <si>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</si>
  <si>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</si>
  <si>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</si>
  <si>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</si>
  <si>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</si>
  <si>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</si>
  <si>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</si>
  <si>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</si>
  <si>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</si>
  <si>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</si>
  <si>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</si>
  <si>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</si>
  <si>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</si>
  <si>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</si>
  <si>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</si>
  <si>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</si>
  <si>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</si>
  <si>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</si>
  <si>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</si>
  <si>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</si>
  <si>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</si>
  <si>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</si>
  <si>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</si>
  <si>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</si>
  <si>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</si>
  <si>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</si>
  <si>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</si>
  <si>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</si>
  <si>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</si>
  <si>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</si>
  <si>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</si>
  <si>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</si>
  <si>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</si>
  <si>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</si>
  <si>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</si>
  <si>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</si>
  <si>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</si>
  <si>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</si>
  <si>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</si>
  <si>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</si>
  <si>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</si>
  <si>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</si>
  <si>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</si>
  <si>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</si>
  <si>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</si>
  <si>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</si>
  <si>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</si>
  <si>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</si>
  <si>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</si>
  <si>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</si>
  <si>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</si>
  <si>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</si>
  <si>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</si>
  <si>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</si>
  <si>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</si>
  <si>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</si>
  <si>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</si>
  <si>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</si>
  <si>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</si>
  <si>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</si>
  <si>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</si>
  <si>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</si>
  <si>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</si>
  <si>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</si>
  <si>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</si>
  <si>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</si>
  <si>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</si>
  <si>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</si>
  <si>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</si>
  <si>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</si>
  <si>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</si>
  <si>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</si>
  <si>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</si>
  <si>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</si>
  <si>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</si>
  <si>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</si>
  <si>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</si>
  <si>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</si>
  <si>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</si>
  <si>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</si>
  <si>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</si>
  <si>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</si>
  <si>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</si>
  <si>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</si>
  <si>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</si>
  <si>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</si>
  <si>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</si>
  <si>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</si>
  <si>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</si>
  <si>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</si>
  <si>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</si>
  <si>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</si>
  <si>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</si>
  <si>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</si>
  <si>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</si>
  <si>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</si>
  <si>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</si>
  <si>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</si>
  <si>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</si>
  <si>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</si>
  <si>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</si>
  <si>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</si>
  <si>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</si>
  <si>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</si>
  <si>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</si>
  <si>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</si>
  <si>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</si>
  <si>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</si>
  <si>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</si>
  <si>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</si>
  <si>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</si>
  <si>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</si>
  <si>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</si>
  <si>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</si>
  <si>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</si>
  <si>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</si>
  <si>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</si>
  <si>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</si>
  <si>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</si>
  <si>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</si>
  <si>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</si>
  <si>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</si>
  <si>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</si>
  <si>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</si>
  <si>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</si>
  <si>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</si>
  <si>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</si>
  <si>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</si>
  <si>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</si>
  <si>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</si>
  <si>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</si>
  <si>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</si>
  <si>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</si>
  <si>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</si>
  <si>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</si>
  <si>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</si>
  <si>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</si>
  <si>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</si>
  <si>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</si>
  <si>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</si>
  <si>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</si>
  <si>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</si>
  <si>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</si>
  <si>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</si>
  <si>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</si>
  <si>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</si>
  <si>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</si>
  <si>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</si>
  <si>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</si>
  <si>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</si>
  <si>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</si>
  <si>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</si>
  <si>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</si>
  <si>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</si>
  <si>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</si>
  <si>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</si>
  <si>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</si>
  <si>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</si>
  <si>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</si>
  <si>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</si>
  <si>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</si>
  <si>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</si>
  <si>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</si>
  <si>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</si>
  <si>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</si>
  <si>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</si>
  <si>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</si>
  <si>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</si>
  <si>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</si>
  <si>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</si>
  <si>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</si>
  <si>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</si>
  <si>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</si>
  <si>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</si>
  <si>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</si>
  <si>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</si>
  <si>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</si>
  <si>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</si>
  <si>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</si>
  <si>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</si>
  <si>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</si>
  <si>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</si>
  <si>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</si>
  <si>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</si>
  <si>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</si>
  <si>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</si>
  <si>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</si>
  <si>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</si>
  <si>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</si>
  <si>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</si>
  <si>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</si>
  <si>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</si>
  <si>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</si>
  <si>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</si>
  <si>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</si>
  <si>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</si>
  <si>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</si>
  <si>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</si>
  <si>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</si>
  <si>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</si>
  <si>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</si>
  <si>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</si>
  <si>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</si>
  <si>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</si>
  <si>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</si>
  <si>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</si>
  <si>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</si>
  <si>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</si>
  <si>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</si>
  <si>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</si>
  <si>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</si>
  <si>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</si>
  <si>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</si>
  <si>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</si>
  <si>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</si>
  <si>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</si>
  <si>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</si>
  <si>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</si>
  <si>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</si>
  <si>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</si>
  <si>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</si>
  <si>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</si>
  <si>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</si>
  <si>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</si>
  <si>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</si>
  <si>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</si>
  <si>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6" type="noConversion"/>
  </si>
  <si>
    <r>
      <rPr>
        <sz val="11"/>
        <color indexed="8"/>
        <rFont val="楷体_GB2312"/>
        <family val="3"/>
        <charset val="134"/>
      </rPr>
      <t>临街状况</t>
    </r>
    <phoneticPr fontId="46"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</si>
  <si>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</si>
  <si>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</si>
  <si>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</si>
  <si>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</si>
  <si>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</si>
  <si>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</si>
  <si>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b/>
        <sz val="16"/>
        <rFont val="宋体"/>
        <family val="3"/>
        <charset val="134"/>
      </rPr>
      <t>─</t>
    </r>
    <phoneticPr fontId="35"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</si>
  <si>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</si>
  <si>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</si>
  <si>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</si>
  <si>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</si>
  <si>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</si>
  <si>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</si>
  <si>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</si>
  <si>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</si>
  <si>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</si>
  <si>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</si>
  <si>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</si>
  <si>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</si>
  <si>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</si>
  <si>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</si>
  <si>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color indexed="8"/>
        <rFont val="楷体_GB2312"/>
        <family val="3"/>
        <charset val="134"/>
      </rPr>
      <t>配套类型</t>
    </r>
    <phoneticPr fontId="46" type="noConversion"/>
  </si>
  <si>
    <r>
      <rPr>
        <sz val="11"/>
        <color indexed="8"/>
        <rFont val="楷体_GB2312"/>
        <family val="3"/>
        <charset val="134"/>
      </rPr>
      <t>项目停车位配比</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</si>
  <si>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</si>
  <si>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</si>
  <si>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</si>
  <si>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</si>
  <si>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</si>
  <si>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color indexed="8"/>
        <rFont val="楷体_GB2312"/>
        <family val="3"/>
        <charset val="134"/>
      </rPr>
      <t>是否直接入户</t>
    </r>
    <phoneticPr fontId="46"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</si>
  <si>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</si>
  <si>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</si>
  <si>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</si>
  <si>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</si>
  <si>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</si>
  <si>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</si>
  <si>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</si>
  <si>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</si>
  <si>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</si>
  <si>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</si>
  <si>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</si>
  <si>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</si>
  <si>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</si>
  <si>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</si>
  <si>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</si>
  <si>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</si>
  <si>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</si>
  <si>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</si>
  <si>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</si>
  <si>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</si>
  <si>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</si>
  <si>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</si>
  <si>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</si>
  <si>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</si>
  <si>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</si>
  <si>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</si>
  <si>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</si>
  <si>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</si>
  <si>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</si>
  <si>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</si>
  <si>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</si>
  <si>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</si>
  <si>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</si>
  <si>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</si>
  <si>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</si>
  <si>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</si>
  <si>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</si>
  <si>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</si>
  <si>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</si>
  <si>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</si>
  <si>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</si>
  <si>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</si>
  <si>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</si>
  <si>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</si>
  <si>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</si>
  <si>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</si>
  <si>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</si>
  <si>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</si>
  <si>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</si>
  <si>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</si>
  <si>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</si>
  <si>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</si>
  <si>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</si>
  <si>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rPr>
        <sz val="11"/>
        <rFont val="楷体_GB2312"/>
        <family val="3"/>
        <charset val="134"/>
      </rPr>
      <t>实物状况</t>
    </r>
    <phoneticPr fontId="4" type="noConversion"/>
  </si>
  <si>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</si>
  <si>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</si>
  <si>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</si>
  <si>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</si>
  <si>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</si>
  <si>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</si>
  <si>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</si>
  <si>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</si>
  <si>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</si>
  <si>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</si>
  <si>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</si>
  <si>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</si>
  <si>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</si>
  <si>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</si>
  <si>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</si>
  <si>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</si>
  <si>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</si>
  <si>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</si>
  <si>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</si>
  <si>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</si>
  <si>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</si>
  <si>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</si>
  <si>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</si>
  <si>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</si>
  <si>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</si>
  <si>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</si>
  <si>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</si>
  <si>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</si>
  <si>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</si>
  <si>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</si>
  <si>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</si>
  <si>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</si>
  <si>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</si>
  <si>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</si>
  <si>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</si>
  <si>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</si>
  <si>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</si>
  <si>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</si>
  <si>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</si>
  <si>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</si>
  <si>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</si>
  <si>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</si>
  <si>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</si>
  <si>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</si>
  <si>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</si>
  <si>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</si>
  <si>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</si>
  <si>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</si>
  <si>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</si>
  <si>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</si>
  <si>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</si>
  <si>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</si>
  <si>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</si>
  <si>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</si>
  <si>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</si>
  <si>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</si>
  <si>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</si>
  <si>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</si>
  <si>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</si>
  <si>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</si>
  <si>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</si>
  <si>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</si>
  <si>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</si>
  <si>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</si>
  <si>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</si>
  <si>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</si>
  <si>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</si>
  <si>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</si>
  <si>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</si>
  <si>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</si>
  <si>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</si>
  <si>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</si>
  <si>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</si>
  <si>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</si>
  <si>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</si>
  <si>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</si>
  <si>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</si>
  <si>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</si>
  <si>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</si>
  <si>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</si>
  <si>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</si>
  <si>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</si>
  <si>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</si>
  <si>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</si>
  <si>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</si>
  <si>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</si>
  <si>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</si>
  <si>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</si>
  <si>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</si>
  <si>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</si>
  <si>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</si>
  <si>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</si>
  <si>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</si>
  <si>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</si>
  <si>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</si>
  <si>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</si>
  <si>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</si>
  <si>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</si>
  <si>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</si>
  <si>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</si>
  <si>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</si>
  <si>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</si>
  <si>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</si>
  <si>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</si>
  <si>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</si>
  <si>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</si>
  <si>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</si>
  <si>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</si>
  <si>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</si>
  <si>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</si>
  <si>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</si>
  <si>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</si>
  <si>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</si>
  <si>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</si>
  <si>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</si>
  <si>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</si>
  <si>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</si>
  <si>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</si>
  <si>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</si>
  <si>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</si>
  <si>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</si>
  <si>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</si>
  <si>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</si>
  <si>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</si>
  <si>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</si>
  <si>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</si>
  <si>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</si>
  <si>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</si>
  <si>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</si>
  <si>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</si>
  <si>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</si>
  <si>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</si>
  <si>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</si>
  <si>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</si>
  <si>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</si>
  <si>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</si>
  <si>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</si>
  <si>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</si>
  <si>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</si>
  <si>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</si>
  <si>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</si>
  <si>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</si>
  <si>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</si>
  <si>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</si>
  <si>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</si>
  <si>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</si>
  <si>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</si>
  <si>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</si>
  <si>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</si>
  <si>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</si>
  <si>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</si>
  <si>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</si>
  <si>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</si>
  <si>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</si>
  <si>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</si>
  <si>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</si>
  <si>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</si>
  <si>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</si>
  <si>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</si>
  <si>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</si>
  <si>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</si>
  <si>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</si>
  <si>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</si>
  <si>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</si>
  <si>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</si>
  <si>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</si>
  <si>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</si>
  <si>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</si>
  <si>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</si>
  <si>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</si>
  <si>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</si>
  <si>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</si>
  <si>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</si>
  <si>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</si>
  <si>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</si>
  <si>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</si>
  <si>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</si>
  <si>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</si>
  <si>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</si>
  <si>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</si>
  <si>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</si>
  <si>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</si>
  <si>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</si>
  <si>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</si>
  <si>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</si>
  <si>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</si>
  <si>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</si>
  <si>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</si>
  <si>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</si>
  <si>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</si>
  <si>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</si>
  <si>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</si>
  <si>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</si>
  <si>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</si>
  <si>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</si>
  <si>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</si>
  <si>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非住宅项目及用公共配套计算实为0</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</si>
  <si>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</si>
  <si>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</si>
  <si>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</si>
  <si>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</si>
  <si>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</si>
  <si>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</si>
  <si>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</si>
  <si>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</si>
  <si>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</si>
  <si>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</si>
  <si>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</si>
  <si>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</si>
  <si>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</si>
  <si>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</si>
  <si>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</si>
  <si>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</si>
  <si>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</si>
  <si>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</si>
  <si>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3" type="noConversion"/>
  </si>
  <si>
    <t>环境状况</t>
    <phoneticPr fontId="43" type="noConversion"/>
  </si>
  <si>
    <t>区域自然环境：；人文环境；综合评价环境状况一般</t>
    <phoneticPr fontId="63" type="noConversion"/>
  </si>
  <si>
    <t>毗邻道路的类型与等级</t>
    <phoneticPr fontId="4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</si>
  <si>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</si>
  <si>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</si>
  <si>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</si>
  <si>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</si>
  <si>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</si>
  <si>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</si>
  <si>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</si>
  <si>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</si>
  <si>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</si>
  <si>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</si>
  <si>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</si>
  <si>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</si>
  <si>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房地产修正因素</t>
    <phoneticPr fontId="4" type="noConversion"/>
  </si>
  <si>
    <t>住宅、办公及商业</t>
    <phoneticPr fontId="42" type="noConversion"/>
  </si>
  <si>
    <t>工业</t>
    <phoneticPr fontId="42" type="noConversion"/>
  </si>
  <si>
    <t>区位状况</t>
    <phoneticPr fontId="35" type="noConversion"/>
  </si>
  <si>
    <t>估价对象周边居住用地比例、居住小区规模和社区发展完善程度，综合评价居住社区成熟度一般</t>
    <phoneticPr fontId="63" type="noConversion"/>
  </si>
  <si>
    <t>商业繁华度</t>
    <phoneticPr fontId="43"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</si>
  <si>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</si>
  <si>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</si>
  <si>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</si>
  <si>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</si>
  <si>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</si>
  <si>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</si>
  <si>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</si>
  <si>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</si>
  <si>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</si>
  <si>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</si>
  <si>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</si>
  <si>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</si>
  <si>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</si>
  <si>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</si>
  <si>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</si>
  <si>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</si>
  <si>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</si>
  <si>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</si>
  <si>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</si>
  <si>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</si>
  <si>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</si>
  <si>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</si>
  <si>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</si>
  <si>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</si>
  <si>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</si>
  <si>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</si>
  <si>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</si>
  <si>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</si>
  <si>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</si>
  <si>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(分摊)土地面积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</si>
  <si>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</si>
  <si>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</si>
  <si>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</si>
  <si>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</si>
  <si>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</si>
  <si>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</si>
  <si>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</si>
  <si>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</si>
  <si>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</si>
  <si>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</si>
  <si>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</si>
  <si>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</si>
  <si>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</si>
  <si>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</si>
  <si>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</si>
  <si>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</si>
  <si>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</si>
  <si>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</si>
  <si>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</si>
  <si>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</si>
  <si>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</si>
  <si>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</si>
  <si>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</si>
  <si>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</si>
  <si>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</si>
  <si>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</si>
  <si>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</si>
  <si>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</si>
  <si>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</si>
  <si>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</si>
  <si>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</si>
  <si>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</si>
  <si>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</si>
  <si>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</si>
  <si>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</si>
  <si>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</si>
  <si>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</si>
  <si>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</si>
  <si>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</si>
  <si>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</si>
  <si>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</si>
  <si>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</si>
  <si>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</si>
  <si>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</si>
  <si>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</si>
  <si>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</si>
  <si>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</si>
  <si>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</si>
  <si>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</si>
  <si>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</si>
  <si>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</si>
  <si>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</si>
  <si>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</si>
  <si>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</si>
  <si>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</si>
  <si>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</si>
  <si>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</si>
  <si>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</si>
  <si>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</si>
  <si>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</si>
  <si>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</si>
  <si>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</si>
  <si>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</si>
  <si>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</si>
  <si>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</si>
  <si>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</si>
  <si>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</si>
  <si>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</si>
  <si>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</si>
  <si>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</si>
  <si>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</si>
  <si>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</si>
  <si>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</si>
  <si>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</si>
  <si>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</si>
  <si>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</si>
  <si>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</si>
  <si>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</si>
  <si>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</si>
  <si>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</si>
  <si>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</si>
  <si>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</si>
  <si>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</si>
  <si>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</si>
  <si>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</si>
  <si>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</si>
  <si>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</si>
  <si>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</si>
  <si>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</si>
  <si>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</si>
  <si>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</si>
  <si>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</si>
  <si>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</si>
  <si>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</si>
  <si>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</si>
  <si>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</si>
  <si>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</si>
  <si>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</si>
  <si>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</si>
  <si>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</si>
  <si>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</si>
  <si>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</si>
  <si>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</si>
  <si>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</si>
  <si>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</si>
  <si>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</si>
  <si>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</si>
  <si>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</si>
  <si>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</si>
  <si>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</si>
  <si>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</si>
  <si>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</si>
  <si>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</si>
  <si>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</si>
  <si>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</si>
  <si>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</si>
  <si>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</si>
  <si>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</si>
  <si>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</si>
  <si>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</si>
  <si>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</si>
  <si>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</si>
  <si>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</si>
  <si>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</si>
  <si>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</si>
  <si>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</si>
  <si>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</si>
  <si>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</si>
  <si>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</si>
  <si>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</si>
  <si>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</si>
  <si>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</si>
  <si>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</si>
  <si>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</si>
  <si>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</si>
  <si>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</si>
  <si>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</si>
  <si>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</si>
  <si>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</si>
  <si>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</si>
  <si>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</si>
  <si>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</si>
  <si>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</si>
  <si>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</si>
  <si>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</si>
  <si>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</si>
  <si>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</si>
  <si>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</si>
  <si>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</si>
  <si>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</si>
  <si>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</si>
  <si>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</si>
  <si>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</si>
  <si>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</si>
  <si>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</si>
  <si>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</si>
  <si>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</si>
  <si>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</si>
  <si>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</si>
  <si>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</si>
  <si>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</si>
  <si>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</si>
  <si>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</si>
  <si>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</si>
  <si>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</si>
  <si>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</si>
  <si>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</si>
  <si>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</si>
  <si>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</si>
  <si>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</si>
  <si>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</si>
  <si>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</si>
  <si>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</si>
  <si>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</si>
  <si>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</si>
  <si>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</si>
  <si>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</si>
  <si>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</si>
  <si>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</si>
  <si>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</si>
  <si>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</si>
  <si>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</si>
  <si>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</si>
  <si>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</si>
  <si>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</si>
  <si>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</si>
  <si>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</si>
  <si>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</si>
  <si>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</si>
  <si>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</si>
  <si>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</si>
  <si>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</si>
  <si>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</si>
  <si>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</si>
  <si>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</si>
  <si>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</si>
  <si>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</si>
  <si>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</si>
  <si>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</si>
  <si>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</si>
  <si>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</si>
  <si>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</si>
  <si>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</si>
  <si>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</si>
  <si>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</si>
  <si>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</si>
  <si>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</si>
  <si>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</si>
  <si>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</si>
  <si>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</si>
  <si>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</si>
  <si>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</si>
  <si>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</si>
  <si>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</si>
  <si>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</si>
  <si>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</si>
  <si>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</si>
  <si>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</si>
  <si>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</si>
  <si>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</si>
  <si>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</si>
  <si>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</si>
  <si>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</si>
  <si>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</si>
  <si>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</si>
  <si>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</si>
  <si>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</si>
  <si>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</si>
  <si>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</si>
  <si>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</si>
  <si>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</si>
  <si>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</si>
  <si>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</si>
  <si>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</si>
  <si>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</si>
  <si>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</si>
  <si>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</si>
  <si>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</si>
  <si>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</si>
  <si>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</si>
  <si>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</si>
  <si>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</si>
  <si>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</si>
  <si>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</si>
  <si>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</si>
  <si>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</si>
  <si>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</si>
  <si>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</si>
  <si>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</si>
  <si>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</si>
  <si>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</si>
  <si>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</si>
  <si>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</si>
  <si>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</si>
  <si>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</si>
  <si>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</si>
  <si>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</si>
  <si>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</si>
  <si>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</si>
  <si>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</si>
  <si>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</si>
  <si>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</si>
  <si>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</si>
  <si>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</si>
  <si>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</si>
  <si>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</si>
  <si>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</si>
  <si>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</si>
  <si>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</si>
  <si>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</si>
  <si>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</si>
  <si>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</si>
  <si>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</si>
  <si>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</si>
  <si>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</si>
  <si>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</si>
  <si>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</si>
  <si>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</si>
  <si>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</si>
  <si>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</si>
  <si>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</si>
  <si>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</si>
  <si>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</si>
  <si>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</si>
  <si>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</si>
  <si>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</si>
  <si>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</si>
  <si>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</si>
  <si>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</si>
  <si>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</si>
  <si>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</si>
  <si>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</si>
  <si>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</si>
  <si>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系数%</t>
    <phoneticPr fontId="4" type="noConversion"/>
  </si>
  <si>
    <t>交易时间</t>
    <phoneticPr fontId="4" type="noConversion"/>
  </si>
  <si>
    <t>交易情况</t>
    <phoneticPr fontId="4" type="noConversion"/>
  </si>
  <si>
    <t>正常</t>
    <phoneticPr fontId="35"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</si>
  <si>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</si>
  <si>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</si>
  <si>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</si>
  <si>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</si>
  <si>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</si>
  <si>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</si>
  <si>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</si>
  <si>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</si>
  <si>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</si>
  <si>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</si>
  <si>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</si>
  <si>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</si>
  <si>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</si>
  <si>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</si>
  <si>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</si>
  <si>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</si>
  <si>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</si>
  <si>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</si>
  <si>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</si>
  <si>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</si>
  <si>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</si>
  <si>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</si>
  <si>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</si>
  <si>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</si>
  <si>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</si>
  <si>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</si>
  <si>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</si>
  <si>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</si>
  <si>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</si>
  <si>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</si>
  <si>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</si>
  <si>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</si>
  <si>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</si>
  <si>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</si>
  <si>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</si>
  <si>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</si>
  <si>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</si>
  <si>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</si>
  <si>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</si>
  <si>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</si>
  <si>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</si>
  <si>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</si>
  <si>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</si>
  <si>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</si>
  <si>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</si>
  <si>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非个人房产</t>
  </si>
  <si>
    <t>自行开发建设</t>
  </si>
  <si>
    <t>锁定项</t>
    <phoneticPr fontId="4" type="noConversion"/>
  </si>
  <si>
    <t>定义</t>
    <phoneticPr fontId="4" type="noConversion"/>
  </si>
  <si>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</si>
  <si>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</si>
  <si>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</si>
  <si>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</si>
  <si>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</si>
  <si>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</si>
  <si>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</si>
  <si>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</si>
  <si>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</si>
  <si>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</si>
  <si>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</si>
  <si>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</si>
  <si>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</si>
  <si>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</si>
  <si>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</si>
  <si>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</si>
  <si>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</si>
  <si>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</si>
  <si>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</si>
  <si>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</si>
  <si>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</si>
  <si>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</si>
  <si>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</si>
  <si>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</si>
  <si>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</si>
  <si>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</si>
  <si>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</si>
  <si>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</si>
  <si>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</si>
  <si>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</si>
  <si>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</si>
  <si>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</si>
  <si>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</si>
  <si>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</si>
  <si>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</si>
  <si>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</si>
  <si>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</si>
  <si>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</si>
  <si>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</si>
  <si>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</si>
  <si>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</si>
  <si>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</si>
  <si>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</si>
  <si>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</si>
  <si>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</si>
  <si>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</si>
  <si>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</si>
  <si>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</si>
  <si>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</si>
  <si>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</si>
  <si>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</si>
  <si>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</si>
  <si>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</si>
  <si>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</si>
  <si>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</si>
  <si>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</si>
  <si>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</si>
  <si>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</si>
  <si>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</si>
  <si>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</si>
  <si>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</si>
  <si>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</si>
  <si>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</si>
  <si>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</si>
  <si>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</si>
  <si>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</si>
  <si>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</si>
  <si>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</si>
  <si>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</si>
  <si>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</si>
  <si>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</si>
  <si>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</si>
  <si>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</si>
  <si>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</si>
  <si>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</si>
  <si>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</si>
  <si>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</si>
  <si>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</si>
  <si>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</si>
  <si>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</si>
  <si>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</si>
  <si>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</si>
  <si>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</si>
  <si>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</si>
  <si>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</si>
  <si>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</si>
  <si>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</si>
  <si>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</si>
  <si>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</si>
  <si>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</si>
  <si>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</si>
  <si>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</si>
  <si>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</si>
  <si>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</si>
  <si>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</si>
  <si>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</si>
  <si>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</si>
  <si>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</si>
  <si>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</si>
  <si>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</si>
  <si>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</si>
  <si>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</si>
  <si>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</si>
  <si>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</si>
  <si>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</si>
  <si>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</si>
  <si>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</si>
  <si>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</si>
  <si>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</si>
  <si>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</si>
  <si>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</si>
  <si>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</si>
  <si>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</si>
  <si>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</si>
  <si>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</si>
  <si>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</si>
  <si>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</si>
  <si>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</si>
  <si>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</si>
  <si>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</si>
  <si>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</si>
  <si>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</si>
  <si>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</si>
  <si>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</si>
  <si>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</si>
  <si>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</si>
  <si>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</si>
  <si>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</si>
  <si>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</si>
  <si>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</si>
  <si>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</si>
  <si>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</si>
  <si>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</si>
  <si>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</si>
  <si>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</si>
  <si>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</si>
  <si>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</si>
  <si>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</si>
  <si>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</si>
  <si>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</si>
  <si>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</si>
  <si>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</si>
  <si>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</si>
  <si>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</si>
  <si>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</si>
  <si>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</si>
  <si>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</si>
  <si>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</si>
  <si>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</si>
  <si>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</si>
  <si>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</si>
  <si>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</si>
  <si>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</si>
  <si>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</si>
  <si>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</si>
  <si>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</si>
  <si>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</si>
  <si>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</si>
  <si>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</si>
  <si>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</si>
  <si>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</si>
  <si>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</si>
  <si>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</si>
  <si>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</si>
  <si>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</si>
  <si>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</si>
  <si>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</si>
  <si>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</si>
  <si>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</si>
  <si>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</si>
  <si>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</si>
  <si>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</si>
  <si>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</si>
  <si>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</si>
  <si>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</si>
  <si>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</si>
  <si>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</si>
  <si>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</si>
  <si>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</si>
  <si>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</si>
  <si>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</si>
  <si>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</si>
  <si>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</si>
  <si>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</si>
  <si>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</si>
  <si>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</si>
  <si>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</si>
  <si>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</si>
  <si>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</si>
  <si>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</si>
  <si>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</si>
  <si>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</si>
  <si>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</si>
  <si>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</si>
  <si>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</si>
  <si>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</si>
  <si>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</si>
  <si>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</si>
  <si>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</si>
  <si>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</si>
  <si>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</si>
  <si>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</si>
  <si>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</si>
  <si>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</si>
  <si>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</si>
  <si>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</si>
  <si>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</si>
  <si>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</si>
  <si>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</si>
  <si>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</si>
  <si>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</si>
  <si>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</si>
  <si>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</si>
  <si>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</si>
  <si>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</si>
  <si>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</si>
  <si>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</si>
  <si>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</si>
  <si>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</si>
  <si>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</si>
  <si>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</si>
  <si>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</si>
  <si>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</si>
  <si>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</si>
  <si>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</si>
  <si>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</si>
  <si>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</si>
  <si>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</si>
  <si>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</si>
  <si>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</si>
  <si>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</si>
  <si>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</si>
  <si>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</si>
  <si>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</si>
  <si>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</si>
  <si>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</si>
  <si>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</si>
  <si>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</si>
  <si>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</si>
  <si>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</si>
  <si>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</si>
  <si>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</si>
  <si>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</si>
  <si>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</si>
  <si>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</si>
  <si>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</si>
  <si>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</si>
  <si>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</si>
  <si>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</si>
  <si>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</si>
  <si>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</si>
  <si>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</si>
  <si>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</si>
  <si>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</si>
  <si>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</si>
  <si>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</si>
  <si>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</si>
  <si>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</si>
  <si>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</si>
  <si>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</si>
  <si>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</si>
  <si>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</si>
  <si>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</si>
  <si>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</si>
  <si>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</si>
  <si>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</si>
  <si>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</si>
  <si>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</si>
  <si>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</si>
  <si>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</si>
  <si>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</si>
  <si>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</si>
  <si>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</si>
  <si>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</si>
  <si>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</si>
  <si>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</si>
  <si>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</si>
  <si>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</si>
  <si>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</si>
  <si>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</si>
  <si>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</si>
  <si>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</si>
  <si>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</si>
  <si>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</si>
  <si>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</si>
  <si>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</si>
  <si>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</si>
  <si>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</si>
  <si>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</si>
  <si>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</si>
  <si>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</si>
  <si>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</si>
  <si>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</si>
  <si>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</si>
  <si>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</si>
  <si>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</si>
  <si>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</si>
  <si>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</si>
  <si>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</si>
  <si>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</si>
  <si>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</si>
  <si>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</si>
  <si>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</si>
  <si>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</si>
  <si>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</si>
  <si>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</si>
  <si>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</si>
  <si>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</si>
  <si>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</si>
  <si>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</si>
  <si>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</si>
  <si>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</si>
  <si>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</si>
  <si>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</si>
  <si>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</si>
  <si>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</si>
  <si>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</si>
  <si>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</si>
  <si>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</si>
  <si>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</si>
  <si>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</si>
  <si>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</si>
  <si>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</si>
  <si>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</si>
  <si>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</si>
  <si>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</si>
  <si>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</si>
  <si>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</si>
  <si>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</si>
  <si>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</si>
  <si>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</si>
  <si>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</si>
  <si>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</si>
  <si>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</si>
  <si>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</si>
  <si>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</si>
  <si>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</si>
  <si>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</si>
  <si>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</si>
  <si>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</si>
  <si>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</si>
  <si>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</si>
  <si>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</si>
  <si>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</si>
  <si>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</si>
  <si>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</si>
  <si>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</si>
  <si>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</si>
  <si>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</si>
  <si>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</si>
  <si>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</si>
  <si>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</si>
  <si>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</si>
  <si>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</si>
  <si>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</si>
  <si>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</si>
  <si>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</si>
  <si>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</si>
  <si>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</si>
  <si>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</si>
  <si>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</si>
  <si>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</si>
  <si>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</si>
  <si>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</si>
  <si>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</si>
  <si>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</si>
  <si>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</si>
  <si>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</si>
  <si>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</si>
  <si>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</si>
  <si>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</si>
  <si>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</si>
  <si>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</si>
  <si>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</si>
  <si>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</si>
  <si>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</si>
  <si>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</si>
  <si>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</si>
  <si>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</si>
  <si>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</si>
  <si>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</si>
  <si>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</si>
  <si>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</si>
  <si>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</si>
  <si>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</si>
  <si>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</si>
  <si>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</si>
  <si>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</si>
  <si>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</si>
  <si>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</si>
  <si>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</si>
  <si>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</si>
  <si>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</si>
  <si>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</si>
  <si>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</si>
  <si>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</si>
  <si>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</si>
  <si>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</si>
  <si>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</si>
  <si>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</si>
  <si>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</si>
  <si>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</si>
  <si>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</si>
  <si>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</si>
  <si>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</si>
  <si>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</si>
  <si>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</si>
  <si>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</si>
  <si>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</si>
  <si>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</si>
  <si>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</si>
  <si>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</si>
  <si>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</si>
  <si>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</si>
  <si>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</si>
  <si>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</si>
  <si>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</si>
  <si>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</si>
  <si>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</si>
  <si>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</si>
  <si>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</si>
  <si>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</si>
  <si>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</si>
  <si>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</si>
  <si>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</si>
  <si>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</si>
  <si>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</si>
  <si>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</si>
  <si>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</si>
  <si>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</si>
  <si>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</si>
  <si>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</si>
  <si>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</si>
  <si>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</si>
  <si>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</si>
  <si>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</si>
  <si>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</si>
  <si>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</si>
  <si>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</si>
  <si>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</si>
  <si>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</si>
  <si>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</si>
  <si>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</si>
  <si>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</si>
  <si>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</si>
  <si>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</si>
  <si>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</si>
  <si>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</si>
  <si>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</si>
  <si>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</si>
  <si>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</si>
  <si>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</si>
  <si>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</si>
  <si>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</si>
  <si>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</si>
  <si>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</si>
  <si>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</si>
  <si>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</si>
  <si>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</si>
  <si>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</si>
  <si>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</si>
  <si>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</si>
  <si>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</si>
  <si>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</si>
  <si>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</si>
  <si>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</si>
  <si>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</si>
  <si>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</si>
  <si>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</si>
  <si>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</si>
  <si>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</si>
  <si>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</si>
  <si>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</si>
  <si>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</si>
  <si>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</si>
  <si>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</si>
  <si>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</si>
  <si>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</si>
  <si>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</si>
  <si>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</si>
  <si>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</si>
  <si>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</si>
  <si>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</si>
  <si>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</si>
  <si>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</si>
  <si>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</si>
  <si>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</si>
  <si>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</si>
  <si>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</si>
  <si>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</si>
  <si>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</si>
  <si>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</si>
  <si>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</si>
  <si>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</si>
  <si>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</si>
  <si>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</si>
  <si>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</si>
  <si>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</si>
  <si>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</si>
  <si>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</si>
  <si>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</si>
  <si>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</si>
  <si>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</si>
  <si>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</si>
  <si>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</si>
  <si>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</si>
  <si>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</si>
  <si>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</si>
  <si>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</si>
  <si>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</si>
  <si>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</si>
  <si>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</si>
  <si>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</si>
  <si>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</si>
  <si>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</si>
  <si>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</si>
  <si>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</si>
  <si>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</si>
  <si>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</si>
  <si>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</si>
  <si>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</si>
  <si>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</si>
  <si>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</si>
  <si>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</si>
  <si>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</si>
  <si>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</si>
  <si>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</si>
  <si>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</si>
  <si>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</si>
  <si>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</si>
  <si>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</si>
  <si>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</si>
  <si>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</si>
  <si>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</si>
  <si>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</si>
  <si>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</si>
  <si>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</si>
  <si>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</si>
  <si>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</si>
  <si>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</si>
  <si>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</si>
  <si>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</si>
  <si>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</si>
  <si>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</si>
  <si>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</si>
  <si>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</si>
  <si>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</si>
  <si>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</si>
  <si>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</si>
  <si>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</si>
  <si>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</si>
  <si>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</si>
  <si>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</si>
  <si>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</si>
  <si>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</si>
  <si>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</si>
  <si>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</si>
  <si>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</si>
  <si>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</si>
  <si>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</si>
  <si>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</si>
  <si>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</si>
  <si>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</si>
  <si>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</si>
  <si>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</si>
  <si>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</si>
  <si>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</si>
  <si>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</si>
  <si>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</si>
  <si>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</si>
  <si>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</si>
  <si>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</si>
  <si>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</si>
  <si>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</si>
  <si>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</si>
  <si>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</si>
  <si>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</si>
  <si>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</si>
  <si>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</si>
  <si>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</si>
  <si>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</si>
  <si>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</si>
  <si>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</si>
  <si>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</si>
  <si>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</si>
  <si>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</si>
  <si>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</si>
  <si>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</si>
  <si>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</si>
  <si>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</si>
  <si>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</si>
  <si>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</si>
  <si>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</si>
  <si>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</si>
  <si>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</si>
  <si>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</si>
  <si>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</si>
  <si>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</si>
  <si>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</si>
  <si>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</si>
  <si>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</si>
  <si>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</si>
  <si>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</si>
  <si>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</si>
  <si>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</si>
  <si>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</si>
  <si>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</si>
  <si>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</si>
  <si>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</si>
  <si>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</si>
  <si>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</si>
  <si>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</si>
  <si>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</si>
  <si>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</si>
  <si>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</si>
  <si>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</si>
  <si>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</si>
  <si>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</si>
  <si>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</si>
  <si>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</si>
  <si>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</si>
  <si>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</si>
  <si>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</si>
  <si>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</si>
  <si>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</si>
  <si>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</si>
  <si>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</si>
  <si>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</si>
  <si>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</si>
  <si>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</si>
  <si>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</si>
  <si>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</si>
  <si>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</si>
  <si>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</si>
  <si>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</si>
  <si>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</si>
  <si>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</si>
  <si>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</si>
  <si>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</si>
  <si>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</si>
  <si>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</si>
  <si>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</si>
  <si>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</si>
  <si>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</si>
  <si>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</si>
  <si>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</si>
  <si>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</si>
  <si>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</si>
  <si>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</si>
  <si>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</si>
  <si>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</si>
  <si>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</si>
  <si>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</si>
  <si>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</si>
  <si>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</si>
  <si>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</si>
  <si>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</si>
  <si>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</si>
  <si>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</si>
  <si>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</si>
  <si>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</si>
  <si>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</si>
  <si>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</si>
  <si>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</si>
  <si>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</si>
  <si>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</si>
  <si>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</si>
  <si>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</si>
  <si>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</si>
  <si>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</si>
  <si>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</si>
  <si>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</si>
  <si>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</si>
  <si>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</si>
  <si>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</si>
  <si>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</si>
  <si>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</si>
  <si>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</si>
  <si>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</si>
  <si>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</si>
  <si>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</si>
  <si>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</si>
  <si>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</si>
  <si>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</si>
  <si>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</si>
  <si>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</si>
  <si>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</si>
  <si>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</si>
  <si>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</si>
  <si>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</si>
  <si>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</si>
  <si>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</si>
  <si>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</si>
  <si>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</si>
  <si>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</si>
  <si>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</si>
  <si>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</si>
  <si>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</si>
  <si>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</si>
  <si>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</si>
  <si>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</si>
  <si>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</si>
  <si>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</si>
  <si>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</si>
  <si>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</si>
  <si>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</si>
  <si>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</si>
  <si>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</si>
  <si>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</si>
  <si>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</si>
  <si>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</si>
  <si>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</si>
  <si>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</si>
  <si>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</si>
  <si>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</si>
  <si>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</si>
  <si>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</si>
  <si>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</si>
  <si>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</si>
  <si>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</si>
  <si>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</si>
  <si>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</si>
  <si>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</si>
  <si>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</si>
  <si>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</si>
  <si>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</si>
  <si>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</si>
  <si>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</si>
  <si>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</si>
  <si>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</si>
  <si>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</si>
  <si>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</si>
  <si>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</si>
  <si>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</si>
  <si>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</si>
  <si>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</si>
  <si>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自定义容积率</t>
    <phoneticPr fontId="8"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</si>
  <si>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</si>
  <si>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</si>
  <si>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</si>
  <si>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</si>
  <si>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</si>
  <si>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</si>
  <si>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</si>
  <si>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</si>
  <si>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</si>
  <si>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</si>
  <si>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</si>
  <si>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</si>
  <si>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</si>
  <si>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</si>
  <si>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</si>
  <si>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</si>
  <si>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</si>
  <si>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</si>
  <si>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</si>
  <si>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</si>
  <si>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</si>
  <si>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</si>
  <si>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</si>
  <si>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</si>
  <si>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</si>
  <si>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</si>
  <si>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</si>
  <si>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</si>
  <si>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</si>
  <si>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</si>
  <si>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</si>
  <si>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</si>
  <si>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</si>
  <si>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</si>
  <si>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</si>
  <si>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</si>
  <si>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</si>
  <si>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</si>
  <si>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</si>
  <si>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</si>
  <si>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</si>
  <si>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</si>
  <si>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</si>
  <si>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</si>
  <si>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</si>
  <si>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</si>
  <si>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</si>
  <si>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</si>
  <si>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</si>
  <si>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</si>
  <si>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</si>
  <si>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</si>
  <si>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</si>
  <si>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</si>
  <si>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</si>
  <si>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</si>
  <si>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</si>
  <si>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</si>
  <si>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</si>
  <si>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</si>
  <si>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</si>
  <si>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</si>
  <si>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</si>
  <si>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</si>
  <si>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</si>
  <si>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</si>
  <si>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</si>
  <si>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</si>
  <si>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</si>
  <si>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</si>
  <si>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</si>
  <si>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</si>
  <si>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</si>
  <si>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</si>
  <si>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</si>
  <si>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</si>
  <si>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</si>
  <si>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</si>
  <si>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</si>
  <si>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</si>
  <si>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</si>
  <si>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</si>
  <si>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</si>
  <si>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</si>
  <si>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</si>
  <si>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</si>
  <si>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</si>
  <si>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</si>
  <si>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</si>
  <si>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</si>
  <si>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</si>
  <si>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</si>
  <si>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</si>
  <si>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</si>
  <si>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</si>
  <si>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</si>
  <si>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</si>
  <si>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</si>
  <si>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</si>
  <si>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</si>
  <si>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</si>
  <si>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</si>
  <si>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</si>
  <si>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</si>
  <si>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</si>
  <si>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</si>
  <si>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</si>
  <si>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</si>
  <si>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</si>
  <si>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</si>
  <si>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</si>
  <si>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</si>
  <si>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</si>
  <si>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</si>
  <si>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</si>
  <si>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</si>
  <si>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</si>
  <si>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</si>
  <si>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</si>
  <si>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</si>
  <si>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</si>
  <si>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</si>
  <si>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</si>
  <si>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</si>
  <si>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</si>
  <si>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</si>
  <si>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</si>
  <si>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</si>
  <si>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</si>
  <si>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</si>
  <si>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</si>
  <si>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</si>
  <si>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</si>
  <si>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</si>
  <si>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</si>
  <si>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</si>
  <si>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</si>
  <si>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</si>
  <si>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</si>
  <si>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</si>
  <si>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</si>
  <si>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</si>
  <si>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</si>
  <si>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</si>
  <si>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</si>
  <si>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</si>
  <si>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</si>
  <si>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</si>
  <si>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</si>
  <si>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</si>
  <si>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</si>
  <si>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</si>
  <si>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</si>
  <si>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</si>
  <si>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</si>
  <si>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</si>
  <si>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</si>
  <si>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</si>
  <si>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</si>
  <si>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</si>
  <si>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</si>
  <si>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</si>
  <si>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</si>
  <si>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</si>
  <si>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</si>
  <si>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</si>
  <si>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</si>
  <si>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</si>
  <si>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</si>
  <si>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</si>
  <si>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</si>
  <si>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</si>
  <si>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</si>
  <si>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</si>
  <si>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</si>
  <si>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</si>
  <si>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</si>
  <si>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</si>
  <si>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</si>
  <si>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</si>
  <si>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</si>
  <si>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</si>
  <si>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</si>
  <si>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</si>
  <si>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</si>
  <si>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</si>
  <si>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</si>
  <si>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</si>
  <si>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</si>
  <si>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</si>
  <si>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</si>
  <si>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</si>
  <si>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</si>
  <si>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</si>
  <si>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</si>
  <si>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</si>
  <si>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</si>
  <si>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</si>
  <si>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</si>
  <si>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</si>
  <si>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</si>
  <si>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</si>
  <si>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</si>
  <si>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</si>
  <si>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</si>
  <si>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</si>
  <si>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</si>
  <si>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</si>
  <si>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</si>
  <si>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</si>
  <si>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</si>
  <si>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</si>
  <si>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</si>
  <si>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</si>
  <si>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</si>
  <si>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</si>
  <si>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</si>
  <si>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</si>
  <si>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</si>
  <si>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</si>
  <si>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</si>
  <si>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</si>
  <si>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</si>
  <si>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</si>
  <si>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</si>
  <si>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</si>
  <si>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</si>
  <si>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</si>
  <si>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</si>
  <si>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</si>
  <si>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</si>
  <si>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</si>
  <si>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</si>
  <si>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</si>
  <si>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</si>
  <si>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</si>
  <si>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</si>
  <si>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</si>
  <si>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</si>
  <si>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</si>
  <si>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</si>
  <si>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</si>
  <si>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</si>
  <si>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</si>
  <si>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</si>
  <si>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</si>
  <si>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</si>
  <si>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</si>
  <si>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</si>
  <si>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</si>
  <si>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</si>
  <si>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</si>
  <si>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</si>
  <si>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</si>
  <si>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</si>
  <si>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</si>
  <si>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</si>
  <si>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</si>
  <si>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</si>
  <si>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</si>
  <si>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</si>
  <si>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</si>
  <si>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</si>
  <si>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</si>
  <si>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</si>
  <si>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</si>
  <si>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</si>
  <si>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</si>
  <si>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</si>
  <si>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</si>
  <si>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</si>
  <si>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</si>
  <si>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</si>
  <si>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</si>
  <si>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</si>
  <si>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</si>
  <si>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</si>
  <si>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</si>
  <si>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</si>
  <si>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</si>
  <si>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</si>
  <si>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</si>
  <si>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</si>
  <si>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</si>
  <si>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</si>
  <si>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</si>
  <si>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</si>
  <si>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</si>
  <si>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</si>
  <si>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</si>
  <si>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</si>
  <si>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</si>
  <si>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</si>
  <si>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</si>
  <si>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</si>
  <si>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</si>
  <si>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</si>
  <si>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</si>
  <si>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</si>
  <si>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</si>
  <si>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</si>
  <si>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</si>
  <si>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</si>
  <si>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</si>
  <si>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</si>
  <si>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</si>
  <si>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</si>
  <si>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</si>
  <si>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</si>
  <si>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</si>
  <si>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</si>
  <si>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</si>
  <si>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</si>
  <si>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</si>
  <si>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</si>
  <si>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</si>
  <si>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</si>
  <si>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</si>
  <si>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</si>
  <si>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</si>
  <si>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</si>
  <si>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</si>
  <si>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</si>
  <si>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</si>
  <si>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</si>
  <si>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</si>
  <si>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</si>
  <si>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</si>
  <si>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</si>
  <si>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</si>
  <si>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</si>
  <si>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</si>
  <si>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</si>
  <si>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</si>
  <si>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</si>
  <si>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</si>
  <si>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</si>
  <si>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</si>
  <si>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</si>
  <si>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</si>
  <si>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</si>
  <si>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</si>
  <si>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</si>
  <si>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</si>
  <si>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</si>
  <si>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</si>
  <si>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</si>
  <si>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</si>
  <si>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</si>
  <si>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</si>
  <si>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</si>
  <si>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</si>
  <si>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</si>
  <si>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</si>
  <si>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</si>
  <si>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</si>
  <si>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</si>
  <si>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</si>
  <si>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</si>
  <si>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</si>
  <si>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</si>
  <si>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</si>
  <si>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</si>
  <si>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</si>
  <si>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</si>
  <si>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</si>
  <si>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</si>
  <si>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</si>
  <si>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</si>
  <si>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</si>
  <si>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</si>
  <si>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</si>
  <si>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</si>
  <si>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</si>
  <si>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</si>
  <si>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</si>
  <si>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</si>
  <si>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</si>
  <si>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</si>
  <si>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</si>
  <si>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</si>
  <si>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</si>
  <si>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</si>
  <si>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</si>
  <si>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</si>
  <si>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</si>
  <si>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</si>
  <si>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</si>
  <si>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</si>
  <si>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</si>
  <si>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</si>
  <si>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</si>
  <si>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</si>
  <si>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</si>
  <si>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</si>
  <si>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</si>
  <si>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</si>
  <si>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</si>
  <si>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</si>
  <si>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</si>
  <si>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</si>
  <si>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</si>
  <si>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</si>
  <si>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</si>
  <si>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</si>
  <si>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</si>
  <si>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</si>
  <si>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</si>
  <si>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</si>
  <si>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</si>
  <si>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</si>
  <si>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</si>
  <si>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</si>
  <si>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</si>
  <si>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</si>
  <si>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</si>
  <si>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</si>
  <si>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</si>
  <si>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</si>
  <si>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</si>
  <si>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</si>
  <si>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</si>
  <si>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</si>
  <si>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</si>
  <si>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</si>
  <si>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</si>
  <si>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</si>
  <si>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</si>
  <si>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</si>
  <si>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</si>
  <si>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</si>
  <si>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</si>
  <si>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</si>
  <si>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</si>
  <si>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</si>
  <si>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</si>
  <si>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</si>
  <si>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</si>
  <si>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</si>
  <si>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</si>
  <si>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</si>
  <si>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</si>
  <si>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</si>
  <si>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</si>
  <si>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</si>
  <si>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企业提供（在右侧录入）</t>
  </si>
  <si>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</si>
  <si>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</si>
  <si>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</si>
  <si>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</si>
  <si>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</si>
  <si>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</si>
  <si>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</si>
  <si>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</si>
  <si>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</si>
  <si>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</si>
  <si>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</si>
  <si>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</si>
  <si>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</si>
  <si>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</si>
  <si>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</si>
  <si>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</si>
  <si>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</si>
  <si>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</si>
  <si>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</si>
  <si>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</si>
  <si>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</si>
  <si>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</si>
  <si>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</si>
  <si>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</si>
  <si>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</si>
  <si>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</si>
  <si>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</si>
  <si>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</si>
  <si>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</si>
  <si>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</si>
  <si>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</si>
  <si>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</si>
  <si>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</si>
  <si>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</si>
  <si>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</si>
  <si>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</si>
  <si>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</si>
  <si>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</si>
  <si>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</si>
  <si>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</si>
  <si>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</si>
  <si>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</si>
  <si>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</si>
  <si>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</si>
  <si>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</si>
  <si>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</si>
  <si>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</si>
  <si>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</si>
  <si>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</si>
  <si>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</si>
  <si>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</si>
  <si>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</si>
  <si>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</si>
  <si>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</si>
  <si>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</si>
  <si>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</si>
  <si>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</si>
  <si>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</si>
  <si>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</si>
  <si>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</si>
  <si>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</si>
  <si>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</si>
  <si>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</si>
  <si>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</si>
  <si>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</si>
  <si>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</si>
  <si>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</si>
  <si>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</si>
  <si>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</si>
  <si>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</si>
  <si>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</si>
  <si>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</si>
  <si>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</si>
  <si>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</si>
  <si>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</si>
  <si>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</si>
  <si>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</si>
  <si>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</si>
  <si>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</si>
  <si>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</si>
  <si>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</si>
  <si>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</si>
  <si>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</si>
  <si>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</si>
  <si>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</si>
  <si>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</si>
  <si>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</si>
  <si>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</si>
  <si>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</si>
  <si>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</si>
  <si>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</si>
  <si>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</si>
  <si>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</si>
  <si>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</si>
  <si>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</si>
  <si>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</si>
  <si>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</si>
  <si>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情况1</t>
  </si>
  <si>
    <t>买卖合同</t>
  </si>
  <si>
    <t>按房产原值计税</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</si>
  <si>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</si>
  <si>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</si>
  <si>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</si>
  <si>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</si>
  <si>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</si>
  <si>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</si>
  <si>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</si>
  <si>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</si>
  <si>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</si>
  <si>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</si>
  <si>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</si>
  <si>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</si>
  <si>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</si>
  <si>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</si>
  <si>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</si>
  <si>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</si>
  <si>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</si>
  <si>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</si>
  <si>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</si>
  <si>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</si>
  <si>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</si>
  <si>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</si>
  <si>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</si>
  <si>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</si>
  <si>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</si>
  <si>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</si>
  <si>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</si>
  <si>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</si>
  <si>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</si>
  <si>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</si>
  <si>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</si>
  <si>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</si>
  <si>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</si>
  <si>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</si>
  <si>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</si>
  <si>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</si>
  <si>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</si>
  <si>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</si>
  <si>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</si>
  <si>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</si>
  <si>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</si>
  <si>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</si>
  <si>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</si>
  <si>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</si>
  <si>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</si>
  <si>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</si>
  <si>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</si>
  <si>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</si>
  <si>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</si>
  <si>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</si>
  <si>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</si>
  <si>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</si>
  <si>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</si>
  <si>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</si>
  <si>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</si>
  <si>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</si>
  <si>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</si>
  <si>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</si>
  <si>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</si>
  <si>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</si>
  <si>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</si>
  <si>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</si>
  <si>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</si>
  <si>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</si>
  <si>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</si>
  <si>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</si>
  <si>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</si>
  <si>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</si>
  <si>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</si>
  <si>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</si>
  <si>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</si>
  <si>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</si>
  <si>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</si>
  <si>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</si>
  <si>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</si>
  <si>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</si>
  <si>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</si>
  <si>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</si>
  <si>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</si>
  <si>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宗地形状不规则，但对宗地利用影响较小</t>
  </si>
  <si>
    <t>总幅度控制(±)</t>
    <phoneticPr fontId="108" type="noConversion"/>
  </si>
  <si>
    <t>各因素幅度控制(±)</t>
    <phoneticPr fontId="108" type="noConversion"/>
  </si>
  <si>
    <t>楼层修正</t>
  </si>
  <si>
    <t>Ⅷ-延1</t>
    <phoneticPr fontId="4" type="noConversion"/>
  </si>
  <si>
    <t>宗地开发程度</t>
    <phoneticPr fontId="4" type="noConversion"/>
  </si>
  <si>
    <t>宗地开发程度</t>
    <phoneticPr fontId="46" type="noConversion"/>
  </si>
  <si>
    <t>宗地开发程度</t>
    <phoneticPr fontId="46" type="noConversion"/>
  </si>
  <si>
    <t>宗地开发程度</t>
    <phoneticPr fontId="4" type="noConversion"/>
  </si>
  <si>
    <t>建筑面积</t>
    <phoneticPr fontId="108" type="noConversion"/>
  </si>
  <si>
    <t>2016年5月1日后购买</t>
  </si>
  <si>
    <t>不含增值税，仅附加税</t>
    <phoneticPr fontId="54"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</si>
  <si>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</si>
  <si>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</si>
  <si>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</si>
  <si>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</si>
  <si>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</si>
  <si>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</si>
  <si>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</si>
  <si>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</si>
  <si>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</si>
  <si>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</si>
  <si>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</si>
  <si>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</si>
  <si>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</si>
  <si>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</si>
  <si>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</si>
  <si>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</si>
  <si>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</si>
  <si>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</si>
  <si>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</si>
  <si>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</si>
  <si>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</si>
  <si>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</si>
  <si>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</si>
  <si>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</si>
  <si>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</si>
  <si>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</si>
  <si>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</si>
  <si>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</si>
  <si>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</si>
  <si>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</si>
  <si>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</si>
  <si>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</si>
  <si>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</si>
  <si>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</si>
  <si>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</si>
  <si>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</si>
  <si>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</si>
  <si>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</si>
  <si>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</si>
  <si>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</si>
  <si>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</si>
  <si>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</si>
  <si>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</si>
  <si>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</si>
  <si>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</si>
  <si>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</si>
  <si>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</si>
  <si>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</si>
  <si>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</si>
  <si>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</si>
  <si>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</si>
  <si>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</si>
  <si>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</si>
  <si>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</si>
  <si>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</si>
  <si>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</si>
  <si>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</si>
  <si>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</si>
  <si>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</si>
  <si>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</si>
  <si>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</si>
  <si>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</si>
  <si>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</si>
  <si>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</si>
  <si>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</si>
  <si>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</si>
  <si>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</si>
  <si>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</si>
  <si>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</si>
  <si>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</si>
  <si>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</si>
  <si>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</si>
  <si>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</si>
  <si>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</si>
  <si>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</si>
  <si>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</si>
  <si>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</si>
  <si>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</si>
  <si>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</si>
  <si>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</si>
  <si>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</si>
  <si>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</si>
  <si>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</si>
  <si>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</si>
  <si>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</si>
  <si>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</si>
  <si>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</si>
  <si>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</si>
  <si>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</si>
  <si>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</si>
  <si>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</si>
  <si>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</si>
  <si>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</si>
  <si>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</si>
  <si>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</si>
  <si>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</si>
  <si>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</si>
  <si>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</si>
  <si>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</si>
  <si>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</si>
  <si>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</si>
  <si>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</si>
  <si>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</si>
  <si>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</si>
  <si>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</si>
  <si>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</si>
  <si>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</si>
  <si>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</si>
  <si>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</si>
  <si>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</si>
  <si>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</si>
  <si>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</si>
  <si>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</si>
  <si>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</si>
  <si>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</si>
  <si>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</si>
  <si>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</si>
  <si>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</si>
  <si>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</si>
  <si>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</si>
  <si>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</si>
  <si>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</si>
  <si>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</si>
  <si>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</si>
  <si>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</si>
  <si>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</si>
  <si>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</si>
  <si>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</si>
  <si>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</si>
  <si>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</si>
  <si>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</si>
  <si>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</si>
  <si>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</si>
  <si>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</si>
  <si>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</si>
  <si>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</si>
  <si>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</si>
  <si>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</si>
  <si>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</si>
  <si>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</si>
  <si>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</si>
  <si>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</si>
  <si>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</si>
  <si>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</si>
  <si>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</si>
  <si>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</si>
  <si>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</si>
  <si>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</si>
  <si>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</si>
  <si>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</si>
  <si>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</si>
  <si>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</si>
  <si>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</si>
  <si>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</si>
  <si>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</si>
  <si>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</si>
  <si>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</si>
  <si>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</si>
  <si>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</si>
  <si>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</si>
  <si>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</si>
  <si>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</si>
  <si>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</si>
  <si>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</si>
  <si>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</si>
  <si>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</si>
  <si>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</si>
  <si>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</si>
  <si>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</si>
  <si>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</si>
  <si>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</si>
  <si>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</si>
  <si>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</si>
  <si>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</si>
  <si>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</si>
  <si>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</si>
  <si>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</si>
  <si>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</si>
  <si>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</si>
  <si>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</si>
  <si>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</si>
  <si>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</si>
  <si>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</si>
  <si>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</si>
  <si>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</si>
  <si>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</si>
  <si>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</si>
  <si>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</si>
  <si>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</si>
  <si>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</si>
  <si>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</si>
  <si>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</si>
  <si>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</si>
  <si>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</si>
  <si>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</si>
  <si>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</si>
  <si>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</si>
  <si>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</si>
  <si>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</si>
  <si>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</si>
  <si>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</si>
  <si>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</si>
  <si>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</si>
  <si>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</si>
  <si>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</si>
  <si>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</si>
  <si>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</si>
  <si>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</si>
  <si>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</si>
  <si>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</si>
  <si>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</si>
  <si>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</si>
  <si>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</si>
  <si>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</si>
  <si>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</si>
  <si>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</si>
  <si>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</si>
  <si>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</si>
  <si>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</si>
  <si>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</si>
  <si>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</si>
  <si>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</si>
  <si>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</si>
  <si>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</si>
  <si>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</si>
  <si>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</si>
  <si>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</si>
  <si>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</si>
  <si>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</si>
  <si>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</si>
  <si>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</si>
  <si>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</si>
  <si>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</si>
  <si>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</si>
  <si>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</si>
  <si>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</si>
  <si>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</si>
  <si>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</si>
  <si>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</si>
  <si>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</si>
  <si>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</si>
  <si>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</si>
  <si>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</si>
  <si>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</si>
  <si>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</si>
  <si>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</si>
  <si>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</si>
  <si>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</si>
  <si>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</si>
  <si>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</si>
  <si>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</si>
  <si>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</si>
  <si>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</si>
  <si>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</si>
  <si>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</si>
  <si>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</si>
  <si>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</si>
  <si>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</si>
  <si>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</si>
  <si>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</si>
  <si>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</si>
  <si>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</si>
  <si>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</si>
  <si>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</si>
  <si>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</si>
  <si>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</si>
  <si>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</si>
  <si>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</si>
  <si>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</si>
  <si>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</si>
  <si>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</si>
  <si>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</si>
  <si>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</si>
  <si>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</si>
  <si>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</si>
  <si>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</si>
  <si>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</si>
  <si>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</si>
  <si>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</si>
  <si>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</si>
  <si>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</si>
  <si>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</si>
  <si>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</si>
  <si>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</si>
  <si>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</si>
  <si>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</si>
  <si>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</si>
  <si>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</si>
  <si>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</si>
  <si>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</si>
  <si>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</si>
  <si>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</si>
  <si>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</si>
  <si>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</si>
  <si>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</si>
  <si>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</si>
  <si>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</si>
  <si>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</si>
  <si>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</si>
  <si>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</si>
  <si>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</si>
  <si>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</si>
  <si>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</si>
  <si>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</si>
  <si>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</si>
  <si>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</si>
  <si>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</si>
  <si>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</si>
  <si>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</si>
  <si>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</si>
  <si>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</si>
  <si>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</si>
  <si>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</si>
  <si>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</si>
  <si>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</si>
  <si>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</si>
  <si>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</si>
  <si>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</si>
  <si>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</si>
  <si>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</si>
  <si>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</si>
  <si>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</si>
  <si>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</si>
  <si>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</si>
  <si>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</si>
  <si>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</si>
  <si>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</si>
  <si>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</si>
  <si>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</si>
  <si>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</si>
  <si>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</si>
  <si>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</si>
  <si>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</si>
  <si>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</si>
  <si>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</si>
  <si>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</si>
  <si>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</si>
  <si>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</si>
  <si>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</si>
  <si>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</si>
  <si>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</si>
  <si>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</si>
  <si>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</si>
  <si>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</si>
  <si>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</si>
  <si>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</si>
  <si>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</si>
  <si>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</si>
  <si>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</si>
  <si>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</si>
  <si>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</si>
  <si>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</si>
  <si>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</si>
  <si>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</si>
  <si>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</si>
  <si>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</si>
  <si>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</si>
  <si>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</si>
  <si>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</si>
  <si>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</si>
  <si>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</si>
  <si>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</si>
  <si>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</si>
  <si>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</si>
  <si>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</si>
  <si>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</si>
  <si>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</si>
  <si>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</si>
  <si>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</si>
  <si>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</si>
  <si>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</si>
  <si>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</si>
  <si>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</si>
  <si>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</si>
  <si>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</si>
  <si>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</si>
  <si>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</si>
  <si>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</si>
  <si>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</si>
  <si>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</si>
  <si>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</si>
  <si>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</si>
  <si>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</si>
  <si>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</si>
  <si>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</si>
  <si>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</si>
  <si>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</si>
  <si>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</si>
  <si>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</si>
  <si>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</si>
  <si>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</si>
  <si>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</si>
  <si>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</si>
  <si>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</si>
  <si>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</si>
  <si>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</si>
  <si>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</si>
  <si>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</si>
  <si>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</si>
  <si>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</si>
  <si>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</si>
  <si>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</si>
  <si>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</si>
  <si>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</si>
  <si>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</si>
  <si>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</si>
  <si>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</si>
  <si>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</si>
  <si>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</si>
  <si>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</si>
  <si>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</si>
  <si>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</si>
  <si>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</si>
  <si>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</si>
  <si>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</si>
  <si>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</si>
  <si>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</si>
  <si>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</si>
  <si>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</si>
  <si>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</si>
  <si>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</si>
  <si>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</si>
  <si>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</si>
  <si>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</si>
  <si>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</si>
  <si>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</si>
  <si>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</si>
  <si>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</si>
  <si>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</si>
  <si>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</si>
  <si>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</si>
  <si>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</si>
  <si>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</si>
  <si>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</si>
  <si>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</si>
  <si>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</si>
  <si>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</si>
  <si>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</si>
  <si>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</si>
  <si>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</si>
  <si>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</si>
  <si>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</si>
  <si>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</si>
  <si>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</si>
  <si>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</si>
  <si>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</si>
  <si>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</si>
  <si>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</si>
  <si>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</si>
  <si>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</si>
  <si>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</si>
  <si>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</si>
  <si>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</si>
  <si>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</si>
  <si>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</si>
  <si>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</si>
  <si>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</si>
  <si>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</si>
  <si>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</si>
  <si>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</si>
  <si>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</si>
  <si>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</si>
  <si>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</si>
  <si>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</si>
  <si>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</si>
  <si>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</si>
  <si>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</si>
  <si>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</si>
  <si>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</si>
  <si>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</si>
  <si>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</si>
  <si>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</si>
  <si>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</si>
  <si>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</si>
  <si>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</si>
  <si>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</si>
  <si>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</si>
  <si>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</si>
  <si>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</si>
  <si>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</si>
  <si>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</si>
  <si>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</si>
  <si>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</si>
  <si>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</si>
  <si>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</si>
  <si>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</si>
  <si>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</si>
  <si>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</si>
  <si>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</si>
  <si>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</si>
  <si>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</si>
  <si>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</si>
  <si>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</si>
  <si>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</si>
  <si>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</si>
  <si>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</si>
  <si>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9"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</si>
  <si>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</si>
  <si>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</si>
  <si>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</si>
  <si>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</si>
  <si>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</si>
  <si>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1"/>
        <color theme="1"/>
        <rFont val="楷体_GB2312"/>
        <family val="3"/>
        <charset val="134"/>
      </rPr>
      <t>北京：</t>
    </r>
    <r>
      <rPr>
        <sz val="11"/>
        <color theme="1"/>
        <rFont val="Arial"/>
        <family val="2"/>
      </rPr>
      <t>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</si>
  <si>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</si>
  <si>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t>北京</t>
    <phoneticPr fontId="4" type="noConversion"/>
  </si>
  <si>
    <t>八级</t>
    <phoneticPr fontId="4" type="noConversion"/>
  </si>
  <si>
    <t>九级</t>
    <phoneticPr fontId="4" type="noConversion"/>
  </si>
  <si>
    <t>十级</t>
    <phoneticPr fontId="4" type="noConversion"/>
  </si>
  <si>
    <t>其他省市请录依据文件名称：</t>
    <phoneticPr fontId="4" type="noConversion"/>
  </si>
  <si>
    <t>2.估价师知悉的法定优先受偿款</t>
  </si>
  <si>
    <t>估价对象位于XX开发区，园区建设成熟度XX，产业集聚程度XX</t>
    <phoneticPr fontId="63" type="noConversion"/>
  </si>
  <si>
    <t>该园区内是否有污染型企业，绿化情况，卫生条件，整体环境状况判断</t>
    <phoneticPr fontId="63"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</si>
  <si>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</si>
  <si>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</si>
  <si>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</si>
  <si>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</si>
  <si>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</si>
  <si>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</si>
  <si>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</si>
  <si>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</si>
  <si>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t>宗地容积率</t>
  </si>
  <si>
    <t>宗地形状？，但对宗地利用影响？</t>
    <phoneticPr fontId="108" type="noConversion"/>
  </si>
  <si>
    <t>宽度XX米，深度XX米,临街宽度及深度比例适宜程度？对土地利用的影响？</t>
    <phoneticPr fontId="108"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</si>
  <si>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</si>
  <si>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</si>
  <si>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</si>
  <si>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</si>
  <si>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</si>
  <si>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</si>
  <si>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t>虚线以上为必填</t>
    <phoneticPr fontId="7" type="noConversion"/>
  </si>
  <si>
    <r>
      <rPr>
        <sz val="11"/>
        <color theme="1"/>
        <rFont val="楷体_GB2312"/>
        <family val="3"/>
        <charset val="134"/>
      </rPr>
      <t>北京：</t>
    </r>
    <r>
      <rPr>
        <sz val="11"/>
        <color theme="1"/>
        <rFont val="Arial"/>
        <family val="2"/>
      </rPr>
      <t>2%</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</si>
  <si>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</si>
  <si>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</si>
  <si>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</si>
  <si>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残值率</t>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</si>
  <si>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</si>
  <si>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</si>
  <si>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</si>
  <si>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</si>
  <si>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</si>
  <si>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</si>
  <si>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</si>
  <si>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</si>
  <si>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</si>
  <si>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6" type="noConversion"/>
  </si>
  <si>
    <t>高限</t>
    <phoneticPr fontId="206" type="noConversion"/>
  </si>
  <si>
    <t>平均</t>
    <phoneticPr fontId="206" type="noConversion"/>
  </si>
  <si>
    <t>2017A-006</t>
    <phoneticPr fontId="194"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</si>
  <si>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4" type="noConversion"/>
  </si>
  <si>
    <t>坐落</t>
    <phoneticPr fontId="206" type="noConversion"/>
  </si>
  <si>
    <r>
      <t>丰台区汽车博物馆西路8号院</t>
    </r>
    <r>
      <rPr>
        <sz val="11"/>
        <color theme="1"/>
        <rFont val="宋体"/>
        <family val="3"/>
        <charset val="134"/>
        <scheme val="minor"/>
      </rPr>
      <t>1号楼1层101</t>
    </r>
    <phoneticPr fontId="206" type="noConversion"/>
  </si>
  <si>
    <r>
      <t>丰台区汽车博物馆西路8号院</t>
    </r>
    <r>
      <rPr>
        <sz val="11"/>
        <color theme="1"/>
        <rFont val="宋体"/>
        <family val="3"/>
        <charset val="134"/>
        <scheme val="minor"/>
      </rPr>
      <t>1号楼1层102</t>
    </r>
    <r>
      <rPr>
        <sz val="11"/>
        <color theme="1"/>
        <rFont val="宋体"/>
        <family val="2"/>
        <charset val="134"/>
        <scheme val="minor"/>
      </rPr>
      <t/>
    </r>
  </si>
  <si>
    <r>
      <t>丰台区汽车博物馆西路8号院</t>
    </r>
    <r>
      <rPr>
        <sz val="11"/>
        <color theme="1"/>
        <rFont val="宋体"/>
        <family val="3"/>
        <charset val="134"/>
        <scheme val="minor"/>
      </rPr>
      <t>1号楼1层103</t>
    </r>
    <r>
      <rPr>
        <sz val="11"/>
        <color theme="1"/>
        <rFont val="宋体"/>
        <family val="2"/>
        <charset val="134"/>
        <scheme val="minor"/>
      </rPr>
      <t/>
    </r>
  </si>
  <si>
    <r>
      <t>丰台区汽车博物馆西路8号院</t>
    </r>
    <r>
      <rPr>
        <sz val="11"/>
        <color theme="1"/>
        <rFont val="宋体"/>
        <family val="3"/>
        <charset val="134"/>
        <scheme val="minor"/>
      </rPr>
      <t>1号楼1层104</t>
    </r>
    <r>
      <rPr>
        <sz val="11"/>
        <color theme="1"/>
        <rFont val="宋体"/>
        <family val="2"/>
        <charset val="134"/>
        <scheme val="minor"/>
      </rPr>
      <t/>
    </r>
  </si>
  <si>
    <r>
      <t>丰台区汽车博物馆西路8号院</t>
    </r>
    <r>
      <rPr>
        <sz val="11"/>
        <color theme="1"/>
        <rFont val="宋体"/>
        <family val="3"/>
        <charset val="134"/>
        <scheme val="minor"/>
      </rPr>
      <t>1号楼1层105</t>
    </r>
    <r>
      <rPr>
        <sz val="11"/>
        <color theme="1"/>
        <rFont val="宋体"/>
        <family val="2"/>
        <charset val="134"/>
        <scheme val="minor"/>
      </rPr>
      <t/>
    </r>
  </si>
  <si>
    <r>
      <t>丰台区汽车博物馆西路8号院</t>
    </r>
    <r>
      <rPr>
        <sz val="11"/>
        <color theme="1"/>
        <rFont val="宋体"/>
        <family val="3"/>
        <charset val="134"/>
        <scheme val="minor"/>
      </rPr>
      <t>1号楼1层106</t>
    </r>
    <r>
      <rPr>
        <sz val="11"/>
        <color theme="1"/>
        <rFont val="宋体"/>
        <family val="2"/>
        <charset val="134"/>
        <scheme val="minor"/>
      </rPr>
      <t/>
    </r>
  </si>
  <si>
    <r>
      <t>丰台区汽车博物馆西路8号院</t>
    </r>
    <r>
      <rPr>
        <sz val="11"/>
        <color theme="1"/>
        <rFont val="宋体"/>
        <family val="3"/>
        <charset val="134"/>
        <scheme val="minor"/>
      </rPr>
      <t>1号楼1层107</t>
    </r>
    <r>
      <rPr>
        <sz val="11"/>
        <color theme="1"/>
        <rFont val="宋体"/>
        <family val="2"/>
        <charset val="134"/>
        <scheme val="minor"/>
      </rPr>
      <t/>
    </r>
  </si>
  <si>
    <r>
      <t>丰台区汽车博物馆西路8号院</t>
    </r>
    <r>
      <rPr>
        <sz val="11"/>
        <color theme="1"/>
        <rFont val="宋体"/>
        <family val="3"/>
        <charset val="134"/>
        <scheme val="minor"/>
      </rPr>
      <t>1号楼1层108</t>
    </r>
    <r>
      <rPr>
        <sz val="11"/>
        <color theme="1"/>
        <rFont val="宋体"/>
        <family val="2"/>
        <charset val="134"/>
        <scheme val="minor"/>
      </rPr>
      <t/>
    </r>
  </si>
  <si>
    <r>
      <t>丰台区汽车博物馆西路8号院</t>
    </r>
    <r>
      <rPr>
        <sz val="11"/>
        <color theme="1"/>
        <rFont val="宋体"/>
        <family val="3"/>
        <charset val="134"/>
        <scheme val="minor"/>
      </rPr>
      <t>1号楼1层109</t>
    </r>
    <r>
      <rPr>
        <sz val="11"/>
        <color theme="1"/>
        <rFont val="宋体"/>
        <family val="2"/>
        <charset val="134"/>
        <scheme val="minor"/>
      </rPr>
      <t/>
    </r>
  </si>
  <si>
    <r>
      <t>丰台区汽车博物馆西路8号院</t>
    </r>
    <r>
      <rPr>
        <sz val="11"/>
        <color theme="1"/>
        <rFont val="宋体"/>
        <family val="3"/>
        <charset val="134"/>
        <scheme val="minor"/>
      </rPr>
      <t>1号楼1层110</t>
    </r>
    <r>
      <rPr>
        <sz val="11"/>
        <color theme="1"/>
        <rFont val="宋体"/>
        <family val="2"/>
        <charset val="134"/>
        <scheme val="minor"/>
      </rPr>
      <t/>
    </r>
  </si>
  <si>
    <r>
      <t>丰台区汽车博物馆西路8号院</t>
    </r>
    <r>
      <rPr>
        <sz val="11"/>
        <color theme="1"/>
        <rFont val="宋体"/>
        <family val="3"/>
        <charset val="134"/>
        <scheme val="minor"/>
      </rPr>
      <t>1号楼1层111</t>
    </r>
    <r>
      <rPr>
        <sz val="11"/>
        <color theme="1"/>
        <rFont val="宋体"/>
        <family val="2"/>
        <charset val="134"/>
        <scheme val="minor"/>
      </rPr>
      <t/>
    </r>
  </si>
  <si>
    <t>丰台区汽车博物馆西路8号院1号楼2层201</t>
    <phoneticPr fontId="206" type="noConversion"/>
  </si>
  <si>
    <t>丰台区汽车博物馆西路8号院1号楼2层202</t>
  </si>
  <si>
    <t>丰台区汽车博物馆西路8号院1号楼2层203</t>
  </si>
  <si>
    <t>丰台区汽车博物馆西路8号院1号楼3层301</t>
    <phoneticPr fontId="206" type="noConversion"/>
  </si>
  <si>
    <t>丰台区汽车博物馆西路8号院1号楼3层302</t>
  </si>
  <si>
    <t>丰台区汽车博物馆西路8号院1号楼3层303</t>
  </si>
  <si>
    <t>丰台区汽车博物馆西路8号院1号楼3层304</t>
  </si>
  <si>
    <t>丰台区汽车博物馆西路8号院1号楼3层305</t>
  </si>
  <si>
    <t>丰台区汽车博物馆西路8号院1号楼3层306</t>
  </si>
  <si>
    <t>丰台区汽车博物馆西路8号院1号楼3层307</t>
  </si>
  <si>
    <t>丰台区汽车博物馆西路8号院1号楼3层308</t>
  </si>
  <si>
    <t>丰台区汽车博物馆西路8号院1号楼3层309</t>
  </si>
  <si>
    <t>丰台区汽车博物馆西路8号院1号楼3层310</t>
  </si>
  <si>
    <t>丰台区汽车博物馆西路8号院1号楼3层311</t>
  </si>
  <si>
    <t>丰台区汽车博物馆西路8号院1号楼3层312</t>
  </si>
  <si>
    <t>丰台区汽车博物馆西路8号院1号楼3层313</t>
  </si>
  <si>
    <t>丰台区汽车博物馆西路8号院1号楼3层314</t>
  </si>
  <si>
    <t>丰台区汽车博物馆西路8号院1号楼4层401</t>
    <phoneticPr fontId="206" type="noConversion"/>
  </si>
  <si>
    <t>商务金融用地（办公类）</t>
  </si>
  <si>
    <t>北京丰科建房地产开发有限公司</t>
    <phoneticPr fontId="7" type="noConversion"/>
  </si>
  <si>
    <t>抵押</t>
  </si>
  <si>
    <t>房地产抵押价值</t>
  </si>
  <si>
    <t>北京市</t>
  </si>
  <si>
    <t>丰台区汽车博物馆西路8号院1、2、3号楼</t>
    <phoneticPr fontId="7" type="noConversion"/>
  </si>
  <si>
    <t>企业</t>
  </si>
  <si>
    <t>商业、办公</t>
    <phoneticPr fontId="7" type="noConversion"/>
  </si>
  <si>
    <t>商业34年、办公44.01年</t>
    <phoneticPr fontId="7" type="noConversion"/>
  </si>
  <si>
    <t>《不动产权证书》[京（2017）丰不动产权第0026058、0026063、0026062]</t>
    <phoneticPr fontId="7" type="noConversion"/>
  </si>
  <si>
    <t>商业</t>
    <phoneticPr fontId="206" type="noConversion"/>
  </si>
  <si>
    <t>办公</t>
    <phoneticPr fontId="206" type="noConversion"/>
  </si>
  <si>
    <t>丰台区汽车博物馆西路8号院1号楼4层402</t>
  </si>
  <si>
    <t>丰台区汽车博物馆西路8号院1号楼4层403</t>
  </si>
  <si>
    <t>丰台区汽车博物馆西路8号院1号楼4层404</t>
  </si>
  <si>
    <t>丰台区汽车博物馆西路8号院1号楼4层405</t>
  </si>
  <si>
    <t>丰台区汽车博物馆西路8号院1号楼4层406</t>
  </si>
  <si>
    <t>丰台区汽车博物馆西路8号院1号楼4层407</t>
  </si>
  <si>
    <t>丰台区汽车博物馆西路8号院1号楼4层408</t>
  </si>
  <si>
    <t>丰台区汽车博物馆西路8号院1号楼4层409</t>
  </si>
  <si>
    <t>丰台区汽车博物馆西路8号院1号楼4层410</t>
  </si>
  <si>
    <t>丰台区汽车博物馆西路8号院1号楼4层411</t>
  </si>
  <si>
    <t>丰台区汽车博物馆西路8号院1号楼4层412</t>
  </si>
  <si>
    <t>丰台区汽车博物馆西路8号院1号楼4层413</t>
  </si>
  <si>
    <t>丰台区汽车博物馆西路8号院1号楼4层414</t>
  </si>
  <si>
    <t>丰台区汽车博物馆西路8号院1号楼5层501</t>
    <phoneticPr fontId="206" type="noConversion"/>
  </si>
  <si>
    <t>丰台区汽车博物馆西路8号院1号楼5层502</t>
  </si>
  <si>
    <t>丰台区汽车博物馆西路8号院1号楼5层503</t>
  </si>
  <si>
    <t>丰台区汽车博物馆西路8号院1号楼5层504</t>
  </si>
  <si>
    <t>丰台区汽车博物馆西路8号院1号楼5层505</t>
  </si>
  <si>
    <t>丰台区汽车博物馆西路8号院1号楼5层506</t>
  </si>
  <si>
    <t>丰台区汽车博物馆西路8号院1号楼5层507</t>
  </si>
  <si>
    <t>丰台区汽车博物馆西路8号院1号楼5层508</t>
  </si>
  <si>
    <t>丰台区汽车博物馆西路8号院1号楼5层509</t>
  </si>
  <si>
    <t>丰台区汽车博物馆西路8号院1号楼5层510</t>
  </si>
  <si>
    <t>丰台区汽车博物馆西路8号院1号楼5层511</t>
  </si>
  <si>
    <t>丰台区汽车博物馆西路8号院1号楼5层512</t>
  </si>
  <si>
    <t>丰台区汽车博物馆西路8号院1号楼5层513</t>
  </si>
  <si>
    <t>丰台区汽车博物馆西路8号院1号楼5层514</t>
  </si>
  <si>
    <t>丰台区汽车博物馆西路8号院1号楼6层601</t>
    <phoneticPr fontId="206" type="noConversion"/>
  </si>
  <si>
    <t>丰台区汽车博物馆西路8号院1号楼6层602</t>
  </si>
  <si>
    <t>丰台区汽车博物馆西路8号院1号楼6层603</t>
  </si>
  <si>
    <t>丰台区汽车博物馆西路8号院1号楼6层604</t>
  </si>
  <si>
    <t>丰台区汽车博物馆西路8号院1号楼6层605</t>
  </si>
  <si>
    <t>丰台区汽车博物馆西路8号院1号楼6层606</t>
  </si>
  <si>
    <t>丰台区汽车博物馆西路8号院1号楼6层607</t>
  </si>
  <si>
    <t>丰台区汽车博物馆西路8号院1号楼6层608</t>
  </si>
  <si>
    <t>丰台区汽车博物馆西路8号院1号楼6层609</t>
  </si>
  <si>
    <t>丰台区汽车博物馆西路8号院1号楼6层610</t>
  </si>
  <si>
    <t>丰台区汽车博物馆西路8号院1号楼6层611</t>
  </si>
  <si>
    <t>丰台区汽车博物馆西路8号院1号楼6层612</t>
  </si>
  <si>
    <t>丰台区汽车博物馆西路8号院1号楼6层613</t>
  </si>
  <si>
    <t>丰台区汽车博物馆西路8号院1号楼6层614</t>
  </si>
  <si>
    <t>丰台区汽车博物馆西路8号院1号楼7层701</t>
    <phoneticPr fontId="206" type="noConversion"/>
  </si>
  <si>
    <t>丰台区汽车博物馆西路8号院1号楼7层702</t>
  </si>
  <si>
    <t>丰台区汽车博物馆西路8号院1号楼7层703</t>
  </si>
  <si>
    <t>丰台区汽车博物馆西路8号院1号楼7层704</t>
  </si>
  <si>
    <t>丰台区汽车博物馆西路8号院1号楼7层705</t>
  </si>
  <si>
    <t>丰台区汽车博物馆西路8号院1号楼7层706</t>
  </si>
  <si>
    <t>丰台区汽车博物馆西路8号院1号楼7层707</t>
  </si>
  <si>
    <t>丰台区汽车博物馆西路8号院1号楼7层708</t>
  </si>
  <si>
    <t>丰台区汽车博物馆西路8号院1号楼7层709</t>
  </si>
  <si>
    <t>丰台区汽车博物馆西路8号院1号楼7层710</t>
  </si>
  <si>
    <t>丰台区汽车博物馆西路8号院1号楼7层711</t>
  </si>
  <si>
    <t>丰台区汽车博物馆西路8号院1号楼7层712</t>
  </si>
  <si>
    <t>丰台区汽车博物馆西路8号院1号楼7层713</t>
  </si>
  <si>
    <t>丰台区汽车博物馆西路8号院1号楼7层714</t>
  </si>
  <si>
    <t>丰台区汽车博物馆西路8号院1号楼8层801</t>
    <phoneticPr fontId="206" type="noConversion"/>
  </si>
  <si>
    <t>丰台区汽车博物馆西路8号院1号楼8层802</t>
  </si>
  <si>
    <t>丰台区汽车博物馆西路8号院1号楼8层803</t>
  </si>
  <si>
    <t>丰台区汽车博物馆西路8号院1号楼8层804</t>
  </si>
  <si>
    <t>丰台区汽车博物馆西路8号院1号楼8层805</t>
  </si>
  <si>
    <t>丰台区汽车博物馆西路8号院1号楼8层806</t>
  </si>
  <si>
    <t>丰台区汽车博物馆西路8号院1号楼8层807</t>
  </si>
  <si>
    <t>丰台区汽车博物馆西路8号院1号楼8层808</t>
  </si>
  <si>
    <t>丰台区汽车博物馆西路8号院1号楼8层809</t>
  </si>
  <si>
    <t>丰台区汽车博物馆西路8号院1号楼8层810</t>
  </si>
  <si>
    <t>丰台区汽车博物馆西路8号院1号楼8层811</t>
  </si>
  <si>
    <t>丰台区汽车博物馆西路8号院1号楼8层812</t>
  </si>
  <si>
    <t>丰台区汽车博物馆西路8号院1号楼8层813</t>
  </si>
  <si>
    <t>丰台区汽车博物馆西路8号院1号楼8层814</t>
  </si>
  <si>
    <t>丰台区汽车博物馆西路8号院1号楼9层901</t>
    <phoneticPr fontId="206" type="noConversion"/>
  </si>
  <si>
    <t>丰台区汽车博物馆西路8号院1号楼9层902</t>
  </si>
  <si>
    <t>丰台区汽车博物馆西路8号院1号楼9层903</t>
  </si>
  <si>
    <t>丰台区汽车博物馆西路8号院1号楼9层904</t>
  </si>
  <si>
    <t>丰台区汽车博物馆西路8号院1号楼9层905</t>
  </si>
  <si>
    <t>丰台区汽车博物馆西路8号院1号楼9层906</t>
  </si>
  <si>
    <t>丰台区汽车博物馆西路8号院1号楼9层907</t>
  </si>
  <si>
    <t>丰台区汽车博物馆西路8号院1号楼9层908</t>
  </si>
  <si>
    <t>丰台区汽车博物馆西路8号院1号楼9层909</t>
  </si>
  <si>
    <t>丰台区汽车博物馆西路8号院1号楼9层910</t>
  </si>
  <si>
    <t>丰台区汽车博物馆西路8号院1号楼9层911</t>
  </si>
  <si>
    <t>丰台区汽车博物馆西路8号院1号楼9层912</t>
  </si>
  <si>
    <t>丰台区汽车博物馆西路8号院1号楼9层913</t>
  </si>
  <si>
    <t>丰台区汽车博物馆西路8号院1号楼9层914</t>
  </si>
  <si>
    <t>丰台区汽车博物馆西路8号院1号楼10层1001</t>
    <phoneticPr fontId="206" type="noConversion"/>
  </si>
  <si>
    <t>丰台区汽车博物馆西路8号院1号楼10层1002</t>
  </si>
  <si>
    <t>丰台区汽车博物馆西路8号院1号楼10层1003</t>
  </si>
  <si>
    <t>丰台区汽车博物馆西路8号院1号楼10层1004</t>
  </si>
  <si>
    <t>丰台区汽车博物馆西路8号院1号楼10层1005</t>
  </si>
  <si>
    <t>丰台区汽车博物馆西路8号院1号楼10层1006</t>
  </si>
  <si>
    <t>丰台区汽车博物馆西路8号院1号楼10层1007</t>
  </si>
  <si>
    <t>丰台区汽车博物馆西路8号院1号楼10层1008</t>
  </si>
  <si>
    <t>丰台区汽车博物馆西路8号院1号楼10层1009</t>
  </si>
  <si>
    <t>丰台区汽车博物馆西路8号院1号楼10层1010</t>
  </si>
  <si>
    <t>丰台区汽车博物馆西路8号院1号楼10层1011</t>
  </si>
  <si>
    <t>丰台区汽车博物馆西路8号院1号楼10层1012</t>
  </si>
  <si>
    <t>丰台区汽车博物馆西路8号院1号楼10层1013</t>
  </si>
  <si>
    <t>丰台区汽车博物馆西路8号院1号楼10层1014</t>
  </si>
  <si>
    <t>丰台区汽车博物馆西路8号院1号楼11层1101</t>
    <phoneticPr fontId="206" type="noConversion"/>
  </si>
  <si>
    <t>丰台区汽车博物馆西路8号院1号楼11层1102</t>
  </si>
  <si>
    <t>丰台区汽车博物馆西路8号院1号楼11层1103</t>
  </si>
  <si>
    <t>丰台区汽车博物馆西路8号院1号楼11层1104</t>
  </si>
  <si>
    <t>丰台区汽车博物馆西路8号院1号楼11层1105</t>
  </si>
  <si>
    <t>丰台区汽车博物馆西路8号院1号楼11层1106</t>
  </si>
  <si>
    <t>丰台区汽车博物馆西路8号院1号楼11层1107</t>
  </si>
  <si>
    <t>丰台区汽车博物馆西路8号院1号楼11层1108</t>
  </si>
  <si>
    <t>丰台区汽车博物馆西路8号院1号楼11层1109</t>
  </si>
  <si>
    <t>丰台区汽车博物馆西路8号院1号楼11层1110</t>
  </si>
  <si>
    <t>丰台区汽车博物馆西路8号院1号楼11层1111</t>
  </si>
  <si>
    <t>丰台区汽车博物馆西路8号院1号楼11层1112</t>
  </si>
  <si>
    <t>丰台区汽车博物馆西路8号院1号楼11层1113</t>
  </si>
  <si>
    <t>丰台区汽车博物馆西路8号院1号楼11层1114</t>
  </si>
  <si>
    <t>丰台区汽车博物馆西路8号院1号楼12层1201</t>
    <phoneticPr fontId="206" type="noConversion"/>
  </si>
  <si>
    <t>丰台区汽车博物馆西路8号院1号楼12层1202</t>
  </si>
  <si>
    <t>丰台区汽车博物馆西路8号院1号楼12层1203</t>
  </si>
  <si>
    <t>丰台区汽车博物馆西路8号院1号楼12层1204</t>
  </si>
  <si>
    <t>丰台区汽车博物馆西路8号院1号楼12层1205</t>
  </si>
  <si>
    <t>丰台区汽车博物馆西路8号院1号楼12层1206</t>
  </si>
  <si>
    <t>丰台区汽车博物馆西路8号院1号楼12层1207</t>
  </si>
  <si>
    <t>1号楼</t>
    <phoneticPr fontId="4" type="noConversion"/>
  </si>
  <si>
    <t>是</t>
  </si>
  <si>
    <t>地上</t>
  </si>
  <si>
    <t>底商</t>
  </si>
  <si>
    <t>1号楼</t>
    <phoneticPr fontId="206" type="noConversion"/>
  </si>
  <si>
    <t>商业</t>
    <phoneticPr fontId="206" type="noConversion"/>
  </si>
  <si>
    <t>办公</t>
    <phoneticPr fontId="206" type="noConversion"/>
  </si>
  <si>
    <t>1层</t>
  </si>
  <si>
    <t>1层</t>
    <phoneticPr fontId="206" type="noConversion"/>
  </si>
  <si>
    <t>2层</t>
  </si>
  <si>
    <t>2层</t>
    <phoneticPr fontId="206" type="noConversion"/>
  </si>
  <si>
    <t>办公楼</t>
  </si>
  <si>
    <t>2号楼</t>
    <phoneticPr fontId="4" type="noConversion"/>
  </si>
  <si>
    <t>丰台区汽车博物馆西路8号院2号楼2层201</t>
    <phoneticPr fontId="206" type="noConversion"/>
  </si>
  <si>
    <t>丰台区汽车博物馆西路8号院2号楼2层202</t>
  </si>
  <si>
    <t>丰台区汽车博物馆西路8号院2号楼2层203</t>
  </si>
  <si>
    <t>丰台区汽车博物馆西路8号院2号楼3层301</t>
    <phoneticPr fontId="206" type="noConversion"/>
  </si>
  <si>
    <t>办公</t>
    <phoneticPr fontId="206" type="noConversion"/>
  </si>
  <si>
    <t>丰台区汽车博物馆西路8号院2号楼3层302</t>
  </si>
  <si>
    <t>丰台区汽车博物馆西路8号院2号楼3层303</t>
  </si>
  <si>
    <t>丰台区汽车博物馆西路8号院2号楼3层304</t>
  </si>
  <si>
    <t>丰台区汽车博物馆西路8号院2号楼3层305</t>
  </si>
  <si>
    <t>丰台区汽车博物馆西路8号院2号楼3层306</t>
  </si>
  <si>
    <t>丰台区汽车博物馆西路8号院2号楼3层307</t>
  </si>
  <si>
    <t>丰台区汽车博物馆西路8号院2号楼3层308</t>
  </si>
  <si>
    <t>丰台区汽车博物馆西路8号院2号楼3层309</t>
  </si>
  <si>
    <t>丰台区汽车博物馆西路8号院2号楼3层310</t>
  </si>
  <si>
    <t>丰台区汽车博物馆西路8号院2号楼3层311</t>
  </si>
  <si>
    <t>丰台区汽车博物馆西路8号院2号楼3层312</t>
  </si>
  <si>
    <t>丰台区汽车博物馆西路8号院2号楼3层313</t>
  </si>
  <si>
    <t>丰台区汽车博物馆西路8号院2号楼5层514</t>
    <phoneticPr fontId="206" type="noConversion"/>
  </si>
  <si>
    <t>丰台区汽车博物馆西路8号院2号楼6层601</t>
    <phoneticPr fontId="206" type="noConversion"/>
  </si>
  <si>
    <t>丰台区汽车博物馆西路8号院2号楼6层602</t>
  </si>
  <si>
    <t>丰台区汽车博物馆西路8号院2号楼6层603</t>
  </si>
  <si>
    <t>丰台区汽车博物馆西路8号院2号楼6层604</t>
  </si>
  <si>
    <t>丰台区汽车博物馆西路8号院2号楼6层605</t>
  </si>
  <si>
    <t>丰台区汽车博物馆西路8号院2号楼6层606</t>
  </si>
  <si>
    <t>丰台区汽车博物馆西路8号院2号楼6层607</t>
  </si>
  <si>
    <t>丰台区汽车博物馆西路8号院2号楼6层608</t>
  </si>
  <si>
    <t>丰台区汽车博物馆西路8号院2号楼6层609</t>
  </si>
  <si>
    <t>丰台区汽车博物馆西路8号院2号楼6层610</t>
  </si>
  <si>
    <t>丰台区汽车博物馆西路8号院2号楼6层611</t>
  </si>
  <si>
    <t>丰台区汽车博物馆西路8号院2号楼6层612</t>
  </si>
  <si>
    <t>丰台区汽车博物馆西路8号院2号楼6层613</t>
  </si>
  <si>
    <t>丰台区汽车博物馆西路8号院2号楼6层614</t>
  </si>
  <si>
    <t>丰台区汽车博物馆西路8号院2号楼7层701</t>
    <phoneticPr fontId="206" type="noConversion"/>
  </si>
  <si>
    <t>丰台区汽车博物馆西路8号院2号楼7层702</t>
  </si>
  <si>
    <t>丰台区汽车博物馆西路8号院2号楼7层703</t>
  </si>
  <si>
    <t>丰台区汽车博物馆西路8号院2号楼7层704</t>
  </si>
  <si>
    <t>丰台区汽车博物馆西路8号院2号楼7层705</t>
  </si>
  <si>
    <t>丰台区汽车博物馆西路8号院2号楼7层706</t>
  </si>
  <si>
    <t>丰台区汽车博物馆西路8号院2号楼7层707</t>
  </si>
  <si>
    <t>丰台区汽车博物馆西路8号院2号楼7层708</t>
  </si>
  <si>
    <t>丰台区汽车博物馆西路8号院2号楼7层709</t>
  </si>
  <si>
    <t>丰台区汽车博物馆西路8号院2号楼7层710</t>
  </si>
  <si>
    <t>丰台区汽车博物馆西路8号院2号楼7层711</t>
  </si>
  <si>
    <t>丰台区汽车博物馆西路8号院2号楼7层712</t>
  </si>
  <si>
    <t>丰台区汽车博物馆西路8号院2号楼7层713</t>
  </si>
  <si>
    <t>丰台区汽车博物馆西路8号院2号楼7层714</t>
  </si>
  <si>
    <t>丰台区汽车博物馆西路8号院2号楼8层801</t>
    <phoneticPr fontId="206" type="noConversion"/>
  </si>
  <si>
    <t>丰台区汽车博物馆西路8号院2号楼8层802</t>
  </si>
  <si>
    <t>丰台区汽车博物馆西路8号院2号楼8层803</t>
  </si>
  <si>
    <t>丰台区汽车博物馆西路8号院2号楼8层804</t>
  </si>
  <si>
    <t>丰台区汽车博物馆西路8号院2号楼8层805</t>
  </si>
  <si>
    <t>丰台区汽车博物馆西路8号院2号楼8层806</t>
  </si>
  <si>
    <t>丰台区汽车博物馆西路8号院2号楼8层807</t>
  </si>
  <si>
    <t>丰台区汽车博物馆西路8号院2号楼8层808</t>
  </si>
  <si>
    <t>丰台区汽车博物馆西路8号院2号楼8层809</t>
  </si>
  <si>
    <t>丰台区汽车博物馆西路8号院2号楼8层810</t>
  </si>
  <si>
    <t>丰台区汽车博物馆西路8号院2号楼8层811</t>
  </si>
  <si>
    <t>丰台区汽车博物馆西路8号院2号楼8层812</t>
  </si>
  <si>
    <t>丰台区汽车博物馆西路8号院2号楼8层813</t>
  </si>
  <si>
    <t>丰台区汽车博物馆西路8号院2号楼8层814</t>
  </si>
  <si>
    <t>丰台区汽车博物馆西路8号院2号楼9层901</t>
    <phoneticPr fontId="206" type="noConversion"/>
  </si>
  <si>
    <t>丰台区汽车博物馆西路8号院2号楼9层902</t>
  </si>
  <si>
    <t>丰台区汽车博物馆西路8号院2号楼9层903</t>
  </si>
  <si>
    <t>丰台区汽车博物馆西路8号院2号楼9层904</t>
  </si>
  <si>
    <t>丰台区汽车博物馆西路8号院2号楼9层905</t>
  </si>
  <si>
    <t>丰台区汽车博物馆西路8号院2号楼9层906</t>
  </si>
  <si>
    <t>丰台区汽车博物馆西路8号院2号楼9层907</t>
  </si>
  <si>
    <t>丰台区汽车博物馆西路8号院2号楼10层1001</t>
    <phoneticPr fontId="206" type="noConversion"/>
  </si>
  <si>
    <t>丰台区汽车博物馆西路8号院2号楼10层1002</t>
  </si>
  <si>
    <t>丰台区汽车博物馆西路8号院2号楼10层1003</t>
  </si>
  <si>
    <t>丰台区汽车博物馆西路8号院2号楼10层1004</t>
  </si>
  <si>
    <t>丰台区汽车博物馆西路8号院2号楼10层1005</t>
  </si>
  <si>
    <t>丰台区汽车博物馆西路8号院2号楼10层1006</t>
  </si>
  <si>
    <t>丰台区汽车博物馆西路8号院2号楼10层1007</t>
  </si>
  <si>
    <t>丰台区汽车博物馆西路8号院2号楼3层314</t>
    <phoneticPr fontId="206" type="noConversion"/>
  </si>
  <si>
    <t>丰台区汽车博物馆西路8号院2号楼4层401</t>
    <phoneticPr fontId="206" type="noConversion"/>
  </si>
  <si>
    <t>丰台区汽车博物馆西路8号院2号楼4层402</t>
  </si>
  <si>
    <t>丰台区汽车博物馆西路8号院2号楼4层403</t>
  </si>
  <si>
    <t>丰台区汽车博物馆西路8号院2号楼4层404</t>
  </si>
  <si>
    <t>丰台区汽车博物馆西路8号院2号楼4层405</t>
  </si>
  <si>
    <t>丰台区汽车博物馆西路8号院2号楼4层406</t>
  </si>
  <si>
    <t>丰台区汽车博物馆西路8号院2号楼4层407</t>
  </si>
  <si>
    <t>丰台区汽车博物馆西路8号院2号楼4层408</t>
  </si>
  <si>
    <t>丰台区汽车博物馆西路8号院2号楼4层409</t>
  </si>
  <si>
    <t>丰台区汽车博物馆西路8号院2号楼4层410</t>
  </si>
  <si>
    <t>丰台区汽车博物馆西路8号院2号楼4层411</t>
  </si>
  <si>
    <t>丰台区汽车博物馆西路8号院2号楼4层412</t>
  </si>
  <si>
    <t>丰台区汽车博物馆西路8号院2号楼4层413</t>
  </si>
  <si>
    <t>丰台区汽车博物馆西路8号院2号楼4层414</t>
  </si>
  <si>
    <t>丰台区汽车博物馆西路8号院2号楼5层501</t>
    <phoneticPr fontId="206" type="noConversion"/>
  </si>
  <si>
    <t>丰台区汽车博物馆西路8号院2号楼5层502</t>
  </si>
  <si>
    <t>丰台区汽车博物馆西路8号院2号楼5层503</t>
  </si>
  <si>
    <t>丰台区汽车博物馆西路8号院2号楼5层504</t>
  </si>
  <si>
    <t>丰台区汽车博物馆西路8号院2号楼5层505</t>
  </si>
  <si>
    <t>丰台区汽车博物馆西路8号院2号楼5层506</t>
  </si>
  <si>
    <t>丰台区汽车博物馆西路8号院2号楼5层507</t>
  </si>
  <si>
    <t>丰台区汽车博物馆西路8号院2号楼5层508</t>
  </si>
  <si>
    <t>丰台区汽车博物馆西路8号院2号楼5层509</t>
  </si>
  <si>
    <t>丰台区汽车博物馆西路8号院2号楼5层510</t>
  </si>
  <si>
    <t>丰台区汽车博物馆西路8号院2号楼5层511</t>
  </si>
  <si>
    <t>丰台区汽车博物馆西路8号院2号楼5层512</t>
  </si>
  <si>
    <t>丰台区汽车博物馆西路8号院2号楼5层513</t>
  </si>
  <si>
    <t>2号楼</t>
    <phoneticPr fontId="206" type="noConversion"/>
  </si>
  <si>
    <t>3号楼</t>
    <phoneticPr fontId="4" type="noConversion"/>
  </si>
  <si>
    <t>丰台区汽车博物馆西路8号院3号楼10层1007</t>
    <phoneticPr fontId="206" type="noConversion"/>
  </si>
  <si>
    <t>丰台区汽车博物馆西路8号院3号楼1层101</t>
    <phoneticPr fontId="206" type="noConversion"/>
  </si>
  <si>
    <t>丰台区汽车博物馆西路8号院3号楼1层102</t>
  </si>
  <si>
    <t>丰台区汽车博物馆西路8号院3号楼1层103</t>
  </si>
  <si>
    <t>丰台区汽车博物馆西路8号院3号楼1层104</t>
  </si>
  <si>
    <t>丰台区汽车博物馆西路8号院3号楼2层201</t>
    <phoneticPr fontId="206" type="noConversion"/>
  </si>
  <si>
    <t>丰台区汽车博物馆西路8号院3号楼2层202</t>
  </si>
  <si>
    <t>丰台区汽车博物馆西路8号院3号楼2层203</t>
  </si>
  <si>
    <t>丰台区汽车博物馆西路8号院3号楼2层204</t>
  </si>
  <si>
    <t>丰台区汽车博物馆西路8号院3号楼2层205</t>
  </si>
  <si>
    <t>丰台区汽车博物馆西路8号院3号楼3层301</t>
    <phoneticPr fontId="206" type="noConversion"/>
  </si>
  <si>
    <t>丰台区汽车博物馆西路8号院3号楼3层302</t>
  </si>
  <si>
    <t>丰台区汽车博物馆西路8号院3号楼3层303</t>
  </si>
  <si>
    <t>丰台区汽车博物馆西路8号院3号楼3层304</t>
  </si>
  <si>
    <t>丰台区汽车博物馆西路8号院3号楼3层305</t>
  </si>
  <si>
    <t>丰台区汽车博物馆西路8号院3号楼3层306</t>
  </si>
  <si>
    <t>丰台区汽车博物馆西路8号院3号楼3层307</t>
  </si>
  <si>
    <t>丰台区汽车博物馆西路8号院3号楼3层308</t>
  </si>
  <si>
    <t>丰台区汽车博物馆西路8号院3号楼3层309</t>
  </si>
  <si>
    <t>丰台区汽车博物馆西路8号院3号楼3层310</t>
  </si>
  <si>
    <t>丰台区汽车博物馆西路8号院3号楼3层311</t>
  </si>
  <si>
    <t>丰台区汽车博物馆西路8号院3号楼3层312</t>
  </si>
  <si>
    <t>丰台区汽车博物馆西路8号院3号楼3层313</t>
  </si>
  <si>
    <t>丰台区汽车博物馆西路8号院3号楼3层314</t>
  </si>
  <si>
    <t>丰台区汽车博物馆西路8号院3号楼4层401</t>
    <phoneticPr fontId="206" type="noConversion"/>
  </si>
  <si>
    <t>丰台区汽车博物馆西路8号院3号楼4层402</t>
  </si>
  <si>
    <t>丰台区汽车博物馆西路8号院3号楼4层403</t>
  </si>
  <si>
    <t>丰台区汽车博物馆西路8号院3号楼4层404</t>
  </si>
  <si>
    <t>丰台区汽车博物馆西路8号院3号楼4层405</t>
  </si>
  <si>
    <t>丰台区汽车博物馆西路8号院3号楼4层406</t>
  </si>
  <si>
    <t>丰台区汽车博物馆西路8号院3号楼4层407</t>
  </si>
  <si>
    <t>丰台区汽车博物馆西路8号院3号楼4层408</t>
  </si>
  <si>
    <t>丰台区汽车博物馆西路8号院3号楼4层409</t>
  </si>
  <si>
    <t>丰台区汽车博物馆西路8号院3号楼4层410</t>
  </si>
  <si>
    <t>丰台区汽车博物馆西路8号院3号楼4层411</t>
  </si>
  <si>
    <t>丰台区汽车博物馆西路8号院3号楼4层412</t>
  </si>
  <si>
    <t>丰台区汽车博物馆西路8号院3号楼4层413</t>
  </si>
  <si>
    <t>丰台区汽车博物馆西路8号院3号楼4层414</t>
  </si>
  <si>
    <t>丰台区汽车博物馆西路8号院3号楼5层501</t>
    <phoneticPr fontId="206" type="noConversion"/>
  </si>
  <si>
    <t>丰台区汽车博物馆西路8号院3号楼5层502</t>
  </si>
  <si>
    <t>丰台区汽车博物馆西路8号院3号楼5层503</t>
  </si>
  <si>
    <t>丰台区汽车博物馆西路8号院3号楼5层504</t>
  </si>
  <si>
    <t>丰台区汽车博物馆西路8号院3号楼5层505</t>
  </si>
  <si>
    <t>丰台区汽车博物馆西路8号院3号楼5层506</t>
  </si>
  <si>
    <t>丰台区汽车博物馆西路8号院3号楼5层507</t>
  </si>
  <si>
    <t>丰台区汽车博物馆西路8号院3号楼5层508</t>
  </si>
  <si>
    <t>丰台区汽车博物馆西路8号院3号楼5层509</t>
  </si>
  <si>
    <t>丰台区汽车博物馆西路8号院3号楼5层510</t>
  </si>
  <si>
    <t>丰台区汽车博物馆西路8号院3号楼5层511</t>
  </si>
  <si>
    <t>丰台区汽车博物馆西路8号院3号楼5层512</t>
  </si>
  <si>
    <t>丰台区汽车博物馆西路8号院3号楼5层513</t>
  </si>
  <si>
    <t>丰台区汽车博物馆西路8号院3号楼5层514</t>
  </si>
  <si>
    <t>丰台区汽车博物馆西路8号院3号楼6层601</t>
    <phoneticPr fontId="206" type="noConversion"/>
  </si>
  <si>
    <t>丰台区汽车博物馆西路8号院3号楼6层602</t>
  </si>
  <si>
    <t>丰台区汽车博物馆西路8号院3号楼6层603</t>
  </si>
  <si>
    <t>丰台区汽车博物馆西路8号院3号楼6层604</t>
  </si>
  <si>
    <t>丰台区汽车博物馆西路8号院3号楼6层605</t>
  </si>
  <si>
    <t>丰台区汽车博物馆西路8号院3号楼6层606</t>
  </si>
  <si>
    <t>丰台区汽车博物馆西路8号院3号楼6层607</t>
  </si>
  <si>
    <t>丰台区汽车博物馆西路8号院3号楼6层608</t>
  </si>
  <si>
    <t>丰台区汽车博物馆西路8号院3号楼6层609</t>
  </si>
  <si>
    <t>丰台区汽车博物馆西路8号院3号楼6层610</t>
  </si>
  <si>
    <t>丰台区汽车博物馆西路8号院3号楼6层611</t>
  </si>
  <si>
    <t>丰台区汽车博物馆西路8号院3号楼6层612</t>
  </si>
  <si>
    <t>丰台区汽车博物馆西路8号院3号楼6层613</t>
  </si>
  <si>
    <t>丰台区汽车博物馆西路8号院3号楼6层614</t>
  </si>
  <si>
    <t>丰台区汽车博物馆西路8号院3号楼7层701</t>
    <phoneticPr fontId="206" type="noConversion"/>
  </si>
  <si>
    <t>丰台区汽车博物馆西路8号院3号楼7层702</t>
  </si>
  <si>
    <t>丰台区汽车博物馆西路8号院3号楼7层703</t>
  </si>
  <si>
    <t>丰台区汽车博物馆西路8号院3号楼7层704</t>
  </si>
  <si>
    <t>丰台区汽车博物馆西路8号院3号楼7层705</t>
  </si>
  <si>
    <t>丰台区汽车博物馆西路8号院3号楼7层706</t>
  </si>
  <si>
    <t>丰台区汽车博物馆西路8号院3号楼7层707</t>
  </si>
  <si>
    <t>丰台区汽车博物馆西路8号院3号楼7层708</t>
  </si>
  <si>
    <t>丰台区汽车博物馆西路8号院3号楼7层709</t>
  </si>
  <si>
    <t>丰台区汽车博物馆西路8号院3号楼7层710</t>
  </si>
  <si>
    <t>丰台区汽车博物馆西路8号院3号楼7层711</t>
  </si>
  <si>
    <t>丰台区汽车博物馆西路8号院3号楼7层712</t>
  </si>
  <si>
    <t>丰台区汽车博物馆西路8号院3号楼7层713</t>
  </si>
  <si>
    <t>丰台区汽车博物馆西路8号院3号楼7层714</t>
  </si>
  <si>
    <t>丰台区汽车博物馆西路8号院3号楼8层801</t>
    <phoneticPr fontId="206" type="noConversion"/>
  </si>
  <si>
    <t>丰台区汽车博物馆西路8号院3号楼8层802</t>
  </si>
  <si>
    <t>丰台区汽车博物馆西路8号院3号楼8层803</t>
  </si>
  <si>
    <t>丰台区汽车博物馆西路8号院3号楼8层804</t>
  </si>
  <si>
    <t>丰台区汽车博物馆西路8号院3号楼8层805</t>
  </si>
  <si>
    <t>丰台区汽车博物馆西路8号院3号楼8层806</t>
  </si>
  <si>
    <t>丰台区汽车博物馆西路8号院3号楼8层807</t>
  </si>
  <si>
    <t>丰台区汽车博物馆西路8号院3号楼8层808</t>
  </si>
  <si>
    <t>丰台区汽车博物馆西路8号院3号楼8层809</t>
  </si>
  <si>
    <t>丰台区汽车博物馆西路8号院3号楼8层810</t>
  </si>
  <si>
    <t>丰台区汽车博物馆西路8号院3号楼8层811</t>
  </si>
  <si>
    <t>丰台区汽车博物馆西路8号院3号楼8层812</t>
  </si>
  <si>
    <t>丰台区汽车博物馆西路8号院3号楼8层813</t>
  </si>
  <si>
    <t>丰台区汽车博物馆西路8号院3号楼8层814</t>
  </si>
  <si>
    <t>丰台区汽车博物馆西路8号院3号楼9层901</t>
    <phoneticPr fontId="206" type="noConversion"/>
  </si>
  <si>
    <t>丰台区汽车博物馆西路8号院3号楼9层902</t>
  </si>
  <si>
    <t>丰台区汽车博物馆西路8号院3号楼9层903</t>
  </si>
  <si>
    <t>丰台区汽车博物馆西路8号院3号楼9层904</t>
  </si>
  <si>
    <t>丰台区汽车博物馆西路8号院3号楼9层905</t>
  </si>
  <si>
    <t>丰台区汽车博物馆西路8号院3号楼9层906</t>
  </si>
  <si>
    <t>丰台区汽车博物馆西路8号院3号楼9层907</t>
  </si>
  <si>
    <t>丰台区汽车博物馆西路8号院3号楼9层908</t>
  </si>
  <si>
    <t>丰台区汽车博物馆西路8号院3号楼9层909</t>
  </si>
  <si>
    <t>丰台区汽车博物馆西路8号院3号楼9层910</t>
  </si>
  <si>
    <t>丰台区汽车博物馆西路8号院3号楼9层911</t>
  </si>
  <si>
    <t>丰台区汽车博物馆西路8号院3号楼9层912</t>
  </si>
  <si>
    <t>丰台区汽车博物馆西路8号院3号楼9层913</t>
  </si>
  <si>
    <t>丰台区汽车博物馆西路8号院3号楼9层914</t>
  </si>
  <si>
    <t>丰台区汽车博物馆西路8号院3号楼10层1001</t>
    <phoneticPr fontId="206" type="noConversion"/>
  </si>
  <si>
    <t>丰台区汽车博物馆西路8号院3号楼10层1002</t>
  </si>
  <si>
    <t>丰台区汽车博物馆西路8号院3号楼10层1003</t>
  </si>
  <si>
    <t>丰台区汽车博物馆西路8号院3号楼10层1004</t>
  </si>
  <si>
    <t>丰台区汽车博物馆西路8号院3号楼10层1005</t>
  </si>
  <si>
    <t>丰台区汽车博物馆西路8号院3号楼10层1006</t>
  </si>
  <si>
    <t>3号楼</t>
    <phoneticPr fontId="206" type="noConversion"/>
  </si>
  <si>
    <t>1、2、3号楼办公</t>
  </si>
  <si>
    <t>1、2、3号楼办公</t>
    <phoneticPr fontId="8" type="noConversion"/>
  </si>
  <si>
    <t>合计</t>
    <phoneticPr fontId="206" type="noConversion"/>
  </si>
  <si>
    <t>1、2、3号楼1层商业</t>
  </si>
  <si>
    <t>1、2、3号楼1层商业</t>
    <phoneticPr fontId="8" type="noConversion"/>
  </si>
  <si>
    <t>1、2、3号楼2层商业</t>
    <phoneticPr fontId="8" type="noConversion"/>
  </si>
  <si>
    <t>估价对象位于丰台科技园商圈，周边办公楼项目较多，入驻率高，办公集聚程度较好</t>
    <phoneticPr fontId="35" type="noConversion"/>
  </si>
  <si>
    <t>较好</t>
  </si>
  <si>
    <t>一般</t>
  </si>
  <si>
    <t>七通</t>
  </si>
  <si>
    <t>丰台区汽车博物馆西路8号院</t>
    <phoneticPr fontId="4" type="noConversion"/>
  </si>
  <si>
    <t>华夏幸福创新中心</t>
    <phoneticPr fontId="4" type="noConversion"/>
  </si>
  <si>
    <t>办公</t>
    <phoneticPr fontId="47" type="noConversion"/>
  </si>
  <si>
    <t>40-50（含）</t>
  </si>
  <si>
    <t>五圈路</t>
    <phoneticPr fontId="47" type="noConversion"/>
  </si>
  <si>
    <t>高速公路</t>
    <phoneticPr fontId="47" type="noConversion"/>
  </si>
  <si>
    <t>城市快速路</t>
    <phoneticPr fontId="47" type="noConversion"/>
  </si>
  <si>
    <t>主干道</t>
    <phoneticPr fontId="47" type="noConversion"/>
  </si>
  <si>
    <t>次干道</t>
  </si>
  <si>
    <t>次干道</t>
    <phoneticPr fontId="47" type="noConversion"/>
  </si>
  <si>
    <t>支路</t>
    <phoneticPr fontId="47" type="noConversion"/>
  </si>
  <si>
    <t>标准写字楼</t>
  </si>
  <si>
    <t>标准写字楼</t>
    <phoneticPr fontId="47" type="noConversion"/>
  </si>
  <si>
    <t>商务楼</t>
    <phoneticPr fontId="47" type="noConversion"/>
  </si>
  <si>
    <t>钢混</t>
    <phoneticPr fontId="4" type="noConversion"/>
  </si>
  <si>
    <t>混合</t>
    <phoneticPr fontId="4" type="noConversion"/>
  </si>
  <si>
    <t>钢混</t>
  </si>
  <si>
    <t>精装</t>
    <phoneticPr fontId="4" type="noConversion"/>
  </si>
  <si>
    <t>普装</t>
    <phoneticPr fontId="4" type="noConversion"/>
  </si>
  <si>
    <t>简装</t>
    <phoneticPr fontId="4" type="noConversion"/>
  </si>
  <si>
    <t>毛坯</t>
    <phoneticPr fontId="4" type="noConversion"/>
  </si>
  <si>
    <t>精装</t>
  </si>
  <si>
    <t>甲级</t>
    <phoneticPr fontId="4" type="noConversion"/>
  </si>
  <si>
    <t>乙级</t>
    <phoneticPr fontId="4" type="noConversion"/>
  </si>
  <si>
    <t>丙级</t>
    <phoneticPr fontId="4" type="noConversion"/>
  </si>
  <si>
    <t>甲级</t>
  </si>
  <si>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</si>
  <si>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</si>
  <si>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</si>
  <si>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</si>
  <si>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</si>
  <si>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</si>
  <si>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</si>
  <si>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标准层高</t>
  </si>
  <si>
    <t>标准层高</t>
    <phoneticPr fontId="47" type="noConversion"/>
  </si>
  <si>
    <t>专业</t>
  </si>
  <si>
    <t>六通</t>
  </si>
  <si>
    <t>70-280</t>
    <phoneticPr fontId="47" type="noConversion"/>
  </si>
  <si>
    <t>毛坯</t>
  </si>
  <si>
    <t>盈坤世纪</t>
    <phoneticPr fontId="4" type="noConversion"/>
  </si>
  <si>
    <t>北京诺德中心三期</t>
    <phoneticPr fontId="4" type="noConversion"/>
  </si>
  <si>
    <t>丰台南四环西路126号汽车博物馆（西侧）</t>
    <phoneticPr fontId="4" type="noConversion"/>
  </si>
  <si>
    <t>北京诺德中心二期</t>
    <phoneticPr fontId="4" type="noConversion"/>
  </si>
  <si>
    <t>华夏幸福创新中心</t>
    <phoneticPr fontId="4" type="noConversion"/>
  </si>
  <si>
    <t>商业</t>
    <phoneticPr fontId="46" type="noConversion"/>
  </si>
  <si>
    <t>30-40（含）</t>
  </si>
  <si>
    <t>估价对象位于科技园商圈，周边商业氛围一般，人流量一般，商业繁华度一般</t>
    <phoneticPr fontId="35" type="noConversion"/>
  </si>
  <si>
    <t>多面临街</t>
    <phoneticPr fontId="4" type="noConversion"/>
  </si>
  <si>
    <t>双面临街</t>
    <phoneticPr fontId="4" type="noConversion"/>
  </si>
  <si>
    <t>单面临街</t>
    <phoneticPr fontId="4" type="noConversion"/>
  </si>
  <si>
    <t>单面临街</t>
  </si>
  <si>
    <t>大</t>
    <phoneticPr fontId="4" type="noConversion"/>
  </si>
  <si>
    <t>较大</t>
    <phoneticPr fontId="4" type="noConversion"/>
  </si>
  <si>
    <t>一般</t>
    <phoneticPr fontId="4" type="noConversion"/>
  </si>
  <si>
    <t>较小</t>
    <phoneticPr fontId="4" type="noConversion"/>
  </si>
  <si>
    <t>小</t>
    <phoneticPr fontId="4" type="noConversion"/>
  </si>
  <si>
    <t>好</t>
    <phoneticPr fontId="46" type="noConversion"/>
  </si>
  <si>
    <t>较好</t>
    <phoneticPr fontId="46" type="noConversion"/>
  </si>
  <si>
    <t>一般</t>
    <phoneticPr fontId="46" type="noConversion"/>
  </si>
  <si>
    <t>较差</t>
    <phoneticPr fontId="46" type="noConversion"/>
  </si>
  <si>
    <t>差</t>
    <phoneticPr fontId="46" type="noConversion"/>
  </si>
  <si>
    <t>1层</t>
    <phoneticPr fontId="4" type="noConversion"/>
  </si>
  <si>
    <t>下沉式商业广场</t>
    <phoneticPr fontId="4" type="noConversion"/>
  </si>
  <si>
    <t>独栋商业</t>
    <phoneticPr fontId="4" type="noConversion"/>
  </si>
  <si>
    <t>商业街商铺</t>
    <phoneticPr fontId="4" type="noConversion"/>
  </si>
  <si>
    <t>写字楼底商</t>
    <phoneticPr fontId="4" type="noConversion"/>
  </si>
  <si>
    <t>住宅底商</t>
    <phoneticPr fontId="4" type="noConversion"/>
  </si>
  <si>
    <t>写字楼底商</t>
  </si>
  <si>
    <t>五通</t>
    <phoneticPr fontId="4" type="noConversion"/>
  </si>
  <si>
    <t>四通</t>
    <phoneticPr fontId="4" type="noConversion"/>
  </si>
  <si>
    <t>三通</t>
    <phoneticPr fontId="4" type="noConversion"/>
  </si>
  <si>
    <t>可餐饮</t>
    <phoneticPr fontId="4" type="noConversion"/>
  </si>
  <si>
    <t>不可餐饮</t>
    <phoneticPr fontId="4" type="noConversion"/>
  </si>
  <si>
    <t>有挑高</t>
    <phoneticPr fontId="4" type="noConversion"/>
  </si>
  <si>
    <t>标准层高</t>
    <phoneticPr fontId="4" type="noConversion"/>
  </si>
  <si>
    <t>好</t>
    <phoneticPr fontId="4" type="noConversion"/>
  </si>
  <si>
    <t>较好</t>
    <phoneticPr fontId="4" type="noConversion"/>
  </si>
  <si>
    <t>较差</t>
    <phoneticPr fontId="4" type="noConversion"/>
  </si>
  <si>
    <t>差</t>
    <phoneticPr fontId="4" type="noConversion"/>
  </si>
  <si>
    <t>可餐饮</t>
  </si>
  <si>
    <t>诺德中心二期</t>
    <phoneticPr fontId="4" type="noConversion"/>
  </si>
  <si>
    <t>丰台南四环西路127号汽车博物馆（西侧）</t>
    <phoneticPr fontId="4" type="noConversion"/>
  </si>
  <si>
    <t>丰台南四环西路127号汽车博物馆（西侧）</t>
    <phoneticPr fontId="46" type="noConversion"/>
  </si>
  <si>
    <t>丰台区南四环汽车博物馆东路</t>
    <phoneticPr fontId="4" type="noConversion"/>
  </si>
  <si>
    <t>丰台区南四环汽车博物馆东路</t>
    <phoneticPr fontId="4" type="noConversion"/>
  </si>
  <si>
    <t>名流未来大厦</t>
    <phoneticPr fontId="4" type="noConversion"/>
  </si>
  <si>
    <t>丰台区公益西桥角门18号院</t>
    <phoneticPr fontId="4" type="noConversion"/>
  </si>
  <si>
    <t>20-30（含）</t>
  </si>
  <si>
    <t>较大</t>
  </si>
  <si>
    <t>普装</t>
  </si>
  <si>
    <t>1层商业</t>
    <phoneticPr fontId="35" type="noConversion"/>
  </si>
  <si>
    <r>
      <t>1</t>
    </r>
    <r>
      <rPr>
        <sz val="10"/>
        <color indexed="8"/>
        <rFont val="宋体"/>
        <family val="3"/>
        <charset val="134"/>
      </rPr>
      <t>层</t>
    </r>
    <phoneticPr fontId="35" type="noConversion"/>
  </si>
  <si>
    <r>
      <t>2</t>
    </r>
    <r>
      <rPr>
        <sz val="10"/>
        <color indexed="8"/>
        <rFont val="宋体"/>
        <family val="3"/>
        <charset val="134"/>
      </rPr>
      <t>层</t>
    </r>
    <phoneticPr fontId="35" type="noConversion"/>
  </si>
  <si>
    <r>
      <t>2</t>
    </r>
    <r>
      <rPr>
        <sz val="10"/>
        <color indexed="8"/>
        <rFont val="宋体"/>
        <family val="3"/>
        <charset val="134"/>
      </rPr>
      <t>层商业</t>
    </r>
    <phoneticPr fontId="35" type="noConversion"/>
  </si>
  <si>
    <t>押一</t>
  </si>
  <si>
    <t>收益法（1层商业）</t>
  </si>
  <si>
    <t>收益法（办公）</t>
  </si>
  <si>
    <t>收益法（1层商业）</t>
    <phoneticPr fontId="18" type="noConversion"/>
  </si>
  <si>
    <t>收益法（办公）</t>
    <phoneticPr fontId="18" type="noConversion"/>
  </si>
  <si>
    <t>现房</t>
  </si>
  <si>
    <t>比较法-商业</t>
  </si>
  <si>
    <t>结果表（商业）</t>
    <phoneticPr fontId="18" type="noConversion"/>
  </si>
  <si>
    <t>结果表（办公）</t>
    <phoneticPr fontId="18" type="noConversion"/>
  </si>
  <si>
    <t>比较法-办公</t>
  </si>
  <si>
    <t>收益比率</t>
  </si>
  <si>
    <t>租金</t>
  </si>
  <si>
    <t>诺德中心二期</t>
    <phoneticPr fontId="4" type="noConversion"/>
  </si>
  <si>
    <t>1号楼</t>
    <phoneticPr fontId="206" type="noConversion"/>
  </si>
  <si>
    <t>2号楼</t>
    <phoneticPr fontId="206" type="noConversion"/>
  </si>
  <si>
    <t>3号楼</t>
    <phoneticPr fontId="206" type="noConversion"/>
  </si>
  <si>
    <t>建筑面积</t>
    <phoneticPr fontId="206" type="noConversion"/>
  </si>
  <si>
    <t>分摊土地面积</t>
    <phoneticPr fontId="206" type="noConversion"/>
  </si>
  <si>
    <t>土地</t>
    <phoneticPr fontId="206" type="noConversion"/>
  </si>
  <si>
    <t>建筑物</t>
    <phoneticPr fontId="206" type="noConversion"/>
  </si>
  <si>
    <t>房地产</t>
    <phoneticPr fontId="206" type="noConversion"/>
  </si>
  <si>
    <t>合计</t>
    <phoneticPr fontId="206" type="noConversion"/>
  </si>
  <si>
    <t>总价</t>
    <phoneticPr fontId="206" type="noConversion"/>
  </si>
  <si>
    <t>楼面单价</t>
    <phoneticPr fontId="206" type="noConversion"/>
  </si>
  <si>
    <t>办公收益法</t>
    <phoneticPr fontId="206" type="noConversion"/>
  </si>
  <si>
    <t>建筑物价值比例</t>
    <phoneticPr fontId="206" type="noConversion"/>
  </si>
  <si>
    <t>商业1层收益法</t>
    <phoneticPr fontId="206" type="noConversion"/>
  </si>
  <si>
    <t>合计</t>
    <phoneticPr fontId="206" type="noConversion"/>
  </si>
  <si>
    <t>刘梅</t>
  </si>
  <si>
    <t>吴薇</t>
  </si>
  <si>
    <t>中信银行股份有限公司富力支行</t>
    <phoneticPr fontId="7" type="noConversion"/>
  </si>
  <si>
    <t>综合项目（商业、办公）</t>
  </si>
  <si>
    <t>通路</t>
  </si>
  <si>
    <t>通电</t>
  </si>
  <si>
    <t>通讯</t>
  </si>
  <si>
    <t>通上水</t>
  </si>
  <si>
    <t>通下水</t>
  </si>
  <si>
    <t>燃气</t>
  </si>
  <si>
    <t>《国有土地使用证》[]</t>
    <phoneticPr fontId="7" type="noConversion"/>
  </si>
  <si>
    <t>序号</t>
    <phoneticPr fontId="206" type="noConversion"/>
  </si>
  <si>
    <t>项目名称</t>
    <phoneticPr fontId="206" type="noConversion"/>
  </si>
  <si>
    <t>建筑面积</t>
    <phoneticPr fontId="206" type="noConversion"/>
  </si>
  <si>
    <t>分摊土地面积</t>
    <phoneticPr fontId="206" type="noConversion"/>
  </si>
  <si>
    <t>建筑面积</t>
    <phoneticPr fontId="206" type="noConversion"/>
  </si>
  <si>
    <t>商业</t>
    <phoneticPr fontId="206" type="noConversion"/>
  </si>
  <si>
    <t>办公</t>
    <phoneticPr fontId="206" type="noConversion"/>
  </si>
  <si>
    <t>58-548</t>
    <phoneticPr fontId="46" type="noConversion"/>
  </si>
  <si>
    <t>58-548</t>
    <phoneticPr fontId="46" type="noConversion"/>
  </si>
  <si>
    <t>58-548</t>
    <phoneticPr fontId="206" type="noConversion"/>
  </si>
  <si>
    <t>汉威国际广场</t>
    <phoneticPr fontId="4" type="noConversion"/>
  </si>
  <si>
    <t>丰台区南四环西路186号</t>
    <phoneticPr fontId="4" type="noConversion"/>
  </si>
  <si>
    <t>丰科路</t>
    <phoneticPr fontId="47" type="noConversion"/>
  </si>
  <si>
    <t>74-281</t>
    <phoneticPr fontId="47" type="noConversion"/>
  </si>
  <si>
    <t>74-281</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</si>
</sst>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0" fontId="243" fillId="0" borderId="0"/>
  </cellStyleXfs>
  <cellXfs count="3748">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6"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6"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6"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6" fontId="33" fillId="6" borderId="20" xfId="1" applyNumberFormat="1" applyFont="1" applyFill="1" applyBorder="1" applyAlignment="1" applyProtection="1">
      <alignment horizontal="center" vertical="center"/>
    </xf>
    <xf numFmtId="176"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7"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0"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79"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79"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6" fontId="31" fillId="6" borderId="6" xfId="1" applyNumberFormat="1" applyFont="1" applyFill="1" applyBorder="1" applyAlignment="1" applyProtection="1">
      <alignment vertical="center" wrapText="1"/>
    </xf>
    <xf numFmtId="176" fontId="31" fillId="6" borderId="23" xfId="1" applyNumberFormat="1" applyFont="1" applyFill="1" applyBorder="1" applyAlignment="1" applyProtection="1">
      <alignment vertical="center" wrapText="1"/>
    </xf>
    <xf numFmtId="176" fontId="26" fillId="6" borderId="23" xfId="1" applyNumberFormat="1" applyFont="1" applyFill="1" applyBorder="1" applyAlignment="1" applyProtection="1">
      <alignment vertical="center" wrapText="1"/>
    </xf>
    <xf numFmtId="176"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89" fontId="31" fillId="0" borderId="0" xfId="0" applyNumberFormat="1" applyFont="1" applyFill="1" applyAlignment="1" applyProtection="1">
      <alignment horizontal="center" vertical="center"/>
      <protection locked="0"/>
    </xf>
    <xf numFmtId="181"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89"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89"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1" fontId="31" fillId="6" borderId="5" xfId="0" applyNumberFormat="1" applyFont="1" applyFill="1" applyBorder="1" applyAlignment="1" applyProtection="1">
      <alignment horizontal="center" vertical="center"/>
    </xf>
    <xf numFmtId="181"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89"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6" fontId="12" fillId="6" borderId="54" xfId="0" applyNumberFormat="1" applyFont="1" applyFill="1" applyBorder="1" applyAlignment="1" applyProtection="1">
      <alignment horizontal="center" vertical="center" wrapText="1"/>
    </xf>
    <xf numFmtId="176" fontId="12" fillId="6" borderId="3" xfId="0" applyNumberFormat="1" applyFont="1" applyFill="1" applyBorder="1" applyAlignment="1" applyProtection="1">
      <alignment horizontal="center" vertical="center" wrapText="1"/>
    </xf>
    <xf numFmtId="176"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79"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79" fontId="12" fillId="6" borderId="54" xfId="0" applyNumberFormat="1" applyFont="1" applyFill="1" applyBorder="1" applyAlignment="1" applyProtection="1">
      <alignment horizontal="center" vertical="center"/>
    </xf>
    <xf numFmtId="179"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79"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79"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79"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79"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79" fontId="12" fillId="6" borderId="7" xfId="0" applyNumberFormat="1" applyFont="1" applyFill="1" applyBorder="1" applyAlignment="1" applyProtection="1">
      <alignment horizontal="center" vertical="center" wrapText="1"/>
    </xf>
    <xf numFmtId="179" fontId="12" fillId="6" borderId="2" xfId="0" applyNumberFormat="1" applyFont="1" applyFill="1" applyBorder="1" applyAlignment="1" applyProtection="1">
      <alignment horizontal="center" vertical="center" wrapText="1"/>
    </xf>
    <xf numFmtId="179"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79"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79" fontId="72"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6"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6" fontId="72" fillId="6" borderId="9" xfId="0" applyNumberFormat="1" applyFont="1" applyFill="1" applyBorder="1" applyAlignment="1" applyProtection="1">
      <alignment horizontal="center" vertical="center" wrapText="1"/>
    </xf>
    <xf numFmtId="176" fontId="72" fillId="6" borderId="10" xfId="0" applyNumberFormat="1" applyFont="1" applyFill="1" applyBorder="1" applyAlignment="1" applyProtection="1">
      <alignment horizontal="center" vertical="center" wrapText="1"/>
    </xf>
    <xf numFmtId="176" fontId="72" fillId="6" borderId="13" xfId="0" applyNumberFormat="1" applyFont="1" applyFill="1" applyBorder="1" applyAlignment="1" applyProtection="1">
      <alignment horizontal="center" vertical="center" wrapText="1"/>
    </xf>
    <xf numFmtId="176" fontId="72" fillId="6" borderId="23" xfId="0" applyNumberFormat="1" applyFont="1" applyFill="1" applyBorder="1" applyAlignment="1" applyProtection="1">
      <alignment horizontal="center" vertical="center" wrapText="1"/>
    </xf>
    <xf numFmtId="176"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176"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6" fontId="69" fillId="6" borderId="1"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0" borderId="1" xfId="0" applyNumberFormat="1" applyFont="1" applyBorder="1" applyAlignment="1" applyProtection="1">
      <alignment vertical="center" wrapText="1"/>
      <protection locked="0"/>
    </xf>
    <xf numFmtId="176" fontId="69" fillId="0" borderId="1" xfId="0" applyNumberFormat="1" applyFont="1" applyBorder="1" applyAlignment="1" applyProtection="1">
      <alignment horizontal="center" vertical="center" wrapText="1"/>
      <protection locked="0"/>
    </xf>
    <xf numFmtId="176"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176"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6"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79"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6"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7"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79" fontId="76" fillId="6" borderId="1" xfId="1" applyNumberFormat="1" applyFont="1" applyFill="1" applyBorder="1" applyAlignment="1" applyProtection="1">
      <alignment horizontal="center" vertical="center"/>
    </xf>
    <xf numFmtId="180" fontId="76" fillId="6" borderId="1" xfId="1" applyNumberFormat="1" applyFont="1" applyFill="1" applyBorder="1" applyAlignment="1" applyProtection="1">
      <alignment horizontal="center" vertical="center"/>
    </xf>
    <xf numFmtId="181"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79"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3" fontId="69" fillId="0" borderId="1" xfId="0"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1"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6"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79"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6" fontId="76" fillId="0" borderId="10" xfId="1" applyNumberFormat="1" applyFont="1" applyFill="1" applyBorder="1" applyAlignment="1" applyProtection="1">
      <alignment horizontal="center" vertical="center"/>
      <protection locked="0"/>
    </xf>
    <xf numFmtId="176" fontId="69" fillId="0" borderId="24" xfId="1" applyNumberFormat="1" applyFont="1" applyFill="1" applyBorder="1" applyAlignment="1" applyProtection="1">
      <alignment horizontal="center" vertical="center"/>
      <protection locked="0"/>
    </xf>
    <xf numFmtId="176" fontId="76" fillId="6" borderId="24" xfId="1" applyNumberFormat="1" applyFont="1" applyFill="1" applyBorder="1" applyAlignment="1" applyProtection="1">
      <alignment horizontal="center" vertical="center"/>
    </xf>
    <xf numFmtId="176" fontId="76" fillId="6" borderId="49" xfId="1" applyNumberFormat="1" applyFont="1" applyFill="1" applyBorder="1" applyAlignment="1" applyProtection="1">
      <alignment horizontal="center" vertical="center"/>
    </xf>
    <xf numFmtId="0" fontId="78" fillId="0" borderId="10" xfId="1" applyNumberFormat="1"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0" fontId="78" fillId="0" borderId="49" xfId="1" applyNumberFormat="1" applyFont="1" applyFill="1" applyBorder="1" applyAlignment="1" applyProtection="1">
      <alignment horizontal="center" vertical="center"/>
      <protection locked="0"/>
    </xf>
    <xf numFmtId="181" fontId="72" fillId="0" borderId="24" xfId="0" applyNumberFormat="1" applyFont="1" applyFill="1" applyBorder="1" applyAlignment="1" applyProtection="1">
      <alignment horizontal="center" vertical="center"/>
      <protection locked="0"/>
    </xf>
    <xf numFmtId="181" fontId="72" fillId="0" borderId="49"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3"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0" borderId="53"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8"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79"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7"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7"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7"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7"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7"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7"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1"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1"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1"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7"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7"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7" fontId="78" fillId="0" borderId="1" xfId="1" applyNumberFormat="1" applyFont="1" applyFill="1" applyBorder="1" applyAlignment="1" applyProtection="1">
      <alignment horizontal="center"/>
      <protection locked="0"/>
    </xf>
    <xf numFmtId="179"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7"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7"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7"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79"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79"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7"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7"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7" fontId="80" fillId="6" borderId="1" xfId="0" applyNumberFormat="1" applyFont="1" applyFill="1" applyBorder="1" applyAlignment="1" applyProtection="1">
      <alignment horizontal="center" vertical="center"/>
    </xf>
    <xf numFmtId="181"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5"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7"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1" fontId="78" fillId="6" borderId="1" xfId="0" applyNumberFormat="1" applyFont="1" applyFill="1" applyBorder="1" applyAlignment="1" applyProtection="1">
      <alignment horizontal="center"/>
    </xf>
    <xf numFmtId="181"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7" fontId="71" fillId="6" borderId="1" xfId="1" applyNumberFormat="1" applyFont="1" applyFill="1" applyBorder="1" applyAlignment="1" applyProtection="1">
      <alignment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7" fontId="72" fillId="6" borderId="1" xfId="0" applyNumberFormat="1" applyFont="1" applyFill="1" applyBorder="1" applyAlignment="1" applyProtection="1">
      <alignment horizontal="center" vertical="center"/>
    </xf>
    <xf numFmtId="177"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7"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7"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7"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1"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1"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1"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1"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1" fontId="72" fillId="6" borderId="24" xfId="0" applyNumberFormat="1" applyFont="1" applyFill="1" applyBorder="1" applyAlignment="1" applyProtection="1">
      <alignment horizontal="center" vertical="center"/>
    </xf>
    <xf numFmtId="181"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3"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79"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79"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6"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1"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4"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4"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49" fontId="69" fillId="0" borderId="7" xfId="0" applyNumberFormat="1" applyFont="1" applyFill="1" applyBorder="1" applyAlignment="1" applyProtection="1">
      <alignment horizontal="center" vertical="center" wrapText="1"/>
      <protection locked="0"/>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6"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6"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6" fontId="75" fillId="6" borderId="47" xfId="0" applyNumberFormat="1" applyFont="1" applyFill="1" applyBorder="1" applyAlignment="1" applyProtection="1">
      <alignment vertical="center" wrapText="1"/>
    </xf>
    <xf numFmtId="189" fontId="76" fillId="0" borderId="0" xfId="0" applyNumberFormat="1" applyFont="1" applyFill="1" applyAlignment="1" applyProtection="1">
      <alignment horizontal="center" vertical="center"/>
      <protection locked="0"/>
    </xf>
    <xf numFmtId="181"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1" fontId="76" fillId="6" borderId="5" xfId="0" applyNumberFormat="1" applyFont="1" applyFill="1" applyBorder="1" applyAlignment="1" applyProtection="1">
      <alignment horizontal="center" vertical="center"/>
    </xf>
    <xf numFmtId="181"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6" fontId="83" fillId="6" borderId="13" xfId="0" applyNumberFormat="1" applyFont="1" applyFill="1" applyBorder="1" applyAlignment="1" applyProtection="1">
      <alignment horizontal="right" vertical="center"/>
    </xf>
    <xf numFmtId="189"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89" fontId="76" fillId="3" borderId="3" xfId="0" applyNumberFormat="1" applyFont="1" applyFill="1" applyBorder="1" applyAlignment="1" applyProtection="1">
      <alignment horizontal="center" vertical="center"/>
      <protection locked="0"/>
    </xf>
    <xf numFmtId="189" fontId="76" fillId="3" borderId="3" xfId="0" applyNumberFormat="1" applyFont="1" applyFill="1" applyBorder="1" applyAlignment="1" applyProtection="1">
      <alignment horizontal="center" vertical="center" wrapText="1"/>
      <protection locked="0"/>
    </xf>
    <xf numFmtId="189"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4" fontId="26" fillId="6" borderId="26" xfId="0" applyNumberFormat="1" applyFont="1" applyFill="1" applyBorder="1" applyAlignment="1" applyProtection="1">
      <alignment horizontal="center" vertical="center" wrapText="1"/>
    </xf>
    <xf numFmtId="184" fontId="26" fillId="0" borderId="70" xfId="0" applyNumberFormat="1" applyFont="1" applyFill="1" applyBorder="1" applyAlignment="1" applyProtection="1">
      <alignment horizontal="center" vertical="center" wrapText="1"/>
      <protection locked="0"/>
    </xf>
    <xf numFmtId="184"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7"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6"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6"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7"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79"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7"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1" fontId="72" fillId="0" borderId="10" xfId="0" applyNumberFormat="1" applyFont="1" applyFill="1" applyBorder="1" applyAlignment="1" applyProtection="1">
      <alignment horizontal="center" vertical="center"/>
      <protection locked="0"/>
    </xf>
    <xf numFmtId="0" fontId="71"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6"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6"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79" fontId="12" fillId="6" borderId="0" xfId="0" applyNumberFormat="1" applyFont="1" applyFill="1" applyBorder="1" applyAlignment="1" applyProtection="1">
      <alignment horizontal="center" vertical="center" wrapText="1"/>
    </xf>
    <xf numFmtId="179"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6"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6"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79"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79"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79" fontId="71" fillId="6" borderId="66" xfId="0" applyNumberFormat="1" applyFont="1" applyFill="1" applyBorder="1" applyAlignment="1" applyProtection="1">
      <alignment vertical="center"/>
    </xf>
    <xf numFmtId="179" fontId="71" fillId="6" borderId="32" xfId="0" applyNumberFormat="1" applyFont="1" applyFill="1" applyBorder="1" applyAlignment="1" applyProtection="1">
      <alignment vertical="center"/>
    </xf>
    <xf numFmtId="179"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79"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79"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7"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79"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79"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89" fontId="88" fillId="6" borderId="36" xfId="0" applyNumberFormat="1" applyFont="1" applyFill="1" applyBorder="1" applyAlignment="1" applyProtection="1">
      <alignment horizontal="center" vertical="center"/>
    </xf>
    <xf numFmtId="181"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6"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89" fontId="76" fillId="6" borderId="0" xfId="0" applyNumberFormat="1" applyFont="1" applyFill="1" applyBorder="1" applyAlignment="1" applyProtection="1">
      <alignment horizontal="center"/>
    </xf>
    <xf numFmtId="181"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8"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8"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8"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8"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8"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89"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89" fontId="31" fillId="6" borderId="48" xfId="0" applyNumberFormat="1" applyFont="1" applyFill="1" applyBorder="1" applyAlignment="1" applyProtection="1">
      <alignment horizontal="center" vertical="center" wrapText="1"/>
    </xf>
    <xf numFmtId="189"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89"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89" fontId="31" fillId="6" borderId="3" xfId="0" applyNumberFormat="1" applyFont="1" applyFill="1" applyBorder="1" applyAlignment="1" applyProtection="1">
      <alignment horizontal="center" vertical="center"/>
    </xf>
    <xf numFmtId="189" fontId="31" fillId="6" borderId="3" xfId="0" applyNumberFormat="1" applyFont="1" applyFill="1" applyBorder="1" applyAlignment="1" applyProtection="1">
      <alignment horizontal="center" vertical="center" wrapText="1"/>
    </xf>
    <xf numFmtId="189"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89" fontId="76" fillId="6" borderId="3" xfId="0" applyNumberFormat="1" applyFont="1" applyFill="1" applyBorder="1" applyAlignment="1" applyProtection="1">
      <alignment horizontal="center" vertical="center"/>
    </xf>
    <xf numFmtId="189" fontId="76" fillId="6" borderId="3" xfId="0" applyNumberFormat="1" applyFont="1" applyFill="1" applyBorder="1" applyAlignment="1" applyProtection="1">
      <alignment horizontal="center" vertical="center" wrapText="1"/>
    </xf>
    <xf numFmtId="189"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6" fontId="12" fillId="0" borderId="1" xfId="0" applyNumberFormat="1" applyFont="1" applyBorder="1" applyAlignment="1" applyProtection="1">
      <alignment vertical="center" wrapText="1"/>
      <protection locked="0"/>
    </xf>
    <xf numFmtId="176" fontId="12" fillId="0" borderId="1" xfId="0" applyNumberFormat="1" applyFont="1" applyBorder="1" applyAlignment="1" applyProtection="1">
      <alignment horizontal="center" vertical="center" wrapText="1"/>
      <protection locked="0"/>
    </xf>
    <xf numFmtId="176" fontId="12" fillId="0" borderId="2" xfId="0" applyNumberFormat="1" applyFont="1" applyBorder="1" applyAlignment="1" applyProtection="1">
      <alignment horizontal="center" vertical="center" wrapText="1"/>
      <protection locked="0"/>
    </xf>
    <xf numFmtId="177"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79"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1" fontId="72" fillId="0" borderId="1"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79"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7"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7"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7" fontId="14" fillId="6" borderId="15" xfId="0" applyNumberFormat="1" applyFont="1" applyFill="1" applyBorder="1" applyAlignment="1" applyProtection="1">
      <alignment horizontal="center" vertical="center" wrapText="1"/>
    </xf>
    <xf numFmtId="187"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7"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6" fontId="72" fillId="0" borderId="1" xfId="0" applyNumberFormat="1" applyFont="1" applyFill="1" applyBorder="1" applyAlignment="1" applyProtection="1">
      <alignment horizontal="center" vertical="center"/>
      <protection locked="0"/>
    </xf>
    <xf numFmtId="186"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79" fontId="72" fillId="6" borderId="1" xfId="1" applyNumberFormat="1" applyFont="1" applyFill="1" applyBorder="1" applyAlignment="1" applyProtection="1">
      <alignment horizontal="center" vertical="center"/>
    </xf>
    <xf numFmtId="181"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7"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7"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7"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6" fontId="72" fillId="3" borderId="0" xfId="0" applyNumberFormat="1" applyFont="1" applyFill="1" applyAlignment="1" applyProtection="1">
      <alignment horizontal="center" vertical="center"/>
      <protection locked="0"/>
    </xf>
    <xf numFmtId="186"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2" fillId="0" borderId="13" xfId="0" applyNumberFormat="1" applyFont="1" applyFill="1" applyBorder="1" applyAlignment="1" applyProtection="1">
      <alignment horizontal="center" vertical="center"/>
      <protection locked="0"/>
    </xf>
    <xf numFmtId="186"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6"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7"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7"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7" fontId="71" fillId="6" borderId="33" xfId="0" applyNumberFormat="1" applyFont="1" applyFill="1" applyBorder="1" applyAlignment="1" applyProtection="1">
      <alignment vertical="center"/>
    </xf>
    <xf numFmtId="177" fontId="71" fillId="6" borderId="52" xfId="0" applyNumberFormat="1" applyFont="1" applyFill="1" applyBorder="1" applyAlignment="1" applyProtection="1">
      <alignment vertical="center"/>
    </xf>
    <xf numFmtId="177"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3"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4" fontId="72" fillId="0" borderId="1" xfId="0" applyNumberFormat="1" applyFont="1" applyFill="1" applyBorder="1" applyAlignment="1" applyProtection="1">
      <alignment horizontal="center" vertical="center" shrinkToFit="1"/>
      <protection locked="0"/>
    </xf>
    <xf numFmtId="184" fontId="72" fillId="6" borderId="1" xfId="0" applyNumberFormat="1" applyFont="1" applyFill="1" applyBorder="1" applyAlignment="1" applyProtection="1">
      <alignment horizontal="center" vertical="center"/>
    </xf>
    <xf numFmtId="179" fontId="87" fillId="6" borderId="1" xfId="0" applyNumberFormat="1" applyFont="1" applyFill="1" applyBorder="1" applyAlignment="1" applyProtection="1">
      <alignment horizontal="center" vertical="center" wrapText="1"/>
    </xf>
    <xf numFmtId="177"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7"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6" fontId="33" fillId="6" borderId="29" xfId="1" applyNumberFormat="1" applyFont="1" applyFill="1" applyBorder="1" applyAlignment="1" applyProtection="1">
      <alignment horizontal="center" vertical="center"/>
    </xf>
    <xf numFmtId="176"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1"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7" fontId="28" fillId="6" borderId="58" xfId="0" applyNumberFormat="1" applyFont="1" applyFill="1" applyBorder="1" applyAlignment="1" applyProtection="1">
      <alignment horizontal="center" vertical="center" wrapText="1"/>
    </xf>
    <xf numFmtId="179"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8" fontId="84" fillId="6" borderId="24" xfId="0" applyNumberFormat="1" applyFont="1" applyFill="1" applyBorder="1" applyAlignment="1" applyProtection="1">
      <alignment horizontal="center" vertical="center"/>
    </xf>
    <xf numFmtId="178"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8" fontId="84"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7"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89" fontId="76" fillId="6" borderId="0" xfId="0" applyNumberFormat="1" applyFont="1" applyFill="1" applyAlignment="1" applyProtection="1">
      <alignment horizontal="center" vertical="center"/>
      <protection locked="0"/>
    </xf>
    <xf numFmtId="181"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6"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79"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79"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79"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79"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79"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89" fontId="24" fillId="6" borderId="0" xfId="0" applyNumberFormat="1" applyFont="1" applyFill="1" applyBorder="1" applyAlignment="1" applyProtection="1">
      <alignment horizontal="center" vertical="center"/>
      <protection locked="0"/>
    </xf>
    <xf numFmtId="181"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horizontal="center" vertical="center" wrapText="1"/>
      <protection locked="0"/>
    </xf>
    <xf numFmtId="181"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1" fontId="32" fillId="6" borderId="0" xfId="0" applyNumberFormat="1" applyFont="1" applyFill="1" applyBorder="1" applyAlignment="1" applyProtection="1">
      <alignment horizontal="center" vertical="center" wrapText="1"/>
      <protection locked="0"/>
    </xf>
    <xf numFmtId="181"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9" fontId="36" fillId="6" borderId="0" xfId="0" applyNumberFormat="1"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89" fontId="31" fillId="6" borderId="0" xfId="0" applyNumberFormat="1" applyFont="1" applyFill="1" applyBorder="1" applyAlignment="1" applyProtection="1">
      <alignment horizontal="center"/>
      <protection locked="0"/>
    </xf>
    <xf numFmtId="181"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1"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89"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89" fontId="88" fillId="6" borderId="0" xfId="0" applyNumberFormat="1" applyFont="1" applyFill="1" applyBorder="1" applyAlignment="1" applyProtection="1">
      <alignment horizontal="center" vertical="center"/>
      <protection locked="0"/>
    </xf>
    <xf numFmtId="181"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1"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1"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89" fontId="100" fillId="6" borderId="0" xfId="0" applyNumberFormat="1" applyFont="1" applyFill="1" applyAlignment="1" applyProtection="1">
      <alignment horizontal="center" vertical="center"/>
      <protection locked="0"/>
    </xf>
    <xf numFmtId="181" fontId="100" fillId="6" borderId="0" xfId="0" applyNumberFormat="1" applyFont="1" applyFill="1" applyAlignment="1" applyProtection="1">
      <alignment horizontal="center" vertical="center"/>
      <protection locked="0"/>
    </xf>
    <xf numFmtId="176"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89" fontId="76" fillId="0" borderId="0" xfId="0" applyNumberFormat="1" applyFont="1" applyFill="1" applyAlignment="1" applyProtection="1">
      <alignment horizontal="center" vertical="center"/>
    </xf>
    <xf numFmtId="181"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89" fontId="76" fillId="6" borderId="0" xfId="0" applyNumberFormat="1" applyFont="1" applyFill="1" applyBorder="1" applyAlignment="1" applyProtection="1">
      <alignment horizontal="center"/>
      <protection locked="0"/>
    </xf>
    <xf numFmtId="181"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6"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7"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7" fontId="26" fillId="6" borderId="1" xfId="1" applyNumberFormat="1" applyFont="1" applyFill="1" applyBorder="1" applyAlignment="1" applyProtection="1">
      <alignment vertical="center"/>
    </xf>
    <xf numFmtId="177" fontId="26" fillId="6" borderId="5" xfId="1" applyNumberFormat="1" applyFont="1" applyFill="1" applyBorder="1" applyAlignment="1" applyProtection="1">
      <alignment vertical="center"/>
    </xf>
    <xf numFmtId="181" fontId="74" fillId="6" borderId="1" xfId="0" applyNumberFormat="1" applyFont="1" applyFill="1" applyBorder="1" applyAlignment="1" applyProtection="1">
      <alignment horizontal="center" vertical="center"/>
      <protection locked="0"/>
    </xf>
    <xf numFmtId="179" fontId="72" fillId="6" borderId="23" xfId="1" applyNumberFormat="1" applyFont="1" applyFill="1" applyBorder="1" applyAlignment="1" applyProtection="1">
      <alignment horizontal="center"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79" fontId="69" fillId="6" borderId="25" xfId="1" applyNumberFormat="1" applyFont="1" applyFill="1" applyBorder="1" applyAlignment="1" applyProtection="1">
      <alignment horizontal="center" vertical="center"/>
    </xf>
    <xf numFmtId="181" fontId="69" fillId="6" borderId="1" xfId="0" applyNumberFormat="1" applyFont="1" applyFill="1" applyBorder="1" applyAlignment="1" applyProtection="1">
      <alignment vertical="center"/>
    </xf>
    <xf numFmtId="181" fontId="69" fillId="6" borderId="5" xfId="0" applyNumberFormat="1" applyFont="1" applyFill="1" applyBorder="1" applyAlignment="1" applyProtection="1">
      <alignment vertical="center"/>
    </xf>
    <xf numFmtId="181"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1" fontId="69" fillId="6" borderId="1" xfId="0" applyNumberFormat="1" applyFont="1" applyFill="1" applyBorder="1" applyAlignment="1" applyProtection="1">
      <alignment horizontal="center" vertical="center"/>
    </xf>
    <xf numFmtId="181"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3" fontId="69" fillId="6" borderId="1"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7"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6" fontId="72" fillId="0" borderId="1" xfId="0" applyNumberFormat="1" applyFont="1" applyFill="1" applyBorder="1" applyAlignment="1" applyProtection="1">
      <alignment horizontal="center" vertical="center" wrapText="1"/>
      <protection locked="0"/>
    </xf>
    <xf numFmtId="179"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5"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1"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1"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1"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1"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79"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8" fontId="80" fillId="6" borderId="1" xfId="0" applyNumberFormat="1" applyFont="1" applyFill="1" applyBorder="1" applyAlignment="1" applyProtection="1">
      <alignment horizontal="center" vertical="center"/>
    </xf>
    <xf numFmtId="178"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7" fontId="71" fillId="6" borderId="0" xfId="0" applyNumberFormat="1" applyFont="1" applyFill="1" applyBorder="1" applyAlignment="1" applyProtection="1">
      <alignment horizontal="center" vertical="center"/>
    </xf>
    <xf numFmtId="187" fontId="72" fillId="6" borderId="3" xfId="0" applyNumberFormat="1" applyFont="1" applyFill="1" applyBorder="1" applyAlignment="1" applyProtection="1">
      <alignment horizontal="center" vertical="center"/>
    </xf>
    <xf numFmtId="177"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1"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6" fontId="71" fillId="6" borderId="1" xfId="0" applyNumberFormat="1" applyFont="1" applyFill="1" applyBorder="1" applyAlignment="1" applyProtection="1">
      <alignment vertical="center"/>
    </xf>
    <xf numFmtId="176" fontId="71" fillId="6" borderId="1" xfId="0" applyNumberFormat="1" applyFont="1" applyFill="1" applyBorder="1" applyAlignment="1" applyProtection="1">
      <alignment horizontal="center" vertical="center"/>
    </xf>
    <xf numFmtId="176" fontId="71" fillId="6" borderId="24" xfId="0" applyNumberFormat="1" applyFont="1" applyFill="1" applyBorder="1" applyAlignment="1" applyProtection="1">
      <alignment vertical="center"/>
    </xf>
    <xf numFmtId="176" fontId="71" fillId="6" borderId="25" xfId="0" applyNumberFormat="1" applyFont="1" applyFill="1" applyBorder="1" applyAlignment="1" applyProtection="1">
      <alignment vertical="center"/>
    </xf>
    <xf numFmtId="176"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1"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9" fillId="6" borderId="30" xfId="0" applyNumberFormat="1" applyFont="1" applyFill="1" applyBorder="1" applyAlignment="1" applyProtection="1">
      <alignment horizontal="center" vertical="center" wrapText="1"/>
    </xf>
    <xf numFmtId="190" fontId="69" fillId="6" borderId="9" xfId="0" applyNumberFormat="1" applyFont="1" applyFill="1" applyBorder="1" applyAlignment="1" applyProtection="1">
      <alignment horizontal="center" vertical="center" wrapText="1"/>
    </xf>
    <xf numFmtId="190"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79"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89" fontId="22" fillId="6" borderId="88" xfId="0" applyNumberFormat="1" applyFont="1" applyFill="1" applyBorder="1" applyAlignment="1" applyProtection="1">
      <alignment horizontal="center" vertical="center"/>
    </xf>
    <xf numFmtId="181"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89" fontId="88" fillId="6" borderId="88" xfId="0" applyNumberFormat="1" applyFont="1" applyFill="1" applyBorder="1" applyAlignment="1" applyProtection="1">
      <alignment horizontal="center" vertical="center"/>
      <protection locked="0"/>
    </xf>
    <xf numFmtId="181"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89" fontId="88" fillId="6" borderId="88" xfId="0" applyNumberFormat="1" applyFont="1" applyFill="1" applyBorder="1" applyAlignment="1" applyProtection="1">
      <alignment horizontal="center" vertical="center"/>
    </xf>
    <xf numFmtId="181"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2"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39" fillId="6" borderId="0" xfId="0" applyFont="1" applyFill="1" applyAlignment="1" applyProtection="1">
      <alignment vertical="center"/>
      <protection locked="0"/>
    </xf>
    <xf numFmtId="0" fontId="138" fillId="6" borderId="0" xfId="0" applyFont="1" applyFill="1" applyAlignment="1" applyProtection="1">
      <alignment horizontal="left" vertical="center"/>
      <protection locked="0"/>
    </xf>
    <xf numFmtId="49" fontId="183" fillId="0" borderId="10"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0" fontId="183" fillId="0" borderId="24" xfId="0" applyFont="1" applyBorder="1" applyAlignment="1" applyProtection="1">
      <alignment horizontal="center" vertical="center" wrapText="1"/>
      <protection locked="0"/>
    </xf>
    <xf numFmtId="0" fontId="183" fillId="0" borderId="49" xfId="0" applyFont="1" applyBorder="1" applyAlignment="1" applyProtection="1">
      <alignment horizontal="center" vertical="center"/>
      <protection locked="0"/>
    </xf>
    <xf numFmtId="0" fontId="183" fillId="0" borderId="8" xfId="0" applyNumberFormat="1" applyFont="1" applyFill="1" applyBorder="1" applyAlignment="1" applyProtection="1">
      <alignment horizontal="center" vertical="center" wrapText="1"/>
      <protection locked="0"/>
    </xf>
    <xf numFmtId="0" fontId="183" fillId="0" borderId="49" xfId="0" applyNumberFormat="1" applyFont="1" applyFill="1" applyBorder="1" applyAlignment="1" applyProtection="1">
      <alignment horizontal="center" vertical="center" wrapText="1"/>
      <protection locked="0"/>
    </xf>
    <xf numFmtId="9" fontId="251" fillId="0" borderId="1" xfId="0" applyNumberFormat="1" applyFont="1" applyFill="1" applyBorder="1" applyAlignment="1">
      <alignment horizontal="center" vertical="center"/>
    </xf>
    <xf numFmtId="0" fontId="135" fillId="0" borderId="49" xfId="0" applyFont="1" applyFill="1" applyBorder="1" applyAlignment="1" applyProtection="1">
      <alignment horizontal="center" vertical="center"/>
      <protection locked="0"/>
    </xf>
    <xf numFmtId="0" fontId="138" fillId="6" borderId="9" xfId="0" applyNumberFormat="1" applyFont="1" applyFill="1" applyBorder="1" applyAlignment="1" applyProtection="1">
      <alignment horizontal="center" vertical="center" wrapText="1"/>
    </xf>
    <xf numFmtId="0" fontId="138" fillId="6" borderId="10" xfId="0" applyNumberFormat="1" applyFont="1" applyFill="1" applyBorder="1" applyAlignment="1" applyProtection="1">
      <alignment horizontal="center" vertical="center" wrapText="1"/>
    </xf>
    <xf numFmtId="10" fontId="78" fillId="6" borderId="17" xfId="0" applyNumberFormat="1" applyFont="1" applyFill="1" applyBorder="1" applyAlignment="1" applyProtection="1">
      <alignment horizontal="center" vertical="center" wrapText="1"/>
    </xf>
    <xf numFmtId="0" fontId="255" fillId="0" borderId="32" xfId="0" applyNumberFormat="1" applyFont="1" applyFill="1" applyBorder="1" applyAlignment="1" applyProtection="1">
      <alignment horizontal="center" vertical="center" wrapText="1"/>
      <protection locked="0"/>
    </xf>
    <xf numFmtId="0" fontId="255" fillId="0" borderId="13"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256" fillId="0" borderId="109" xfId="0" applyNumberFormat="1" applyFont="1" applyFill="1" applyBorder="1" applyAlignment="1" applyProtection="1">
      <alignment horizontal="center" vertical="center" wrapText="1"/>
      <protection locked="0"/>
    </xf>
    <xf numFmtId="0" fontId="256" fillId="0" borderId="18" xfId="0" applyNumberFormat="1" applyFont="1" applyFill="1" applyBorder="1" applyAlignment="1" applyProtection="1">
      <alignment horizontal="center" vertical="center" wrapText="1"/>
      <protection locked="0"/>
    </xf>
    <xf numFmtId="0" fontId="30" fillId="6" borderId="152" xfId="0" applyFont="1" applyFill="1" applyBorder="1" applyAlignment="1" applyProtection="1">
      <alignment vertical="center" wrapText="1"/>
    </xf>
    <xf numFmtId="0" fontId="30" fillId="6" borderId="153" xfId="0" applyFont="1" applyFill="1" applyBorder="1" applyAlignment="1" applyProtection="1">
      <alignment vertical="center" wrapText="1"/>
    </xf>
    <xf numFmtId="0" fontId="30" fillId="6" borderId="152" xfId="0" applyFont="1" applyFill="1" applyBorder="1" applyAlignment="1" applyProtection="1">
      <alignment horizontal="center" vertical="center" wrapText="1"/>
    </xf>
    <xf numFmtId="0" fontId="30" fillId="0" borderId="152" xfId="0" applyFont="1" applyBorder="1" applyAlignment="1" applyProtection="1">
      <alignment vertical="center" wrapText="1"/>
    </xf>
    <xf numFmtId="0" fontId="257" fillId="6" borderId="152" xfId="0" applyFont="1" applyFill="1" applyBorder="1" applyAlignment="1" applyProtection="1">
      <alignment vertical="center"/>
    </xf>
    <xf numFmtId="0" fontId="69" fillId="6" borderId="0" xfId="0" applyFont="1" applyFill="1" applyAlignment="1" applyProtection="1">
      <alignment horizontal="left" vertical="center"/>
      <protection locked="0"/>
    </xf>
    <xf numFmtId="177" fontId="165" fillId="0" borderId="1" xfId="8" applyNumberFormat="1" applyFont="1" applyFill="1" applyBorder="1" applyAlignment="1" applyProtection="1">
      <alignment horizontal="center" vertical="center"/>
      <protection locked="0"/>
    </xf>
    <xf numFmtId="181" fontId="135" fillId="6" borderId="0" xfId="0" applyNumberFormat="1" applyFont="1" applyFill="1" applyAlignment="1" applyProtection="1">
      <alignment horizontal="center" vertical="center"/>
    </xf>
    <xf numFmtId="0" fontId="165" fillId="6" borderId="24" xfId="0" applyFont="1" applyFill="1" applyBorder="1" applyAlignment="1" applyProtection="1">
      <alignment horizontal="left" vertical="center"/>
    </xf>
    <xf numFmtId="181" fontId="84" fillId="6" borderId="9" xfId="0" applyNumberFormat="1" applyFont="1" applyFill="1" applyBorder="1" applyAlignment="1" applyProtection="1">
      <alignment horizontal="center" vertical="center"/>
    </xf>
    <xf numFmtId="0" fontId="24" fillId="6" borderId="51" xfId="0" applyFont="1" applyFill="1" applyBorder="1" applyAlignment="1" applyProtection="1">
      <alignment horizontal="left" vertical="center" wrapText="1"/>
    </xf>
    <xf numFmtId="181" fontId="84" fillId="6" borderId="5"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protection locked="0"/>
    </xf>
    <xf numFmtId="9" fontId="84" fillId="6" borderId="1" xfId="0" applyNumberFormat="1"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protection locked="0"/>
    </xf>
    <xf numFmtId="0" fontId="84" fillId="6" borderId="1" xfId="0" applyFont="1" applyFill="1" applyBorder="1" applyAlignment="1">
      <alignment horizontal="center"/>
    </xf>
    <xf numFmtId="0" fontId="261" fillId="0" borderId="1" xfId="0" applyFont="1" applyBorder="1" applyAlignment="1">
      <alignment horizontal="right" vertical="center"/>
    </xf>
    <xf numFmtId="0" fontId="261" fillId="0" borderId="1" xfId="0" applyFont="1" applyBorder="1" applyAlignment="1">
      <alignment horizontal="left" vertical="center" wrapText="1"/>
    </xf>
    <xf numFmtId="0" fontId="261" fillId="0" borderId="1" xfId="0" applyFont="1" applyBorder="1" applyAlignment="1">
      <alignment vertical="center"/>
    </xf>
    <xf numFmtId="0" fontId="261" fillId="0" borderId="1" xfId="0" applyFont="1" applyBorder="1" applyAlignment="1">
      <alignment horizontal="center" vertical="center"/>
    </xf>
    <xf numFmtId="0" fontId="261" fillId="0" borderId="1" xfId="0" applyFont="1" applyBorder="1" applyAlignment="1">
      <alignment vertical="center" wrapText="1"/>
    </xf>
    <xf numFmtId="0" fontId="261" fillId="0" borderId="5" xfId="0" applyFont="1" applyBorder="1" applyAlignment="1">
      <alignment vertical="center"/>
    </xf>
    <xf numFmtId="0" fontId="261" fillId="0" borderId="54" xfId="0" applyFont="1" applyBorder="1" applyAlignment="1">
      <alignment vertical="center"/>
    </xf>
    <xf numFmtId="0" fontId="261" fillId="0" borderId="3" xfId="0" applyFont="1" applyBorder="1" applyAlignment="1">
      <alignment vertical="center"/>
    </xf>
    <xf numFmtId="0" fontId="258" fillId="0" borderId="0" xfId="0" applyFont="1" applyAlignment="1">
      <alignment vertical="center"/>
    </xf>
    <xf numFmtId="0" fontId="259" fillId="0" borderId="0" xfId="0" applyFont="1" applyAlignment="1">
      <alignment vertical="center"/>
    </xf>
    <xf numFmtId="0" fontId="260" fillId="0" borderId="0" xfId="0" applyFont="1" applyAlignment="1">
      <alignment vertical="center"/>
    </xf>
    <xf numFmtId="0" fontId="248" fillId="0" borderId="1" xfId="0" applyFont="1" applyBorder="1" applyAlignment="1">
      <alignment horizontal="right" vertical="center" wrapText="1"/>
    </xf>
    <xf numFmtId="0" fontId="139" fillId="0" borderId="1" xfId="0" applyFont="1" applyBorder="1" applyAlignment="1">
      <alignment horizontal="right" vertical="center"/>
    </xf>
    <xf numFmtId="0" fontId="12" fillId="6" borderId="10"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0" fontId="249" fillId="6" borderId="1" xfId="0" applyFont="1" applyFill="1" applyBorder="1" applyAlignment="1">
      <alignment horizontal="center" vertical="center" wrapText="1"/>
    </xf>
    <xf numFmtId="0" fontId="12" fillId="6" borderId="36" xfId="0" applyFont="1" applyFill="1" applyBorder="1" applyAlignment="1" applyProtection="1">
      <alignment horizontal="left" vertical="center"/>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131" fillId="0" borderId="0" xfId="0" applyFont="1">
      <alignment vertical="center"/>
    </xf>
    <xf numFmtId="0" fontId="28" fillId="7" borderId="151" xfId="0" applyFont="1" applyFill="1" applyBorder="1" applyAlignment="1" applyProtection="1">
      <alignment vertical="center"/>
      <protection locked="0"/>
    </xf>
    <xf numFmtId="0" fontId="26"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xf>
    <xf numFmtId="0" fontId="26" fillId="6" borderId="5" xfId="0"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7" xfId="0" applyFont="1" applyFill="1" applyBorder="1" applyAlignment="1" applyProtection="1">
      <alignment horizontal="center" vertical="center"/>
    </xf>
    <xf numFmtId="0" fontId="19" fillId="0" borderId="1" xfId="0" applyFont="1" applyFill="1" applyBorder="1" applyAlignment="1" applyProtection="1">
      <alignment horizontal="center" vertical="center"/>
      <protection locked="0"/>
    </xf>
    <xf numFmtId="182" fontId="0" fillId="0" borderId="0" xfId="0" applyNumberFormat="1">
      <alignment vertical="center"/>
    </xf>
    <xf numFmtId="0" fontId="131" fillId="0" borderId="1" xfId="0" applyFont="1" applyBorder="1" applyAlignment="1">
      <alignment horizontal="center" vertical="center"/>
    </xf>
    <xf numFmtId="0" fontId="0" fillId="0" borderId="1" xfId="0" applyBorder="1" applyAlignment="1">
      <alignment horizontal="center" vertical="center"/>
    </xf>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2" fontId="28" fillId="0"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82" fontId="28" fillId="0" borderId="5" xfId="0" applyNumberFormat="1" applyFont="1" applyFill="1" applyBorder="1" applyAlignment="1" applyProtection="1">
      <alignment horizontal="center" vertical="center" wrapText="1"/>
    </xf>
    <xf numFmtId="182" fontId="28" fillId="0" borderId="54" xfId="0" applyNumberFormat="1" applyFont="1" applyFill="1" applyBorder="1" applyAlignment="1" applyProtection="1">
      <alignment horizontal="center" vertical="center" wrapText="1"/>
    </xf>
    <xf numFmtId="182" fontId="28" fillId="0" borderId="3" xfId="0" applyNumberFormat="1" applyFont="1" applyFill="1" applyBorder="1" applyAlignment="1" applyProtection="1">
      <alignment horizontal="center" vertical="center" wrapText="1"/>
    </xf>
    <xf numFmtId="0" fontId="28" fillId="0" borderId="78" xfId="0" applyFont="1" applyFill="1" applyBorder="1" applyAlignment="1" applyProtection="1">
      <alignment horizontal="center" vertical="center" wrapText="1"/>
    </xf>
    <xf numFmtId="182"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6" fillId="6" borderId="1" xfId="0" applyFont="1" applyFill="1" applyBorder="1" applyAlignment="1" applyProtection="1">
      <alignment horizontal="center" vertical="center" wrapText="1"/>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12" fillId="6" borderId="5"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2" fillId="6" borderId="5"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182" fontId="26" fillId="6" borderId="5" xfId="0" applyNumberFormat="1" applyFont="1" applyFill="1" applyBorder="1" applyAlignment="1" applyProtection="1">
      <alignment horizontal="center" vertical="center" wrapText="1"/>
    </xf>
    <xf numFmtId="182" fontId="26" fillId="6" borderId="3"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182" fontId="26" fillId="6" borderId="54"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30"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10" fontId="12" fillId="6" borderId="5" xfId="0" applyNumberFormat="1" applyFont="1" applyFill="1" applyBorder="1" applyAlignment="1" applyProtection="1">
      <alignment horizontal="left" vertical="center" wrapText="1"/>
    </xf>
    <xf numFmtId="0" fontId="26"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69" fillId="0" borderId="1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0" fontId="77" fillId="6" borderId="47" xfId="0" applyFont="1" applyFill="1" applyBorder="1" applyAlignment="1" applyProtection="1">
      <alignment horizontal="center" vertical="center"/>
    </xf>
    <xf numFmtId="0" fontId="72" fillId="6" borderId="23" xfId="0" applyFont="1" applyFill="1" applyBorder="1" applyAlignment="1" applyProtection="1">
      <alignment horizontal="left" vertical="center" wrapText="1"/>
    </xf>
    <xf numFmtId="10" fontId="165" fillId="6" borderId="5" xfId="0" applyNumberFormat="1" applyFont="1" applyFill="1" applyBorder="1" applyAlignment="1" applyProtection="1">
      <alignment horizontal="left" vertical="center" wrapText="1"/>
    </xf>
    <xf numFmtId="10" fontId="165" fillId="6" borderId="54" xfId="0" applyNumberFormat="1" applyFont="1" applyFill="1" applyBorder="1" applyAlignment="1" applyProtection="1">
      <alignment horizontal="left" vertical="center" wrapText="1"/>
    </xf>
    <xf numFmtId="10" fontId="165" fillId="6" borderId="48" xfId="0" applyNumberFormat="1" applyFont="1" applyFill="1" applyBorder="1" applyAlignment="1" applyProtection="1">
      <alignment horizontal="left" vertical="center" wrapText="1"/>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14"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1"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183" fillId="0" borderId="3"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183" fillId="0" borderId="23"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31" fillId="6" borderId="23" xfId="0" applyFont="1" applyFill="1" applyBorder="1" applyAlignment="1" applyProtection="1">
      <alignment horizontal="center" vertical="center" wrapText="1"/>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6" borderId="17" xfId="0" applyFont="1" applyFill="1" applyBorder="1" applyAlignment="1" applyProtection="1">
      <alignment horizontal="center" vertical="center"/>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5"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253" fillId="0" borderId="24" xfId="0" applyFont="1" applyFill="1" applyBorder="1" applyAlignment="1" applyProtection="1">
      <alignment horizontal="center" vertical="center" wrapText="1"/>
      <protection locked="0"/>
    </xf>
    <xf numFmtId="0" fontId="253" fillId="0" borderId="11" xfId="0" applyFont="1" applyFill="1" applyBorder="1" applyAlignment="1" applyProtection="1">
      <alignment horizontal="center" vertical="center" wrapText="1"/>
      <protection locked="0"/>
    </xf>
    <xf numFmtId="0" fontId="253" fillId="0" borderId="61" xfId="0" applyFont="1" applyFill="1" applyBorder="1" applyAlignment="1" applyProtection="1">
      <alignment horizontal="center" vertical="center" wrapText="1"/>
      <protection locked="0"/>
    </xf>
    <xf numFmtId="0" fontId="253" fillId="0" borderId="22" xfId="0" applyFont="1" applyFill="1" applyBorder="1" applyAlignment="1" applyProtection="1">
      <alignment horizontal="center" vertical="center" wrapText="1"/>
      <protection locked="0"/>
    </xf>
    <xf numFmtId="0" fontId="253" fillId="0" borderId="46" xfId="0"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wrapText="1"/>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0"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186" fontId="76"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131" fillId="0" borderId="1" xfId="0" applyFont="1" applyBorder="1" applyAlignment="1">
      <alignment horizontal="center" vertical="center"/>
    </xf>
    <xf numFmtId="0" fontId="0" fillId="0" borderId="1" xfId="0"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0</xdr:row>
      <xdr:rowOff>104775</xdr:rowOff>
    </xdr:from>
    <xdr:to>
      <xdr:col>7</xdr:col>
      <xdr:colOff>523875</xdr:colOff>
      <xdr:row>32</xdr:row>
      <xdr:rowOff>81254</xdr:rowOff>
    </xdr:to>
    <xdr:pic>
      <xdr:nvPicPr>
        <xdr:cNvPr id="2" name="图片 1"/>
        <xdr:cNvPicPr>
          <a:picLocks noChangeAspect="1"/>
        </xdr:cNvPicPr>
      </xdr:nvPicPr>
      <xdr:blipFill>
        <a:blip xmlns:r="http://schemas.openxmlformats.org/officeDocument/2006/relationships" r:embed="rId1"/>
        <a:stretch>
          <a:fillRect/>
        </a:stretch>
      </xdr:blipFill>
      <xdr:spPr>
        <a:xfrm>
          <a:off x="209550" y="104775"/>
          <a:ext cx="5114925" cy="5462879"/>
        </a:xfrm>
        <a:prstGeom prst="rect">
          <a:avLst/>
        </a:prstGeom>
      </xdr:spPr>
    </xdr:pic>
    <xdr:clientData/>
  </xdr:twoCellAnchor>
  <xdr:twoCellAnchor editAs="oneCell">
    <xdr:from>
      <xdr:col>8</xdr:col>
      <xdr:colOff>33413</xdr:colOff>
      <xdr:row>0</xdr:row>
      <xdr:rowOff>85726</xdr:rowOff>
    </xdr:from>
    <xdr:to>
      <xdr:col>15</xdr:col>
      <xdr:colOff>9525</xdr:colOff>
      <xdr:row>29</xdr:row>
      <xdr:rowOff>45476</xdr:rowOff>
    </xdr:to>
    <xdr:pic>
      <xdr:nvPicPr>
        <xdr:cNvPr id="3" name="图片 2"/>
        <xdr:cNvPicPr>
          <a:picLocks noChangeAspect="1"/>
        </xdr:cNvPicPr>
      </xdr:nvPicPr>
      <xdr:blipFill>
        <a:blip xmlns:r="http://schemas.openxmlformats.org/officeDocument/2006/relationships" r:embed="rId2"/>
        <a:stretch>
          <a:fillRect/>
        </a:stretch>
      </xdr:blipFill>
      <xdr:spPr>
        <a:xfrm>
          <a:off x="5519813" y="85726"/>
          <a:ext cx="4776712" cy="4931800"/>
        </a:xfrm>
        <a:prstGeom prst="rect">
          <a:avLst/>
        </a:prstGeom>
      </xdr:spPr>
    </xdr:pic>
    <xdr:clientData/>
  </xdr:twoCellAnchor>
  <xdr:twoCellAnchor editAs="oneCell">
    <xdr:from>
      <xdr:col>8</xdr:col>
      <xdr:colOff>616798</xdr:colOff>
      <xdr:row>27</xdr:row>
      <xdr:rowOff>152400</xdr:rowOff>
    </xdr:from>
    <xdr:to>
      <xdr:col>15</xdr:col>
      <xdr:colOff>465793</xdr:colOff>
      <xdr:row>52</xdr:row>
      <xdr:rowOff>123825</xdr:rowOff>
    </xdr:to>
    <xdr:pic>
      <xdr:nvPicPr>
        <xdr:cNvPr id="5" name="图片 4"/>
        <xdr:cNvPicPr>
          <a:picLocks noChangeAspect="1"/>
        </xdr:cNvPicPr>
      </xdr:nvPicPr>
      <xdr:blipFill>
        <a:blip xmlns:r="http://schemas.openxmlformats.org/officeDocument/2006/relationships" r:embed="rId3"/>
        <a:stretch>
          <a:fillRect/>
        </a:stretch>
      </xdr:blipFill>
      <xdr:spPr>
        <a:xfrm>
          <a:off x="6103198" y="4781550"/>
          <a:ext cx="4649595" cy="4257675"/>
        </a:xfrm>
        <a:prstGeom prst="rect">
          <a:avLst/>
        </a:prstGeom>
      </xdr:spPr>
    </xdr:pic>
    <xdr:clientData/>
  </xdr:twoCellAnchor>
  <xdr:twoCellAnchor editAs="oneCell">
    <xdr:from>
      <xdr:col>11</xdr:col>
      <xdr:colOff>217243</xdr:colOff>
      <xdr:row>46</xdr:row>
      <xdr:rowOff>0</xdr:rowOff>
    </xdr:from>
    <xdr:to>
      <xdr:col>17</xdr:col>
      <xdr:colOff>170625</xdr:colOff>
      <xdr:row>68</xdr:row>
      <xdr:rowOff>114300</xdr:rowOff>
    </xdr:to>
    <xdr:pic>
      <xdr:nvPicPr>
        <xdr:cNvPr id="6" name="图片 5"/>
        <xdr:cNvPicPr>
          <a:picLocks noChangeAspect="1"/>
        </xdr:cNvPicPr>
      </xdr:nvPicPr>
      <xdr:blipFill>
        <a:blip xmlns:r="http://schemas.openxmlformats.org/officeDocument/2006/relationships" r:embed="rId4"/>
        <a:stretch>
          <a:fillRect/>
        </a:stretch>
      </xdr:blipFill>
      <xdr:spPr>
        <a:xfrm>
          <a:off x="7761043" y="7886700"/>
          <a:ext cx="4068182" cy="3886200"/>
        </a:xfrm>
        <a:prstGeom prst="rect">
          <a:avLst/>
        </a:prstGeom>
      </xdr:spPr>
    </xdr:pic>
    <xdr:clientData/>
  </xdr:twoCellAnchor>
  <xdr:twoCellAnchor editAs="oneCell">
    <xdr:from>
      <xdr:col>0</xdr:col>
      <xdr:colOff>295275</xdr:colOff>
      <xdr:row>59</xdr:row>
      <xdr:rowOff>123825</xdr:rowOff>
    </xdr:from>
    <xdr:to>
      <xdr:col>9</xdr:col>
      <xdr:colOff>276225</xdr:colOff>
      <xdr:row>88</xdr:row>
      <xdr:rowOff>127255</xdr:rowOff>
    </xdr:to>
    <xdr:pic>
      <xdr:nvPicPr>
        <xdr:cNvPr id="7" name="图片 6"/>
        <xdr:cNvPicPr>
          <a:picLocks noChangeAspect="1"/>
        </xdr:cNvPicPr>
      </xdr:nvPicPr>
      <xdr:blipFill>
        <a:blip xmlns:r="http://schemas.openxmlformats.org/officeDocument/2006/relationships" r:embed="rId5"/>
        <a:stretch>
          <a:fillRect/>
        </a:stretch>
      </xdr:blipFill>
      <xdr:spPr>
        <a:xfrm>
          <a:off x="295275" y="10239375"/>
          <a:ext cx="6153150" cy="4975480"/>
        </a:xfrm>
        <a:prstGeom prst="rect">
          <a:avLst/>
        </a:prstGeom>
      </xdr:spPr>
    </xdr:pic>
    <xdr:clientData/>
  </xdr:twoCellAnchor>
  <xdr:twoCellAnchor editAs="oneCell">
    <xdr:from>
      <xdr:col>8</xdr:col>
      <xdr:colOff>469493</xdr:colOff>
      <xdr:row>68</xdr:row>
      <xdr:rowOff>95250</xdr:rowOff>
    </xdr:from>
    <xdr:to>
      <xdr:col>16</xdr:col>
      <xdr:colOff>218044</xdr:colOff>
      <xdr:row>92</xdr:row>
      <xdr:rowOff>133350</xdr:rowOff>
    </xdr:to>
    <xdr:pic>
      <xdr:nvPicPr>
        <xdr:cNvPr id="8" name="图片 7"/>
        <xdr:cNvPicPr>
          <a:picLocks noChangeAspect="1"/>
        </xdr:cNvPicPr>
      </xdr:nvPicPr>
      <xdr:blipFill>
        <a:blip xmlns:r="http://schemas.openxmlformats.org/officeDocument/2006/relationships" r:embed="rId6"/>
        <a:stretch>
          <a:fillRect/>
        </a:stretch>
      </xdr:blipFill>
      <xdr:spPr>
        <a:xfrm>
          <a:off x="5955893" y="11753850"/>
          <a:ext cx="5234951" cy="4152900"/>
        </a:xfrm>
        <a:prstGeom prst="rect">
          <a:avLst/>
        </a:prstGeom>
      </xdr:spPr>
    </xdr:pic>
    <xdr:clientData/>
  </xdr:twoCellAnchor>
  <xdr:twoCellAnchor editAs="oneCell">
    <xdr:from>
      <xdr:col>0</xdr:col>
      <xdr:colOff>314325</xdr:colOff>
      <xdr:row>88</xdr:row>
      <xdr:rowOff>76201</xdr:rowOff>
    </xdr:from>
    <xdr:to>
      <xdr:col>8</xdr:col>
      <xdr:colOff>419100</xdr:colOff>
      <xdr:row>114</xdr:row>
      <xdr:rowOff>112101</xdr:rowOff>
    </xdr:to>
    <xdr:pic>
      <xdr:nvPicPr>
        <xdr:cNvPr id="9" name="图片 8"/>
        <xdr:cNvPicPr>
          <a:picLocks noChangeAspect="1"/>
        </xdr:cNvPicPr>
      </xdr:nvPicPr>
      <xdr:blipFill>
        <a:blip xmlns:r="http://schemas.openxmlformats.org/officeDocument/2006/relationships" r:embed="rId7"/>
        <a:stretch>
          <a:fillRect/>
        </a:stretch>
      </xdr:blipFill>
      <xdr:spPr>
        <a:xfrm>
          <a:off x="314325" y="15163801"/>
          <a:ext cx="5591175" cy="4493600"/>
        </a:xfrm>
        <a:prstGeom prst="rect">
          <a:avLst/>
        </a:prstGeom>
      </xdr:spPr>
    </xdr:pic>
    <xdr:clientData/>
  </xdr:twoCellAnchor>
  <xdr:twoCellAnchor editAs="oneCell">
    <xdr:from>
      <xdr:col>9</xdr:col>
      <xdr:colOff>0</xdr:colOff>
      <xdr:row>99</xdr:row>
      <xdr:rowOff>0</xdr:rowOff>
    </xdr:from>
    <xdr:to>
      <xdr:col>17</xdr:col>
      <xdr:colOff>0</xdr:colOff>
      <xdr:row>125</xdr:row>
      <xdr:rowOff>41296</xdr:rowOff>
    </xdr:to>
    <xdr:pic>
      <xdr:nvPicPr>
        <xdr:cNvPr id="11" name="图片 10"/>
        <xdr:cNvPicPr>
          <a:picLocks noChangeAspect="1"/>
        </xdr:cNvPicPr>
      </xdr:nvPicPr>
      <xdr:blipFill>
        <a:blip xmlns:r="http://schemas.openxmlformats.org/officeDocument/2006/relationships" r:embed="rId8"/>
        <a:stretch>
          <a:fillRect/>
        </a:stretch>
      </xdr:blipFill>
      <xdr:spPr>
        <a:xfrm>
          <a:off x="6172200" y="16973550"/>
          <a:ext cx="5486400" cy="4498996"/>
        </a:xfrm>
        <a:prstGeom prst="rect">
          <a:avLst/>
        </a:prstGeom>
      </xdr:spPr>
    </xdr:pic>
    <xdr:clientData/>
  </xdr:twoCellAnchor>
  <xdr:twoCellAnchor editAs="oneCell">
    <xdr:from>
      <xdr:col>0</xdr:col>
      <xdr:colOff>295275</xdr:colOff>
      <xdr:row>33</xdr:row>
      <xdr:rowOff>0</xdr:rowOff>
    </xdr:from>
    <xdr:to>
      <xdr:col>7</xdr:col>
      <xdr:colOff>170416</xdr:colOff>
      <xdr:row>55</xdr:row>
      <xdr:rowOff>26803</xdr:rowOff>
    </xdr:to>
    <xdr:pic>
      <xdr:nvPicPr>
        <xdr:cNvPr id="12" name="图片 11"/>
        <xdr:cNvPicPr>
          <a:picLocks noChangeAspect="1"/>
        </xdr:cNvPicPr>
      </xdr:nvPicPr>
      <xdr:blipFill>
        <a:blip xmlns:r="http://schemas.openxmlformats.org/officeDocument/2006/relationships" r:embed="rId9"/>
        <a:stretch>
          <a:fillRect/>
        </a:stretch>
      </xdr:blipFill>
      <xdr:spPr>
        <a:xfrm>
          <a:off x="295275" y="5657850"/>
          <a:ext cx="4675741" cy="3798703"/>
        </a:xfrm>
        <a:prstGeom prst="rect">
          <a:avLst/>
        </a:prstGeom>
      </xdr:spPr>
    </xdr:pic>
    <xdr:clientData/>
  </xdr:twoCellAnchor>
  <xdr:twoCellAnchor editAs="oneCell">
    <xdr:from>
      <xdr:col>0</xdr:col>
      <xdr:colOff>447675</xdr:colOff>
      <xdr:row>127</xdr:row>
      <xdr:rowOff>66676</xdr:rowOff>
    </xdr:from>
    <xdr:to>
      <xdr:col>8</xdr:col>
      <xdr:colOff>171199</xdr:colOff>
      <xdr:row>158</xdr:row>
      <xdr:rowOff>123826</xdr:rowOff>
    </xdr:to>
    <xdr:pic>
      <xdr:nvPicPr>
        <xdr:cNvPr id="13" name="图片 12"/>
        <xdr:cNvPicPr>
          <a:picLocks noChangeAspect="1"/>
        </xdr:cNvPicPr>
      </xdr:nvPicPr>
      <xdr:blipFill>
        <a:blip xmlns:r="http://schemas.openxmlformats.org/officeDocument/2006/relationships" r:embed="rId10"/>
        <a:stretch>
          <a:fillRect/>
        </a:stretch>
      </xdr:blipFill>
      <xdr:spPr>
        <a:xfrm>
          <a:off x="447675" y="21840826"/>
          <a:ext cx="5209924" cy="5372100"/>
        </a:xfrm>
        <a:prstGeom prst="rect">
          <a:avLst/>
        </a:prstGeom>
      </xdr:spPr>
    </xdr:pic>
    <xdr:clientData/>
  </xdr:twoCellAnchor>
  <xdr:twoCellAnchor editAs="oneCell">
    <xdr:from>
      <xdr:col>8</xdr:col>
      <xdr:colOff>348224</xdr:colOff>
      <xdr:row>126</xdr:row>
      <xdr:rowOff>152400</xdr:rowOff>
    </xdr:from>
    <xdr:to>
      <xdr:col>15</xdr:col>
      <xdr:colOff>265748</xdr:colOff>
      <xdr:row>153</xdr:row>
      <xdr:rowOff>170514</xdr:rowOff>
    </xdr:to>
    <xdr:pic>
      <xdr:nvPicPr>
        <xdr:cNvPr id="14" name="图片 13"/>
        <xdr:cNvPicPr>
          <a:picLocks noChangeAspect="1"/>
        </xdr:cNvPicPr>
      </xdr:nvPicPr>
      <xdr:blipFill>
        <a:blip xmlns:r="http://schemas.openxmlformats.org/officeDocument/2006/relationships" r:embed="rId11"/>
        <a:stretch>
          <a:fillRect/>
        </a:stretch>
      </xdr:blipFill>
      <xdr:spPr>
        <a:xfrm>
          <a:off x="5834624" y="21755100"/>
          <a:ext cx="4718124" cy="4647264"/>
        </a:xfrm>
        <a:prstGeom prst="rect">
          <a:avLst/>
        </a:prstGeom>
      </xdr:spPr>
    </xdr:pic>
    <xdr:clientData/>
  </xdr:twoCellAnchor>
  <xdr:twoCellAnchor editAs="oneCell">
    <xdr:from>
      <xdr:col>8</xdr:col>
      <xdr:colOff>412091</xdr:colOff>
      <xdr:row>154</xdr:row>
      <xdr:rowOff>76200</xdr:rowOff>
    </xdr:from>
    <xdr:to>
      <xdr:col>14</xdr:col>
      <xdr:colOff>408582</xdr:colOff>
      <xdr:row>177</xdr:row>
      <xdr:rowOff>66675</xdr:rowOff>
    </xdr:to>
    <xdr:pic>
      <xdr:nvPicPr>
        <xdr:cNvPr id="15" name="图片 14"/>
        <xdr:cNvPicPr>
          <a:picLocks noChangeAspect="1"/>
        </xdr:cNvPicPr>
      </xdr:nvPicPr>
      <xdr:blipFill>
        <a:blip xmlns:r="http://schemas.openxmlformats.org/officeDocument/2006/relationships" r:embed="rId12"/>
        <a:stretch>
          <a:fillRect/>
        </a:stretch>
      </xdr:blipFill>
      <xdr:spPr>
        <a:xfrm>
          <a:off x="5898491" y="26479500"/>
          <a:ext cx="4111291" cy="3933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4" sqref="D34"/>
    </sheetView>
  </sheetViews>
  <sheetFormatPr defaultRowHeight="14.25"/>
  <cols>
    <col min="1" max="1" width="35.625" style="3055" customWidth="1"/>
    <col min="2" max="2" width="81" style="3072" customWidth="1"/>
    <col min="3" max="16384" width="9" style="3070"/>
  </cols>
  <sheetData>
    <row r="1" spans="1:2" s="3058" customFormat="1" ht="16.5" thickBot="1">
      <c r="A1" s="3057" t="s">
        <v>2799</v>
      </c>
      <c r="B1" s="3056" t="s">
        <v>2889</v>
      </c>
    </row>
    <row r="2" spans="1:2" s="3061" customFormat="1" ht="15" thickTop="1">
      <c r="A2" s="3059" t="s">
        <v>2800</v>
      </c>
      <c r="B2" s="3060" t="str">
        <f>'预评函-封皮'!B37:I37</f>
        <v>北京市丰台区汽车博物馆西路8号院1、2、3号楼房地产抵押价值预评估</v>
      </c>
    </row>
    <row r="3" spans="1:2" s="3064" customFormat="1">
      <c r="A3" s="3062" t="s">
        <v>2801</v>
      </c>
      <c r="B3" s="3063" t="str">
        <f>'预评函-封皮'!B40</f>
        <v>北京丰科建房地产开发有限公司</v>
      </c>
    </row>
    <row r="4" spans="1:2" s="3064" customFormat="1">
      <c r="A4" s="3062" t="s">
        <v>2802</v>
      </c>
      <c r="B4" s="3063" t="str">
        <f ca="1">'预评函-封皮'!B46</f>
        <v>刘梅（注册号：1120140022)、吴薇（注册号：1419970001)</v>
      </c>
    </row>
    <row r="5" spans="1:2" s="3058" customFormat="1" ht="15" thickBot="1">
      <c r="A5" s="3065" t="s">
        <v>2803</v>
      </c>
      <c r="B5" s="3066" t="str">
        <f>'预评函-封皮'!B49</f>
        <v>康正预评字号</v>
      </c>
    </row>
    <row r="6" spans="1:2" s="3061" customFormat="1" ht="15" thickTop="1">
      <c r="A6" s="3059" t="s">
        <v>2804</v>
      </c>
      <c r="B6" s="3060" t="str">
        <f>'预评函-1'!A4</f>
        <v>受贵公司委托，我公司对北京市丰台区汽车博物馆西路8号院1、2、3号楼房地产抵押价值进行了预评估。</v>
      </c>
    </row>
    <row r="7" spans="1:2" s="3064" customFormat="1">
      <c r="A7" s="3062" t="s">
        <v>2844</v>
      </c>
      <c r="B7" s="3063" t="str">
        <f>'预评函-1'!A7</f>
        <v>估价对象为北京市丰台区汽车博物馆西路8号院1、2、3号楼房地产，为北京丰科建房地产开发有限公司所有。根据《国有土地使用证》[]，估价对象（分摊）出让国有建设用地使用权面积为15994.67平方米，建筑面积为66965.3200000001平方米。</v>
      </c>
    </row>
    <row r="8" spans="1:2" s="3064" customFormat="1">
      <c r="A8" s="3062" t="s">
        <v>2845</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2846</v>
      </c>
      <c r="B9" s="3063" t="str">
        <f>'预评函-1'!A10</f>
        <v>估价对象为北京市丰台区汽车博物馆西路8号院1、2、3号楼房地产,属北京丰科建房地产开发有限公司开发建设的综合项目（商业、办公），该项目尚在开发建设中。根据《国有土地使用证》[]，估价对象（分摊）出让国有建设用地使用权面积为15994.67平方米，规划建筑面积为66965.3200000001平方米。</v>
      </c>
    </row>
    <row r="10" spans="1:2" s="3064" customFormat="1">
      <c r="A10" s="3062" t="s">
        <v>2847</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2805</v>
      </c>
      <c r="B11" s="3063" t="str">
        <f>'预评函-1'!A13</f>
        <v>为估价委托人在向中信银行股份有限公司富力支行办理贷款手续过程中，确定房地产抵押贷款额度提供参考依据而评估房地产抵押价值。</v>
      </c>
    </row>
    <row r="12" spans="1:2" s="3064" customFormat="1">
      <c r="A12" s="3062" t="s">
        <v>2806</v>
      </c>
      <c r="B12" s="3063" t="str">
        <f>'预评函-1'!A15</f>
        <v>2017年8月9日（评估专业人员实地查勘之日）</v>
      </c>
    </row>
    <row r="13" spans="1:2" s="3064" customFormat="1">
      <c r="A13" s="3062" t="s">
        <v>2807</v>
      </c>
      <c r="B13" s="3063" t="str">
        <f>'预评函-1'!A18</f>
        <v>本次估价的“房地产价值”是指在正常市场情况下，在价值时点2017年8月9日，估价对象规划用途为商业、办公，土地取得方式为出让，出让国有建设用地使用权剩余土地使用年限为商业34年、办公44.01年，假定未设立法定优先受偿款下的房地产市场价值。</v>
      </c>
    </row>
    <row r="14" spans="1:2" s="3064" customFormat="1">
      <c r="A14" s="3062" t="s">
        <v>2808</v>
      </c>
      <c r="B14" s="3063" t="str">
        <f>'预评函-1'!A19</f>
        <v>其中，“出让国有建设用地使用权价值”是指估价对象用途为商业、办公，实际开发程度为宗地红线外“六通”（即通路、通电、通讯、通上水、通下水、燃气）、红线内场地平整条件下，剩余土地使用年限为商业34年、办公44.01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2809</v>
      </c>
      <c r="B15" s="3063" t="str">
        <f>'预评函-1'!A20</f>
        <v>本次估价的“房地产抵押价值”是指估价对象在价值时点的“房地产价值”扣减估价师于价值时点所知悉的法定优先受偿款后的余额。</v>
      </c>
    </row>
    <row r="16" spans="1:2" s="3064" customFormat="1">
      <c r="A16" s="3062" t="s">
        <v>2810</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2811</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2812</v>
      </c>
      <c r="B18" s="3066" t="str">
        <f>'预评函-1'!A24</f>
        <v>本次评估采用的主估价方法为比较法和收益法。</v>
      </c>
    </row>
    <row r="19" spans="1:2" s="3061" customFormat="1" ht="15" thickTop="1">
      <c r="A19" s="3059" t="s">
        <v>2813</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2814</v>
      </c>
      <c r="B20" s="3063">
        <f ca="1">'预评函-2'!D5</f>
        <v>22145</v>
      </c>
    </row>
    <row r="21" spans="1:2" s="3064" customFormat="1">
      <c r="A21" s="3062" t="s">
        <v>2815</v>
      </c>
      <c r="B21" s="3063">
        <f ca="1">'预评函-2'!D7</f>
        <v>50468</v>
      </c>
    </row>
    <row r="22" spans="1:2" s="3064" customFormat="1">
      <c r="A22" s="3062" t="s">
        <v>2816</v>
      </c>
      <c r="B22" s="3063" t="str">
        <f ca="1">'预评函-2'!D6</f>
        <v>贰亿贰仟壹佰肆拾伍万元整</v>
      </c>
    </row>
    <row r="23" spans="1:2" s="3064" customFormat="1">
      <c r="A23" s="3062" t="s">
        <v>2877</v>
      </c>
      <c r="B23" s="3063" t="str">
        <f>'预评函-2'!B8</f>
        <v>2.估价师知悉的法定优先受偿款</v>
      </c>
    </row>
    <row r="24" spans="1:2" s="3064" customFormat="1">
      <c r="A24" s="3062" t="s">
        <v>2883</v>
      </c>
      <c r="B24" s="3063">
        <f>'预评函-2'!D8</f>
        <v>0</v>
      </c>
    </row>
    <row r="25" spans="1:2" s="3064" customFormat="1">
      <c r="A25" s="3062" t="s">
        <v>2817</v>
      </c>
      <c r="B25" s="3063" t="str">
        <f>'预评函-2'!D9</f>
        <v>零元整</v>
      </c>
    </row>
    <row r="26" spans="1:2" s="3064" customFormat="1">
      <c r="A26" s="3062" t="s">
        <v>2818</v>
      </c>
      <c r="B26" s="3063">
        <f>'预评函-2'!D10</f>
        <v>0</v>
      </c>
    </row>
    <row r="27" spans="1:2" s="3064" customFormat="1">
      <c r="A27" s="3062" t="s">
        <v>2819</v>
      </c>
      <c r="B27" s="3063">
        <f>'预评函-2'!D11</f>
        <v>0</v>
      </c>
    </row>
    <row r="28" spans="1:2" s="3064" customFormat="1">
      <c r="A28" s="3062" t="s">
        <v>2820</v>
      </c>
      <c r="B28" s="3063">
        <f>'预评函-2'!D12</f>
        <v>0</v>
      </c>
    </row>
    <row r="29" spans="1:2" s="3064" customFormat="1">
      <c r="A29" s="3062" t="s">
        <v>2881</v>
      </c>
      <c r="B29" s="3063" t="str">
        <f>'预评函-2'!B13</f>
        <v>3.房地产抵押价值</v>
      </c>
    </row>
    <row r="30" spans="1:2" s="3064" customFormat="1">
      <c r="A30" s="3062" t="s">
        <v>2882</v>
      </c>
      <c r="B30" s="3063">
        <f ca="1">'预评函-2'!D13</f>
        <v>22145</v>
      </c>
    </row>
    <row r="31" spans="1:2" s="3064" customFormat="1">
      <c r="A31" s="3062" t="s">
        <v>2855</v>
      </c>
      <c r="B31" s="3063">
        <f ca="1">'预评函-2'!D15</f>
        <v>3307</v>
      </c>
    </row>
    <row r="32" spans="1:2" s="3064" customFormat="1">
      <c r="A32" s="3062" t="s">
        <v>2821</v>
      </c>
      <c r="B32" s="3063" t="str">
        <f ca="1">'预评函-2'!D14</f>
        <v>贰亿贰仟壹佰肆拾伍万元整</v>
      </c>
    </row>
    <row r="33" spans="1:2" s="3064" customFormat="1">
      <c r="A33" s="3062" t="s">
        <v>2857</v>
      </c>
      <c r="B33" s="3063" t="str">
        <f>'预评函-2'!B16</f>
        <v>——</v>
      </c>
    </row>
    <row r="34" spans="1:2" s="3064" customFormat="1">
      <c r="A34" s="3062" t="s">
        <v>2884</v>
      </c>
      <c r="B34" s="3063" t="str">
        <f>'预评函-2'!D16</f>
        <v>——</v>
      </c>
    </row>
    <row r="35" spans="1:2" s="3064" customFormat="1">
      <c r="A35" s="3062" t="s">
        <v>2856</v>
      </c>
      <c r="B35" s="3063" t="str">
        <f>'预评函-2'!D18</f>
        <v>——</v>
      </c>
    </row>
    <row r="36" spans="1:2" s="3064" customFormat="1">
      <c r="A36" s="3062" t="s">
        <v>2822</v>
      </c>
      <c r="B36" s="3063" t="e">
        <f>'预评函-2'!D17</f>
        <v>#VALUE!</v>
      </c>
    </row>
    <row r="37" spans="1:2" s="3064" customFormat="1">
      <c r="A37" s="3062" t="s">
        <v>2858</v>
      </c>
      <c r="B37" s="3063" t="str">
        <f>'预评函-2'!B19</f>
        <v>——</v>
      </c>
    </row>
    <row r="38" spans="1:2" s="3064" customFormat="1">
      <c r="A38" s="3062" t="s">
        <v>2885</v>
      </c>
      <c r="B38" s="3063" t="str">
        <f>'预评函-2'!D19</f>
        <v>——</v>
      </c>
    </row>
    <row r="39" spans="1:2" s="3064" customFormat="1">
      <c r="A39" s="3062" t="s">
        <v>2823</v>
      </c>
      <c r="B39" s="3063" t="str">
        <f>'预评函-2'!D21</f>
        <v>——</v>
      </c>
    </row>
    <row r="40" spans="1:2" s="3064" customFormat="1">
      <c r="A40" s="3062" t="s">
        <v>2824</v>
      </c>
      <c r="B40" s="3063" t="e">
        <f>'预评函-2'!D20</f>
        <v>#VALUE!</v>
      </c>
    </row>
    <row r="41" spans="1:2" s="3064" customFormat="1">
      <c r="A41" s="3062" t="s">
        <v>2880</v>
      </c>
      <c r="B41" s="3063" t="str">
        <f>'预评函-3'!A4</f>
        <v>北京市丰台区汽车博物馆西路8号院1、2、3号楼房地产</v>
      </c>
    </row>
    <row r="42" spans="1:2" s="3064" customFormat="1">
      <c r="A42" s="3062" t="s">
        <v>2878</v>
      </c>
      <c r="B42" s="3063" t="str">
        <f>'预评函-3'!B2</f>
        <v>建筑面积</v>
      </c>
    </row>
    <row r="43" spans="1:2" s="3064" customFormat="1">
      <c r="A43" s="3062" t="s">
        <v>2879</v>
      </c>
      <c r="B43" s="3063">
        <f>'预评函-3'!B4</f>
        <v>66965.320000000065</v>
      </c>
    </row>
    <row r="44" spans="1:2" s="3064" customFormat="1">
      <c r="A44" s="3062" t="s">
        <v>2854</v>
      </c>
      <c r="B44" s="3063" t="str">
        <f>'预评函-3'!C2</f>
        <v>(分摊)土地面积</v>
      </c>
    </row>
    <row r="45" spans="1:2" s="3064" customFormat="1">
      <c r="A45" s="3062" t="s">
        <v>2825</v>
      </c>
      <c r="B45" s="3063">
        <f>'预评函-3'!C4</f>
        <v>15994.67</v>
      </c>
    </row>
    <row r="46" spans="1:2" s="3064" customFormat="1">
      <c r="A46" s="3062" t="s">
        <v>2852</v>
      </c>
      <c r="B46" s="3063" t="str">
        <f>'预评函-3'!D2</f>
        <v>出让国有建设用地使用权价值</v>
      </c>
    </row>
    <row r="47" spans="1:2" s="3064" customFormat="1">
      <c r="A47" s="3062" t="s">
        <v>2826</v>
      </c>
      <c r="B47" s="3063">
        <f ca="1">'预评函-3'!D4</f>
        <v>18358</v>
      </c>
    </row>
    <row r="48" spans="1:2" s="3064" customFormat="1">
      <c r="A48" s="3062" t="s">
        <v>2827</v>
      </c>
      <c r="B48" s="3063">
        <f ca="1">'预评函-3'!E4</f>
        <v>41837</v>
      </c>
    </row>
    <row r="49" spans="1:2" s="3064" customFormat="1">
      <c r="A49" s="3062" t="s">
        <v>2828</v>
      </c>
      <c r="B49" s="3063" t="str">
        <f ca="1">'预评函-3'!D5</f>
        <v>壹亿捌仟叁佰伍拾捌万元整</v>
      </c>
    </row>
    <row r="50" spans="1:2" s="3064" customFormat="1">
      <c r="A50" s="3062" t="s">
        <v>2853</v>
      </c>
      <c r="B50" s="3063" t="str">
        <f>'预评函-3'!F2</f>
        <v>在建建筑物价值</v>
      </c>
    </row>
    <row r="51" spans="1:2" s="3064" customFormat="1">
      <c r="A51" s="3062" t="s">
        <v>2829</v>
      </c>
      <c r="B51" s="3063">
        <f ca="1">'预评函-3'!F4</f>
        <v>3787</v>
      </c>
    </row>
    <row r="52" spans="1:2" s="3064" customFormat="1">
      <c r="A52" s="3062" t="s">
        <v>2830</v>
      </c>
      <c r="B52" s="3063">
        <f ca="1">'预评函-3'!G4</f>
        <v>8631</v>
      </c>
    </row>
    <row r="53" spans="1:2" s="3064" customFormat="1">
      <c r="A53" s="3062" t="s">
        <v>2859</v>
      </c>
      <c r="B53" s="3063" t="str">
        <f ca="1">'预评函-3'!F5</f>
        <v>叁仟柒佰捌拾柒万元整</v>
      </c>
    </row>
    <row r="54" spans="1:2" s="3064" customFormat="1">
      <c r="A54" s="3062" t="s">
        <v>2887</v>
      </c>
      <c r="B54" s="3063" t="str">
        <f>'预评函-3'!A8</f>
        <v>房地产抵押价值</v>
      </c>
    </row>
    <row r="55" spans="1:2" s="3064" customFormat="1">
      <c r="A55" s="3062" t="s">
        <v>2860</v>
      </c>
      <c r="B55" s="3063" t="str">
        <f>'预评函-3'!A10</f>
        <v/>
      </c>
    </row>
    <row r="56" spans="1:2" s="3064" customFormat="1">
      <c r="A56" s="3062" t="s">
        <v>2861</v>
      </c>
      <c r="B56" s="3063" t="str">
        <f>'预评函-3'!A12</f>
        <v/>
      </c>
    </row>
    <row r="57" spans="1:2" s="3058" customFormat="1" ht="15" thickBot="1">
      <c r="A57" s="3065" t="s">
        <v>2888</v>
      </c>
      <c r="B57" s="3066" t="str">
        <f>'预评函-3'!A6</f>
        <v>估价师知悉的法定优先受偿款</v>
      </c>
    </row>
    <row r="58" spans="1:2" s="3061" customFormat="1" ht="15" thickTop="1">
      <c r="A58" s="3059" t="s">
        <v>2831</v>
      </c>
      <c r="B58" s="3060" t="str">
        <f>'预评函-4'!A12</f>
        <v>2.本《评估意见函》仅供金融机构进行内部审核使用，不做其他目的之用。</v>
      </c>
    </row>
    <row r="59" spans="1:2" s="3064" customFormat="1">
      <c r="A59" s="3062" t="s">
        <v>2832</v>
      </c>
      <c r="B59" s="3063" t="str">
        <f>'预评函-4'!A13</f>
        <v>3.抵押双方在办理抵押登记手续时，应使用本公司出具的正式《房地产评估报告》，特提醒报告使用者注意。</v>
      </c>
    </row>
    <row r="60" spans="1:2" s="3064" customFormat="1">
      <c r="A60" s="3062" t="s">
        <v>2833</v>
      </c>
      <c r="B60" s="3063" t="str">
        <f>'预评函-4'!A14</f>
        <v>4.本次评估估价师所知悉的法定优先受偿款情况说明如下：</v>
      </c>
    </row>
    <row r="61" spans="1:2" s="3064" customFormat="1">
      <c r="A61" s="3062" t="s">
        <v>2834</v>
      </c>
      <c r="B61" s="3063" t="str">
        <f>'预评函-4'!A15</f>
        <v>（1）根据估价对象《房屋所有权证》复印件、《国有土地使用权》复印件，截至价值时点，估价对象抵押权未见登记。</v>
      </c>
    </row>
    <row r="62" spans="1:2" s="3064" customFormat="1">
      <c r="A62" s="3062" t="s">
        <v>2835</v>
      </c>
      <c r="B62" s="3063" t="str">
        <f>'预评函-4'!A16</f>
        <v>（2）根据《工程款支付情况说明》，截至价值时点，估价对象不存在应付未付工程款项。（只要没有施工方盖章的，均“设定”进行表述）</v>
      </c>
    </row>
    <row r="63" spans="1:2" s="3064" customFormat="1">
      <c r="A63" s="3062" t="s">
        <v>2836</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2848</v>
      </c>
      <c r="B64" s="3063" t="str">
        <f>'预评函-4'!A18</f>
        <v>故，本次评估不存在估价师知悉的法定优先受偿款</v>
      </c>
    </row>
    <row r="65" spans="1:2" s="3064" customFormat="1">
      <c r="A65" s="3062" t="s">
        <v>2837</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2838</v>
      </c>
      <c r="B66" s="3063" t="str">
        <f>'预评函-4'!A20</f>
        <v/>
      </c>
    </row>
    <row r="67" spans="1:2" s="3064" customFormat="1">
      <c r="A67" s="3062" t="s">
        <v>2849</v>
      </c>
      <c r="B67" s="3063" t="str">
        <f>'预评函-4'!A21</f>
        <v/>
      </c>
    </row>
    <row r="68" spans="1:2" s="3064" customFormat="1">
      <c r="A68" s="3062" t="s">
        <v>2850</v>
      </c>
      <c r="B68" s="3063" t="str">
        <f>'预评函-4'!A22</f>
        <v>8.其他需特殊说明事项：无（注意调整序号）</v>
      </c>
    </row>
    <row r="69" spans="1:2" s="3058" customFormat="1" ht="15" thickBot="1">
      <c r="A69" s="3065" t="s">
        <v>2839</v>
      </c>
      <c r="B69" s="3067">
        <f>'预评函-4'!C31</f>
        <v>42551</v>
      </c>
    </row>
    <row r="70" spans="1:2" ht="15" thickTop="1">
      <c r="A70" s="3068" t="s">
        <v>2840</v>
      </c>
      <c r="B70" s="3069" t="str">
        <f>'预评函-4'!A4</f>
        <v>刘梅</v>
      </c>
    </row>
    <row r="71" spans="1:2">
      <c r="A71" s="3062" t="s">
        <v>2841</v>
      </c>
      <c r="B71" s="3063">
        <f ca="1">'预评函-4'!B4</f>
        <v>1120140022</v>
      </c>
    </row>
    <row r="72" spans="1:2">
      <c r="A72" s="3062" t="s">
        <v>2842</v>
      </c>
      <c r="B72" s="3071" t="str">
        <f>'预评函-4'!A5</f>
        <v>吴薇</v>
      </c>
    </row>
    <row r="73" spans="1:2" s="3058" customFormat="1" ht="15" thickBot="1">
      <c r="A73" s="3065" t="s">
        <v>2843</v>
      </c>
      <c r="B73" s="3066">
        <f ca="1">'预评函-4'!B5</f>
        <v>1419970001</v>
      </c>
    </row>
    <row r="74" spans="1:2" ht="15" thickTop="1">
      <c r="A74" s="3055" t="s">
        <v>2905</v>
      </c>
      <c r="B74" s="307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30" sqref="Y30"/>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528</v>
      </c>
      <c r="B1" s="289" t="s">
        <v>253</v>
      </c>
      <c r="C1" s="1766" t="s">
        <v>1870</v>
      </c>
      <c r="D1" s="290" t="s">
        <v>254</v>
      </c>
      <c r="E1" s="290" t="s">
        <v>255</v>
      </c>
      <c r="F1" s="290" t="s">
        <v>256</v>
      </c>
      <c r="G1" s="290" t="s">
        <v>257</v>
      </c>
      <c r="H1" s="290" t="s">
        <v>258</v>
      </c>
      <c r="I1" s="290" t="s">
        <v>259</v>
      </c>
      <c r="J1" s="290" t="s">
        <v>260</v>
      </c>
      <c r="K1" s="290" t="s">
        <v>261</v>
      </c>
      <c r="L1" s="290" t="s">
        <v>262</v>
      </c>
      <c r="M1" s="290" t="s">
        <v>263</v>
      </c>
      <c r="N1" s="290" t="s">
        <v>264</v>
      </c>
      <c r="O1" s="290" t="s">
        <v>265</v>
      </c>
      <c r="P1" s="11" t="s">
        <v>1842</v>
      </c>
      <c r="Q1" s="11" t="s">
        <v>2643</v>
      </c>
      <c r="R1" s="1483" t="s">
        <v>2633</v>
      </c>
      <c r="S1" s="290" t="s">
        <v>266</v>
      </c>
      <c r="T1" s="291" t="s">
        <v>267</v>
      </c>
      <c r="U1" s="290" t="s">
        <v>268</v>
      </c>
      <c r="V1" s="290" t="s">
        <v>269</v>
      </c>
      <c r="W1" s="1483" t="s">
        <v>1845</v>
      </c>
    </row>
    <row r="2" spans="1:23">
      <c r="A2" s="2798" t="s">
        <v>110</v>
      </c>
      <c r="B2" s="2798" t="s">
        <v>575</v>
      </c>
      <c r="C2" s="1767" t="s">
        <v>1871</v>
      </c>
      <c r="D2" s="292" t="s">
        <v>227</v>
      </c>
      <c r="E2" s="292" t="s">
        <v>270</v>
      </c>
      <c r="F2" s="292" t="s">
        <v>271</v>
      </c>
      <c r="G2" s="292">
        <v>40</v>
      </c>
      <c r="H2" s="292" t="s">
        <v>272</v>
      </c>
      <c r="I2" s="292" t="s">
        <v>273</v>
      </c>
      <c r="J2" s="292" t="s">
        <v>274</v>
      </c>
      <c r="K2" s="292" t="s">
        <v>228</v>
      </c>
      <c r="L2" s="292" t="s">
        <v>228</v>
      </c>
      <c r="M2" s="292" t="s">
        <v>228</v>
      </c>
      <c r="N2" s="292" t="s">
        <v>228</v>
      </c>
      <c r="O2" s="292" t="s">
        <v>228</v>
      </c>
      <c r="P2" s="292" t="s">
        <v>228</v>
      </c>
      <c r="Q2" s="292" t="s">
        <v>228</v>
      </c>
      <c r="R2" s="2761" t="s">
        <v>2637</v>
      </c>
      <c r="S2" s="292" t="s">
        <v>228</v>
      </c>
      <c r="T2" s="292" t="s">
        <v>229</v>
      </c>
      <c r="U2" s="292" t="s">
        <v>228</v>
      </c>
      <c r="V2" s="292" t="s">
        <v>230</v>
      </c>
      <c r="W2" s="292" t="s">
        <v>228</v>
      </c>
    </row>
    <row r="3" spans="1:23">
      <c r="A3" s="2798" t="s">
        <v>574</v>
      </c>
      <c r="B3" s="2799" t="s">
        <v>2679</v>
      </c>
      <c r="C3" s="1768" t="s">
        <v>1872</v>
      </c>
      <c r="D3" s="292" t="s">
        <v>231</v>
      </c>
      <c r="E3" s="292" t="s">
        <v>51</v>
      </c>
      <c r="F3" s="292" t="s">
        <v>232</v>
      </c>
      <c r="G3" s="292">
        <v>50</v>
      </c>
      <c r="H3" s="292" t="s">
        <v>233</v>
      </c>
      <c r="I3" s="292" t="s">
        <v>234</v>
      </c>
      <c r="J3" s="292" t="s">
        <v>235</v>
      </c>
      <c r="K3" s="292" t="s">
        <v>236</v>
      </c>
      <c r="L3" s="292" t="s">
        <v>236</v>
      </c>
      <c r="M3" s="292" t="s">
        <v>236</v>
      </c>
      <c r="N3" s="292" t="s">
        <v>236</v>
      </c>
      <c r="O3" s="292" t="s">
        <v>236</v>
      </c>
      <c r="P3" s="292" t="s">
        <v>236</v>
      </c>
      <c r="Q3" s="292" t="s">
        <v>236</v>
      </c>
      <c r="R3" s="2761" t="s">
        <v>2635</v>
      </c>
      <c r="S3" s="292" t="s">
        <v>236</v>
      </c>
      <c r="T3" s="292" t="s">
        <v>237</v>
      </c>
      <c r="U3" s="292" t="s">
        <v>236</v>
      </c>
      <c r="V3" s="292" t="s">
        <v>238</v>
      </c>
      <c r="W3" s="292" t="s">
        <v>236</v>
      </c>
    </row>
    <row r="4" spans="1:23">
      <c r="A4" s="2798" t="s">
        <v>576</v>
      </c>
      <c r="B4" s="2798" t="s">
        <v>577</v>
      </c>
      <c r="C4" s="1767" t="s">
        <v>1873</v>
      </c>
      <c r="D4" s="292" t="s">
        <v>2043</v>
      </c>
      <c r="E4" s="292" t="s">
        <v>275</v>
      </c>
      <c r="F4" s="292" t="s">
        <v>276</v>
      </c>
      <c r="G4" s="292">
        <v>70</v>
      </c>
      <c r="H4" s="292" t="s">
        <v>277</v>
      </c>
      <c r="I4" s="292" t="s">
        <v>278</v>
      </c>
      <c r="K4" s="292" t="s">
        <v>239</v>
      </c>
      <c r="L4" s="292" t="s">
        <v>239</v>
      </c>
      <c r="M4" s="292" t="s">
        <v>239</v>
      </c>
      <c r="N4" s="292" t="s">
        <v>239</v>
      </c>
      <c r="O4" s="292" t="s">
        <v>239</v>
      </c>
      <c r="P4" s="292" t="s">
        <v>239</v>
      </c>
      <c r="Q4" s="292" t="s">
        <v>239</v>
      </c>
      <c r="R4" s="2761" t="s">
        <v>2638</v>
      </c>
      <c r="S4" s="292" t="s">
        <v>239</v>
      </c>
      <c r="T4" s="292" t="s">
        <v>240</v>
      </c>
      <c r="U4" s="292" t="s">
        <v>239</v>
      </c>
      <c r="W4" s="292" t="s">
        <v>239</v>
      </c>
    </row>
    <row r="5" spans="1:23">
      <c r="A5" s="2798" t="s">
        <v>578</v>
      </c>
      <c r="B5" s="2798" t="s">
        <v>579</v>
      </c>
      <c r="C5" s="1767" t="s">
        <v>1874</v>
      </c>
      <c r="F5" s="292" t="s">
        <v>241</v>
      </c>
      <c r="H5" s="292" t="s">
        <v>242</v>
      </c>
      <c r="I5" s="292" t="s">
        <v>243</v>
      </c>
      <c r="K5" s="292" t="s">
        <v>244</v>
      </c>
      <c r="L5" s="292" t="s">
        <v>244</v>
      </c>
      <c r="M5" s="292" t="s">
        <v>244</v>
      </c>
      <c r="N5" s="292" t="s">
        <v>244</v>
      </c>
      <c r="O5" s="292" t="s">
        <v>244</v>
      </c>
      <c r="P5" s="292" t="s">
        <v>244</v>
      </c>
      <c r="Q5" s="292" t="s">
        <v>244</v>
      </c>
      <c r="R5" s="2761" t="s">
        <v>2639</v>
      </c>
      <c r="S5" s="292" t="s">
        <v>244</v>
      </c>
      <c r="T5" s="292" t="s">
        <v>245</v>
      </c>
      <c r="U5" s="292" t="s">
        <v>244</v>
      </c>
      <c r="W5" s="292" t="s">
        <v>244</v>
      </c>
    </row>
    <row r="6" spans="1:23">
      <c r="A6" s="2798" t="s">
        <v>580</v>
      </c>
      <c r="B6" s="2799" t="s">
        <v>2680</v>
      </c>
      <c r="C6" s="1769" t="s">
        <v>159</v>
      </c>
      <c r="F6" s="292" t="s">
        <v>246</v>
      </c>
      <c r="H6" s="292" t="s">
        <v>247</v>
      </c>
      <c r="I6" s="292" t="s">
        <v>248</v>
      </c>
      <c r="K6" s="292" t="s">
        <v>249</v>
      </c>
      <c r="L6" s="292" t="s">
        <v>249</v>
      </c>
      <c r="M6" s="292" t="s">
        <v>249</v>
      </c>
      <c r="N6" s="292" t="s">
        <v>249</v>
      </c>
      <c r="O6" s="292" t="s">
        <v>249</v>
      </c>
      <c r="P6" s="292" t="s">
        <v>249</v>
      </c>
      <c r="Q6" s="292" t="s">
        <v>249</v>
      </c>
      <c r="R6" s="2761" t="s">
        <v>2640</v>
      </c>
      <c r="S6" s="292" t="s">
        <v>249</v>
      </c>
      <c r="T6" s="292"/>
      <c r="U6" s="292" t="s">
        <v>249</v>
      </c>
      <c r="W6" s="292" t="s">
        <v>249</v>
      </c>
    </row>
    <row r="7" spans="1:23">
      <c r="A7" s="2798" t="s">
        <v>582</v>
      </c>
      <c r="B7" s="2799" t="s">
        <v>2681</v>
      </c>
      <c r="C7" s="1767" t="s">
        <v>160</v>
      </c>
      <c r="F7" s="292" t="s">
        <v>250</v>
      </c>
      <c r="H7" s="292" t="s">
        <v>251</v>
      </c>
      <c r="I7" s="292" t="s">
        <v>252</v>
      </c>
    </row>
    <row r="8" spans="1:23">
      <c r="A8" s="2798" t="s">
        <v>584</v>
      </c>
      <c r="B8" s="2798" t="s">
        <v>581</v>
      </c>
      <c r="C8" s="1767" t="s">
        <v>1875</v>
      </c>
      <c r="F8" s="292" t="s">
        <v>279</v>
      </c>
      <c r="H8" s="292"/>
      <c r="I8" s="292" t="s">
        <v>280</v>
      </c>
    </row>
    <row r="9" spans="1:23">
      <c r="A9" s="2798" t="s">
        <v>586</v>
      </c>
      <c r="B9" s="2798" t="s">
        <v>583</v>
      </c>
      <c r="C9" s="1767" t="s">
        <v>1876</v>
      </c>
      <c r="F9" s="292" t="s">
        <v>281</v>
      </c>
      <c r="H9" s="292"/>
    </row>
    <row r="10" spans="1:23">
      <c r="A10" s="2798" t="s">
        <v>588</v>
      </c>
      <c r="B10" s="2798" t="s">
        <v>585</v>
      </c>
      <c r="C10" s="1767" t="s">
        <v>1877</v>
      </c>
      <c r="F10" s="292" t="s">
        <v>51</v>
      </c>
    </row>
    <row r="11" spans="1:23">
      <c r="A11" s="2798" t="s">
        <v>590</v>
      </c>
      <c r="B11" s="2798" t="s">
        <v>587</v>
      </c>
      <c r="C11" s="1767" t="s">
        <v>1878</v>
      </c>
    </row>
    <row r="12" spans="1:23">
      <c r="A12" s="2798" t="s">
        <v>592</v>
      </c>
      <c r="B12" s="2798" t="s">
        <v>589</v>
      </c>
      <c r="C12" s="1767" t="s">
        <v>1879</v>
      </c>
    </row>
    <row r="13" spans="1:23">
      <c r="A13" s="2798" t="s">
        <v>594</v>
      </c>
      <c r="B13" s="2798" t="s">
        <v>591</v>
      </c>
      <c r="C13" s="1767" t="s">
        <v>1880</v>
      </c>
    </row>
    <row r="14" spans="1:23">
      <c r="A14" s="2798" t="s">
        <v>596</v>
      </c>
      <c r="B14" s="2798" t="s">
        <v>593</v>
      </c>
      <c r="C14" s="292" t="s">
        <v>51</v>
      </c>
    </row>
    <row r="15" spans="1:23">
      <c r="A15" s="2798" t="s">
        <v>597</v>
      </c>
      <c r="B15" s="2798" t="s">
        <v>595</v>
      </c>
      <c r="C15" s="1770"/>
    </row>
    <row r="16" spans="1:23">
      <c r="A16" s="2798" t="s">
        <v>598</v>
      </c>
      <c r="B16" s="2798" t="s">
        <v>1861</v>
      </c>
      <c r="C16" s="1770"/>
    </row>
    <row r="17" spans="1:3">
      <c r="A17" s="2798" t="s">
        <v>599</v>
      </c>
      <c r="B17" s="2798" t="s">
        <v>3552</v>
      </c>
      <c r="C17" s="1770"/>
    </row>
    <row r="18" spans="1:3">
      <c r="A18" s="2798" t="s">
        <v>600</v>
      </c>
      <c r="B18" s="2798" t="s">
        <v>3553</v>
      </c>
      <c r="C18" s="1770"/>
    </row>
    <row r="19" spans="1:3">
      <c r="A19" s="2798" t="s">
        <v>601</v>
      </c>
      <c r="B19" s="2798" t="s">
        <v>3556</v>
      </c>
      <c r="C19" s="1770"/>
    </row>
    <row r="20" spans="1:3">
      <c r="A20" s="2798" t="s">
        <v>602</v>
      </c>
      <c r="B20" s="2798" t="s">
        <v>3557</v>
      </c>
      <c r="C20" s="1770"/>
    </row>
    <row r="21" spans="1:3">
      <c r="A21" s="2798" t="s">
        <v>603</v>
      </c>
      <c r="B21" s="2798" t="s">
        <v>1862</v>
      </c>
      <c r="C21" s="1770"/>
    </row>
    <row r="22" spans="1:3">
      <c r="A22" s="2798" t="s">
        <v>604</v>
      </c>
      <c r="B22" s="2798" t="s">
        <v>1862</v>
      </c>
      <c r="C22" s="1770"/>
    </row>
    <row r="23" spans="1:3">
      <c r="A23" s="2798" t="s">
        <v>605</v>
      </c>
      <c r="B23" s="2798" t="s">
        <v>1862</v>
      </c>
      <c r="C23" s="1770"/>
    </row>
    <row r="24" spans="1:3">
      <c r="A24" s="2798" t="s">
        <v>606</v>
      </c>
      <c r="B24" s="2798" t="s">
        <v>1862</v>
      </c>
      <c r="C24" s="1770"/>
    </row>
    <row r="25" spans="1:3">
      <c r="A25" s="2798" t="s">
        <v>607</v>
      </c>
      <c r="B25" s="2798" t="s">
        <v>1862</v>
      </c>
      <c r="C25" s="1770"/>
    </row>
    <row r="26" spans="1:3">
      <c r="A26" s="2798" t="s">
        <v>608</v>
      </c>
      <c r="B26" s="2798" t="s">
        <v>1862</v>
      </c>
      <c r="C26" s="1770"/>
    </row>
    <row r="27" spans="1:3">
      <c r="A27" s="2798" t="s">
        <v>1862</v>
      </c>
      <c r="B27" s="2798" t="s">
        <v>1862</v>
      </c>
      <c r="C27" s="1770"/>
    </row>
    <row r="28" spans="1:3">
      <c r="A28" s="2798" t="s">
        <v>1862</v>
      </c>
      <c r="B28" s="2798" t="s">
        <v>1862</v>
      </c>
      <c r="C28" s="1770"/>
    </row>
    <row r="29" spans="1:3">
      <c r="A29" s="2798" t="s">
        <v>1862</v>
      </c>
      <c r="B29" s="2798" t="s">
        <v>1862</v>
      </c>
      <c r="C29" s="1770"/>
    </row>
    <row r="30" spans="1:3">
      <c r="A30" s="2798" t="s">
        <v>1862</v>
      </c>
      <c r="B30" s="2798" t="s">
        <v>1862</v>
      </c>
      <c r="C30" s="1770"/>
    </row>
    <row r="31" spans="1:3">
      <c r="A31" s="2798" t="s">
        <v>1862</v>
      </c>
      <c r="B31" s="2798" t="s">
        <v>1862</v>
      </c>
      <c r="C31" s="1770"/>
    </row>
    <row r="32" spans="1:3">
      <c r="A32" s="2798" t="s">
        <v>1862</v>
      </c>
      <c r="B32" s="2798" t="s">
        <v>1862</v>
      </c>
      <c r="C32" s="1770"/>
    </row>
    <row r="33" spans="1:3">
      <c r="A33" s="2798" t="s">
        <v>1862</v>
      </c>
      <c r="B33" s="2798" t="s">
        <v>1862</v>
      </c>
      <c r="C33" s="1770"/>
    </row>
    <row r="34" spans="1:3">
      <c r="A34" s="2798" t="s">
        <v>1862</v>
      </c>
      <c r="B34" s="2798" t="s">
        <v>1862</v>
      </c>
      <c r="C34" s="1770"/>
    </row>
    <row r="35" spans="1:3">
      <c r="A35" s="2798" t="s">
        <v>1862</v>
      </c>
      <c r="B35" s="2798" t="s">
        <v>1862</v>
      </c>
      <c r="C35" s="1770"/>
    </row>
    <row r="36" spans="1:3">
      <c r="A36" s="2798" t="s">
        <v>1862</v>
      </c>
      <c r="B36" s="2798" t="s">
        <v>1862</v>
      </c>
      <c r="C36" s="1770"/>
    </row>
    <row r="37" spans="1:3">
      <c r="A37" s="2798" t="s">
        <v>1862</v>
      </c>
      <c r="B37" s="2798" t="s">
        <v>1862</v>
      </c>
      <c r="C37" s="1770"/>
    </row>
    <row r="38" spans="1:3">
      <c r="A38" s="2798" t="s">
        <v>1862</v>
      </c>
      <c r="B38" s="2798" t="s">
        <v>1862</v>
      </c>
      <c r="C38" s="1770"/>
    </row>
    <row r="39" spans="1:3">
      <c r="A39" s="2798" t="s">
        <v>1862</v>
      </c>
      <c r="B39" s="2798" t="s">
        <v>1862</v>
      </c>
      <c r="C39" s="1770"/>
    </row>
    <row r="40" spans="1:3">
      <c r="A40" s="2798" t="s">
        <v>1862</v>
      </c>
      <c r="B40" s="2798" t="s">
        <v>1862</v>
      </c>
      <c r="C40" s="1770"/>
    </row>
    <row r="41" spans="1:3">
      <c r="A41" s="2798" t="s">
        <v>1862</v>
      </c>
      <c r="B41" s="2798" t="s">
        <v>1862</v>
      </c>
      <c r="C41" s="1770"/>
    </row>
    <row r="42" spans="1:3">
      <c r="A42" s="2798" t="s">
        <v>1862</v>
      </c>
      <c r="B42" s="2798" t="s">
        <v>1862</v>
      </c>
      <c r="C42" s="1770"/>
    </row>
    <row r="43" spans="1:3">
      <c r="A43" s="2798" t="s">
        <v>1862</v>
      </c>
      <c r="B43" s="2798" t="s">
        <v>1862</v>
      </c>
      <c r="C43" s="1770"/>
    </row>
    <row r="44" spans="1:3">
      <c r="A44" s="2798" t="s">
        <v>1862</v>
      </c>
      <c r="B44" s="2798" t="s">
        <v>1862</v>
      </c>
      <c r="C44" s="1770"/>
    </row>
    <row r="45" spans="1:3">
      <c r="A45" s="2798" t="s">
        <v>1862</v>
      </c>
      <c r="B45" s="2798" t="s">
        <v>1862</v>
      </c>
      <c r="C45" s="1770"/>
    </row>
    <row r="46" spans="1:3">
      <c r="A46" s="2798" t="s">
        <v>1862</v>
      </c>
      <c r="B46" s="2798" t="s">
        <v>1862</v>
      </c>
      <c r="C46" s="1770"/>
    </row>
    <row r="47" spans="1:3">
      <c r="A47" s="2798" t="s">
        <v>1862</v>
      </c>
      <c r="B47" s="2798" t="s">
        <v>1862</v>
      </c>
      <c r="C47" s="1770"/>
    </row>
    <row r="48" spans="1:3">
      <c r="A48" s="2798" t="s">
        <v>1862</v>
      </c>
      <c r="B48" s="2798" t="s">
        <v>1862</v>
      </c>
      <c r="C48" s="1770"/>
    </row>
    <row r="49" spans="1:4">
      <c r="A49" s="2798" t="s">
        <v>1862</v>
      </c>
      <c r="B49" s="2798" t="s">
        <v>1862</v>
      </c>
      <c r="C49" s="1770"/>
    </row>
    <row r="50" spans="1:4">
      <c r="A50" s="2798" t="s">
        <v>1862</v>
      </c>
      <c r="B50" s="2798" t="s">
        <v>1862</v>
      </c>
      <c r="C50" s="1770"/>
    </row>
    <row r="51" spans="1:4">
      <c r="A51" s="1950" t="s">
        <v>2008</v>
      </c>
      <c r="B51" s="2092" t="str">
        <f>"为估价委托人在向"&amp;项目基本情况!B6&amp;"办理贷款手续过程中，确定房地产抵押贷款额度提供参考依据而评估房地产抵押价值。"</f>
        <v>为估价委托人在向中信银行股份有限公司富力支行办理贷款手续过程中，确定房地产抵押贷款额度提供参考依据而评估房地产抵押价值。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丰科建房地产开发有限公司拟使用北京市丰台区汽车博物馆西路8号院1、2、3号楼房地产作为抵押担保物，向中信银行股份有限公司富力支行办理贷款手续。中信银行股份有限公司富力支行特委托北京康正宏基房地产评估有限公司对上述抵押物进行评估。本次评估为确定房地产抵押贷款额度提供参考依据而评估房地产抵押价值。</v>
      </c>
      <c r="D51" s="2092" t="s">
        <v>2868</v>
      </c>
    </row>
    <row r="52" spans="1:4">
      <c r="A52" s="1950" t="s">
        <v>2011</v>
      </c>
      <c r="B52" s="1950" t="s">
        <v>2012</v>
      </c>
      <c r="C52" s="1162" t="s">
        <v>2013</v>
      </c>
      <c r="D52" s="1162" t="s">
        <v>2014</v>
      </c>
    </row>
    <row r="53" spans="1:4">
      <c r="A53" s="3412" t="s">
        <v>2015</v>
      </c>
      <c r="B53" s="2092" t="s">
        <v>2016</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9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412"/>
      <c r="B54" s="2092" t="s">
        <v>2017</v>
      </c>
      <c r="C54" s="1162" t="s">
        <v>2865</v>
      </c>
    </row>
    <row r="55" spans="1:4">
      <c r="A55" s="3412"/>
      <c r="B55" s="2092" t="s">
        <v>2018</v>
      </c>
      <c r="C55" s="1162" t="s">
        <v>2866</v>
      </c>
    </row>
    <row r="56" spans="1:4">
      <c r="A56" s="3412"/>
      <c r="B56" s="2092" t="s">
        <v>2019</v>
      </c>
      <c r="C56" s="1162" t="s">
        <v>2876</v>
      </c>
    </row>
    <row r="57" spans="1:4">
      <c r="A57" s="3412"/>
      <c r="B57" s="2092" t="s">
        <v>2020</v>
      </c>
      <c r="C57" s="1162" t="s">
        <v>2867</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3" sqref="J23"/>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4" customWidth="1"/>
    <col min="12" max="13" width="10" style="2005"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2" t="s">
        <v>2124</v>
      </c>
      <c r="B1" s="3413" t="str">
        <f>IF(B10="北京市","北京市",C10)&amp;F10&amp;IF('结果表（商业）'!G1="在建","出让国有建设用地使用权及在建建筑物",IF('结果表（商业）'!G1="土地","出让国有建设用地使用权",))&amp;B9&amp;"预评估"</f>
        <v>北京市丰台区汽车博物馆西路8号院1、2、3号楼房地产抵押价值预评估</v>
      </c>
      <c r="C1" s="3414"/>
      <c r="D1" s="3414"/>
      <c r="E1" s="3414"/>
      <c r="F1" s="3414"/>
      <c r="G1" s="3414"/>
      <c r="H1" s="3414"/>
      <c r="I1" s="3415"/>
      <c r="J1" s="1994"/>
      <c r="K1" s="2099"/>
      <c r="L1" s="1995"/>
      <c r="M1" s="1995"/>
      <c r="N1" s="1197"/>
      <c r="O1" s="11"/>
      <c r="P1" s="1197"/>
      <c r="Q1" s="1197"/>
      <c r="R1" s="1197"/>
      <c r="S1" s="1196" t="str">
        <f>IF(B10="北京市","北京市",C10)&amp;F10&amp;IF('结果表（商业）'!G1="在建","出让国有建设用地使用权及在建建筑物房地产抵押价值",IF('结果表（商业）'!G1="土地","出让国有建设用地使用权抵押价值",B9))</f>
        <v>北京市丰台区汽车博物馆西路8号院1、2、3号楼房地产抵押价值</v>
      </c>
    </row>
    <row r="2" spans="1:19" ht="18" customHeight="1">
      <c r="A2" s="1994" t="s">
        <v>2125</v>
      </c>
      <c r="B2" s="1941"/>
      <c r="C2" s="1996"/>
      <c r="D2" s="1994"/>
      <c r="E2" s="1997"/>
      <c r="F2" s="1997"/>
      <c r="G2" s="1994"/>
      <c r="H2" s="1994"/>
      <c r="I2" s="1994"/>
      <c r="J2" s="1994"/>
      <c r="K2" s="2099"/>
      <c r="L2" s="1995"/>
      <c r="M2" s="1995"/>
      <c r="N2" s="1197"/>
      <c r="O2" s="11"/>
      <c r="P2" s="1197"/>
      <c r="Q2" s="1197"/>
      <c r="R2" s="1197"/>
      <c r="S2" s="1196" t="str">
        <f>IF(B10="北京市","北京市",C10)&amp;F10&amp;IF('结果表（商业）'!G1="在建","出让国有建设用地使用权及在建建筑物房地产",IF('结果表（商业）'!G1="土地","出让国有建设用地使用权","房地产"))</f>
        <v>北京市丰台区汽车博物馆西路8号院1、2、3号楼房地产</v>
      </c>
    </row>
    <row r="3" spans="1:19" ht="18" customHeight="1">
      <c r="A3" s="1939" t="s">
        <v>2001</v>
      </c>
      <c r="B3" s="3235">
        <v>42956</v>
      </c>
      <c r="C3" s="1922" t="s">
        <v>2002</v>
      </c>
      <c r="D3" s="3235">
        <f>B3</f>
        <v>42956</v>
      </c>
      <c r="E3" s="1994"/>
      <c r="F3" s="1994"/>
      <c r="G3" s="1994"/>
      <c r="H3" s="1994"/>
      <c r="I3" s="1994"/>
      <c r="J3" s="1994"/>
      <c r="K3" s="2099"/>
      <c r="L3" s="1995"/>
      <c r="M3" s="1995"/>
      <c r="N3" s="1197"/>
      <c r="O3" s="11"/>
      <c r="P3" s="1197"/>
      <c r="Q3" s="1197"/>
      <c r="R3" s="1197"/>
      <c r="S3" s="1196"/>
    </row>
    <row r="4" spans="1:19" ht="18" customHeight="1" thickBot="1">
      <c r="A4" s="1923" t="s">
        <v>2003</v>
      </c>
      <c r="B4" s="1924" t="s">
        <v>3577</v>
      </c>
      <c r="C4" s="1925">
        <f ca="1">SUMIF(注册房地产估价师,B4,估价师及机构信息!B3:B24)</f>
        <v>1120140022</v>
      </c>
      <c r="D4" s="1924" t="s">
        <v>3578</v>
      </c>
      <c r="E4" s="1926">
        <f ca="1">SUMIF(注册房地产估价师,D4,估价师及机构信息!B3:B24)</f>
        <v>1419970001</v>
      </c>
      <c r="F4" s="1924" t="s">
        <v>526</v>
      </c>
      <c r="G4" s="1953">
        <f>SUMIF(注册房地产估价师,F4,估价师及机构信息!B3:B24)</f>
        <v>0</v>
      </c>
      <c r="H4" s="1924" t="s">
        <v>526</v>
      </c>
      <c r="I4" s="2887">
        <f>SUMIF(注册房地产估价师,H4,估价师及机构信息!B3:B24)</f>
        <v>0</v>
      </c>
      <c r="J4" s="1999"/>
      <c r="K4" s="2100" t="str">
        <f ca="1">CONCATENATE(B4,"（注册号：",C4,")、",D4,"（注册号：",E4,")")</f>
        <v>刘梅（注册号：1120140022)、吴薇（注册号：1419970001)</v>
      </c>
      <c r="L4" s="1995"/>
      <c r="M4" s="1995"/>
      <c r="N4" s="1197"/>
      <c r="O4" s="11"/>
      <c r="P4" s="1197"/>
      <c r="Q4" s="1197"/>
      <c r="R4" s="1197"/>
      <c r="S4" s="1196"/>
    </row>
    <row r="5" spans="1:19" ht="18" customHeight="1" thickTop="1">
      <c r="A5" s="1927" t="s">
        <v>2089</v>
      </c>
      <c r="B5" s="3356" t="s">
        <v>3084</v>
      </c>
      <c r="C5" s="2037"/>
      <c r="D5" s="2000"/>
      <c r="E5" s="1999"/>
      <c r="F5" s="1999"/>
      <c r="G5" s="1999"/>
      <c r="H5" s="1999"/>
      <c r="I5" s="1999"/>
      <c r="J5" s="1999"/>
      <c r="K5" s="2100" t="str">
        <f>IF(F4="——","",IF(H4="——",F4&amp;"（注册号："&amp;G4&amp;")",CONCATENATE(F4,"（注册号：",G4,")、",H4,"（注册号：",I4,")")))</f>
        <v/>
      </c>
      <c r="L5" s="1995"/>
      <c r="M5" s="1995"/>
      <c r="N5" s="1197"/>
      <c r="O5" s="11"/>
      <c r="P5" s="1197"/>
      <c r="Q5" s="1197"/>
      <c r="R5" s="1197"/>
    </row>
    <row r="6" spans="1:19" ht="18" customHeight="1" thickBot="1">
      <c r="A6" s="1928" t="s">
        <v>2090</v>
      </c>
      <c r="B6" s="2038" t="s">
        <v>3579</v>
      </c>
      <c r="C6" s="2039"/>
      <c r="D6" s="2001"/>
      <c r="E6" s="1997"/>
      <c r="F6" s="1999"/>
      <c r="G6" s="1999"/>
      <c r="H6" s="1999"/>
      <c r="I6" s="1999"/>
      <c r="J6" s="1999"/>
      <c r="K6" s="2105" t="str">
        <f>IF(COUNTIF(B6,"*上海银行*"),"上海银行","")</f>
        <v/>
      </c>
      <c r="L6" s="1995"/>
      <c r="M6" s="1995"/>
      <c r="N6" s="1197"/>
      <c r="O6" s="11"/>
      <c r="P6" s="1197"/>
      <c r="Q6" s="1197"/>
      <c r="R6" s="1197"/>
    </row>
    <row r="7" spans="1:19" ht="18" customHeight="1" thickTop="1">
      <c r="A7" s="1928" t="s">
        <v>2871</v>
      </c>
      <c r="B7" s="3356" t="s">
        <v>3084</v>
      </c>
      <c r="C7" s="2039"/>
      <c r="D7" s="2001"/>
      <c r="E7" s="1997"/>
      <c r="F7" s="1999"/>
      <c r="G7" s="1999"/>
      <c r="H7" s="1999"/>
      <c r="I7" s="1999"/>
      <c r="J7" s="1999"/>
      <c r="K7" s="2101"/>
      <c r="L7" s="1995"/>
      <c r="M7" s="1995"/>
      <c r="N7" s="1197"/>
      <c r="O7" s="11"/>
      <c r="P7" s="1197"/>
      <c r="Q7" s="1197"/>
      <c r="R7" s="1197"/>
    </row>
    <row r="8" spans="1:19" ht="18" customHeight="1">
      <c r="A8" s="1928" t="s">
        <v>1949</v>
      </c>
      <c r="B8" s="2033" t="s">
        <v>3085</v>
      </c>
      <c r="C8" s="2002"/>
      <c r="D8" s="3416" t="s">
        <v>2010</v>
      </c>
      <c r="E8" s="2034" t="s">
        <v>3086</v>
      </c>
      <c r="F8" s="2035"/>
      <c r="G8" s="1994"/>
      <c r="H8" s="1994"/>
      <c r="I8" s="1994"/>
      <c r="J8" s="1999"/>
      <c r="K8" s="2100"/>
      <c r="L8" s="1995"/>
      <c r="M8" s="1995"/>
      <c r="N8" s="1197"/>
      <c r="O8" s="11"/>
      <c r="P8" s="1197"/>
      <c r="Q8" s="1197"/>
      <c r="R8" s="1197"/>
    </row>
    <row r="9" spans="1:19" ht="18" customHeight="1" thickBot="1">
      <c r="A9" s="1953" t="s">
        <v>1950</v>
      </c>
      <c r="B9" s="1954" t="s">
        <v>3086</v>
      </c>
      <c r="C9" s="2003"/>
      <c r="D9" s="3417"/>
      <c r="E9" s="1954"/>
      <c r="F9" s="2890"/>
      <c r="G9" s="1998"/>
      <c r="H9" s="1998"/>
      <c r="I9" s="1998"/>
      <c r="J9" s="1999"/>
      <c r="K9" s="2101"/>
      <c r="L9" s="1995"/>
      <c r="M9" s="1995"/>
      <c r="N9" s="1197"/>
      <c r="O9" s="11"/>
      <c r="P9" s="1197"/>
      <c r="Q9" s="1197"/>
      <c r="R9" s="1197"/>
    </row>
    <row r="10" spans="1:19" ht="18" customHeight="1" thickTop="1" thickBot="1">
      <c r="A10" s="2008" t="s">
        <v>2061</v>
      </c>
      <c r="B10" s="2053" t="s">
        <v>3087</v>
      </c>
      <c r="C10" s="2036"/>
      <c r="D10" s="2000"/>
      <c r="E10" s="1938" t="s">
        <v>1951</v>
      </c>
      <c r="F10" s="1951" t="s">
        <v>3088</v>
      </c>
      <c r="G10" s="2888"/>
      <c r="H10" s="2889"/>
      <c r="I10" s="2000"/>
      <c r="J10" s="1999"/>
      <c r="K10" s="2101"/>
      <c r="L10" s="1995"/>
      <c r="M10" s="1995"/>
      <c r="N10" s="1197"/>
      <c r="O10" s="11"/>
      <c r="P10" s="1197"/>
      <c r="Q10" s="1197"/>
      <c r="R10" s="1197"/>
    </row>
    <row r="11" spans="1:19" ht="18" customHeight="1" thickTop="1">
      <c r="A11" s="1957" t="s">
        <v>2062</v>
      </c>
      <c r="B11" s="2052" t="s">
        <v>3089</v>
      </c>
      <c r="C11" s="3356" t="s">
        <v>3084</v>
      </c>
      <c r="D11" s="2004"/>
      <c r="E11" s="1999"/>
      <c r="F11" s="1999"/>
      <c r="G11" s="1999"/>
      <c r="H11" s="1999"/>
      <c r="I11" s="1999"/>
      <c r="J11" s="1999"/>
      <c r="K11" s="2101"/>
      <c r="L11" s="1995"/>
      <c r="M11" s="1995"/>
      <c r="N11" s="1197"/>
      <c r="O11" s="11"/>
      <c r="P11" s="1197"/>
      <c r="Q11" s="1197"/>
      <c r="R11" s="1197"/>
    </row>
    <row r="12" spans="1:19" ht="18" customHeight="1">
      <c r="A12" s="2051" t="s">
        <v>2088</v>
      </c>
      <c r="B12" s="2052" t="s">
        <v>2021</v>
      </c>
      <c r="C12" s="2011" t="s">
        <v>2092</v>
      </c>
      <c r="D12" s="2023" t="s">
        <v>1943</v>
      </c>
      <c r="E12" s="2023" t="s">
        <v>2706</v>
      </c>
      <c r="F12" s="2023" t="s">
        <v>2707</v>
      </c>
      <c r="G12" s="2023" t="s">
        <v>2708</v>
      </c>
      <c r="H12" s="2023" t="s">
        <v>2709</v>
      </c>
      <c r="I12" s="2023" t="s">
        <v>2710</v>
      </c>
      <c r="J12" s="1999"/>
      <c r="K12" s="2101"/>
      <c r="L12" s="1995"/>
      <c r="M12" s="1995"/>
      <c r="N12" s="1197"/>
      <c r="O12" s="11"/>
      <c r="P12" s="1197"/>
      <c r="Q12" s="1197"/>
      <c r="R12" s="1197"/>
    </row>
    <row r="13" spans="1:19" ht="18" customHeight="1">
      <c r="A13" s="2007"/>
      <c r="B13" s="2081"/>
      <c r="C13" s="2082" t="s">
        <v>2091</v>
      </c>
      <c r="D13" s="3234"/>
      <c r="E13" s="3234">
        <v>55369</v>
      </c>
      <c r="F13" s="3234">
        <v>59022</v>
      </c>
      <c r="G13" s="3234"/>
      <c r="H13" s="3234"/>
      <c r="I13" s="2047"/>
      <c r="J13" s="1999"/>
      <c r="K13" s="2101"/>
      <c r="L13" s="1995"/>
      <c r="M13" s="1995"/>
      <c r="N13" s="1197"/>
      <c r="O13" s="11"/>
      <c r="P13" s="1197"/>
      <c r="Q13" s="1197"/>
      <c r="R13" s="1197"/>
    </row>
    <row r="14" spans="1:19" ht="18" customHeight="1">
      <c r="A14" s="2007"/>
      <c r="B14" s="2081"/>
      <c r="C14" s="2082" t="s">
        <v>2093</v>
      </c>
      <c r="D14" s="2050"/>
      <c r="E14" s="2050">
        <v>40</v>
      </c>
      <c r="F14" s="2050">
        <v>50</v>
      </c>
      <c r="G14" s="2050"/>
      <c r="H14" s="2050"/>
      <c r="I14" s="2050"/>
      <c r="J14" s="1999"/>
      <c r="K14" s="2102"/>
      <c r="L14" s="1995"/>
      <c r="M14" s="1995"/>
      <c r="N14" s="1197"/>
      <c r="O14" s="11"/>
      <c r="P14" s="1197"/>
      <c r="Q14" s="1197"/>
      <c r="R14" s="1197"/>
    </row>
    <row r="15" spans="1:19" ht="18" customHeight="1">
      <c r="A15" s="2008"/>
      <c r="B15" s="2083"/>
      <c r="C15" s="2082" t="s">
        <v>2094</v>
      </c>
      <c r="D15" s="2049" t="str">
        <f>IF(B12="出让",IF(D13="","",ROUNDDOWN(MIN((D13-$D$3)/365,D14),2)),D14)</f>
        <v/>
      </c>
      <c r="E15" s="2049">
        <f>IF(B12="出让",IF(E13="","",ROUNDDOWN(MIN((E13-$D$3)/365,E14),2)),E14)</f>
        <v>34</v>
      </c>
      <c r="F15" s="2049">
        <f>IF(B12="出让",IF(F13="","",ROUNDDOWN(MIN((F13-$D$3)/365,F14),2)),F14)</f>
        <v>44.01</v>
      </c>
      <c r="G15" s="2049" t="str">
        <f>IF(B12="出让",IF(G13="","",ROUNDDOWN(MIN((G13-$D$3)/365,G14),2)),G14)</f>
        <v/>
      </c>
      <c r="H15" s="2049" t="str">
        <f>IF(B12="出让",IF(H13="","",ROUNDDOWN(MIN((H13-$D$3)/365,H14),2)),H14)</f>
        <v/>
      </c>
      <c r="I15" s="2049" t="str">
        <f>IF(B12="出让",IF(I13="","",ROUNDDOWN(MIN((I13-$D$3)/365,I14),2)),I14)</f>
        <v/>
      </c>
      <c r="J15" s="1999"/>
      <c r="K15" s="2103"/>
      <c r="L15" s="1231"/>
      <c r="M15" s="1231"/>
      <c r="N15" s="2019"/>
      <c r="O15" s="1231"/>
      <c r="P15" s="2019"/>
      <c r="Q15" s="1197"/>
      <c r="R15" s="1197"/>
    </row>
    <row r="16" spans="1:19" ht="30.75" customHeight="1">
      <c r="A16" s="1938" t="s">
        <v>2095</v>
      </c>
      <c r="B16" s="3423" t="s">
        <v>3090</v>
      </c>
      <c r="C16" s="3424"/>
      <c r="D16" s="3425"/>
      <c r="E16" s="1955" t="s">
        <v>2022</v>
      </c>
      <c r="F16" s="3426" t="s">
        <v>3091</v>
      </c>
      <c r="G16" s="3427"/>
      <c r="H16" s="3427"/>
      <c r="I16" s="3428"/>
      <c r="J16" s="1197"/>
      <c r="K16" s="2103"/>
      <c r="L16" s="1231"/>
      <c r="M16" s="1231"/>
      <c r="N16" s="2019"/>
      <c r="O16" s="1231"/>
      <c r="P16" s="2019"/>
      <c r="Q16" s="1197"/>
      <c r="R16" s="1197"/>
    </row>
    <row r="17" spans="1:22" ht="18" customHeight="1">
      <c r="A17" s="2006" t="s">
        <v>1952</v>
      </c>
      <c r="B17" s="1939" t="s">
        <v>1953</v>
      </c>
      <c r="C17" s="2084">
        <f>'数据-汇总表'!E3</f>
        <v>66965.320000000065</v>
      </c>
      <c r="D17" s="1940" t="s">
        <v>1954</v>
      </c>
      <c r="E17" s="3429" t="s">
        <v>3092</v>
      </c>
      <c r="F17" s="3430"/>
      <c r="G17" s="3430"/>
      <c r="H17" s="3430"/>
      <c r="I17" s="3431"/>
      <c r="J17" s="1197"/>
      <c r="K17" s="2694"/>
      <c r="L17" s="1231"/>
      <c r="M17" s="1231"/>
      <c r="N17" s="2019"/>
      <c r="O17" s="1231"/>
      <c r="P17" s="2019"/>
      <c r="Q17" s="1197"/>
      <c r="R17" s="1197"/>
      <c r="S17" s="1197"/>
      <c r="T17" s="1197"/>
      <c r="U17" s="1197"/>
      <c r="V17" s="1197"/>
    </row>
    <row r="18" spans="1:22" ht="36" customHeight="1" thickBot="1">
      <c r="A18" s="2896" t="s">
        <v>2702</v>
      </c>
      <c r="B18" s="1923" t="s">
        <v>1955</v>
      </c>
      <c r="C18" s="2897">
        <f>'数据-汇总表'!D3</f>
        <v>15994.67</v>
      </c>
      <c r="D18" s="2898" t="s">
        <v>1954</v>
      </c>
      <c r="E18" s="3432" t="s">
        <v>3587</v>
      </c>
      <c r="F18" s="3433"/>
      <c r="G18" s="3433"/>
      <c r="H18" s="3433"/>
      <c r="I18" s="3434"/>
      <c r="J18" s="1197"/>
      <c r="K18" s="2694"/>
      <c r="L18" s="1231"/>
      <c r="M18" s="1231"/>
      <c r="N18" s="2019"/>
      <c r="O18" s="1231"/>
      <c r="P18" s="2019"/>
      <c r="Q18" s="1197"/>
      <c r="R18" s="1197"/>
      <c r="S18" s="1197"/>
      <c r="T18" s="1197"/>
      <c r="U18" s="1197"/>
      <c r="V18" s="1197"/>
    </row>
    <row r="19" spans="1:22" ht="37.5" customHeight="1" thickTop="1" thickBot="1">
      <c r="A19" s="2895" t="s">
        <v>2041</v>
      </c>
      <c r="B19" s="2058" t="s">
        <v>2042</v>
      </c>
      <c r="C19" s="2059" t="s">
        <v>41</v>
      </c>
      <c r="D19" s="2041" t="s">
        <v>2045</v>
      </c>
      <c r="E19" s="2040"/>
      <c r="F19" s="2042" t="str">
        <f>IF(AND(C19="是",E19="否"),"是否提供他项权证或相关说明","")</f>
        <v/>
      </c>
      <c r="G19" s="2043"/>
      <c r="H19" s="1999"/>
      <c r="I19" s="1999"/>
      <c r="J19" s="1999"/>
      <c r="K19" s="2101"/>
      <c r="L19" s="1995"/>
      <c r="M19" s="1995"/>
      <c r="N19" s="2019"/>
      <c r="O19" s="1231"/>
      <c r="P19" s="2019"/>
      <c r="Q19" s="1197"/>
      <c r="R19" s="1197"/>
      <c r="S19" s="1197"/>
      <c r="T19" s="1197"/>
      <c r="U19" s="1197"/>
      <c r="V19" s="1197"/>
    </row>
    <row r="20" spans="1:22" ht="18" customHeight="1">
      <c r="A20" s="2060" t="s">
        <v>2046</v>
      </c>
      <c r="B20" s="3419" t="s">
        <v>2047</v>
      </c>
      <c r="C20" s="3420"/>
      <c r="D20" s="3421" t="s">
        <v>2048</v>
      </c>
      <c r="E20" s="3422"/>
      <c r="F20" s="2066" t="s">
        <v>2049</v>
      </c>
      <c r="G20" s="1999"/>
      <c r="H20" s="1999"/>
      <c r="I20" s="1999"/>
      <c r="J20" s="1999"/>
      <c r="K20" s="3418" t="s">
        <v>2044</v>
      </c>
      <c r="L20" s="260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5"/>
      <c r="N20" s="2019"/>
      <c r="O20" s="1231"/>
      <c r="P20" s="2019"/>
      <c r="Q20" s="1197"/>
      <c r="R20" s="1197"/>
      <c r="S20" s="1197"/>
      <c r="T20" s="1197"/>
      <c r="U20" s="1197"/>
      <c r="V20" s="1197"/>
    </row>
    <row r="21" spans="1:22" ht="24.75" customHeight="1">
      <c r="A21" s="2060"/>
      <c r="B21" s="2061" t="s">
        <v>2050</v>
      </c>
      <c r="C21" s="2031" t="s">
        <v>2053</v>
      </c>
      <c r="D21" s="1988" t="s">
        <v>2054</v>
      </c>
      <c r="E21" s="2032" t="s">
        <v>2051</v>
      </c>
      <c r="F21" s="1977"/>
      <c r="G21" s="1999"/>
      <c r="H21" s="1999"/>
      <c r="I21" s="1999"/>
      <c r="J21" s="1999"/>
      <c r="K21" s="3418"/>
      <c r="L21" s="26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5"/>
      <c r="N21" s="2019"/>
      <c r="O21" s="1231"/>
      <c r="P21" s="2019"/>
      <c r="Q21" s="1197"/>
      <c r="R21" s="1197"/>
      <c r="S21" s="1197"/>
      <c r="T21" s="1197"/>
      <c r="U21" s="1197"/>
      <c r="V21" s="1197"/>
    </row>
    <row r="22" spans="1:22" ht="24.75" customHeight="1" thickBot="1">
      <c r="A22" s="2060"/>
      <c r="B22" s="2062" t="s">
        <v>2052</v>
      </c>
      <c r="C22" s="2031" t="s">
        <v>2053</v>
      </c>
      <c r="D22" s="1994"/>
      <c r="E22" s="1994"/>
      <c r="F22" s="2067"/>
      <c r="G22" s="1999"/>
      <c r="H22" s="1999"/>
      <c r="I22" s="1999"/>
      <c r="J22" s="1999"/>
      <c r="K22" s="3418"/>
      <c r="L22" s="2608"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31"/>
      <c r="P22" s="2019"/>
      <c r="Q22" s="1197"/>
      <c r="R22" s="1197"/>
      <c r="S22" s="1197"/>
      <c r="T22" s="1197"/>
      <c r="U22" s="1197"/>
      <c r="V22" s="1197"/>
    </row>
    <row r="23" spans="1:22" ht="18" customHeight="1">
      <c r="A23" s="1976" t="s">
        <v>2055</v>
      </c>
      <c r="B23" s="2063" t="s">
        <v>2056</v>
      </c>
      <c r="C23" s="2064"/>
      <c r="D23" s="1978" t="s">
        <v>2056</v>
      </c>
      <c r="E23" s="1986"/>
      <c r="F23" s="2067"/>
      <c r="G23" s="1999"/>
      <c r="H23" s="1999"/>
      <c r="I23" s="1999"/>
      <c r="J23" s="1999"/>
      <c r="K23" s="226"/>
      <c r="L23" s="2608"/>
      <c r="M23" s="1995"/>
      <c r="N23" s="2019"/>
      <c r="O23" s="1231"/>
      <c r="P23" s="2019"/>
      <c r="Q23" s="1197"/>
      <c r="R23" s="1197"/>
      <c r="S23" s="1197"/>
      <c r="T23" s="1197"/>
      <c r="U23" s="1197"/>
      <c r="V23" s="1197"/>
    </row>
    <row r="24" spans="1:22" ht="18" customHeight="1">
      <c r="A24" s="1979"/>
      <c r="B24" s="2063" t="s">
        <v>2057</v>
      </c>
      <c r="C24" s="2065"/>
      <c r="D24" s="1976" t="s">
        <v>2057</v>
      </c>
      <c r="E24" s="1987"/>
      <c r="F24" s="2067"/>
      <c r="G24" s="1999"/>
      <c r="H24" s="1999"/>
      <c r="I24" s="1999"/>
      <c r="J24" s="1999"/>
      <c r="K24" s="226"/>
      <c r="L24" s="2608"/>
      <c r="M24" s="1995"/>
      <c r="N24" s="2019"/>
      <c r="O24" s="1231"/>
      <c r="P24" s="2019"/>
      <c r="Q24" s="1197"/>
      <c r="R24" s="1197"/>
      <c r="S24" s="1197"/>
      <c r="T24" s="1197"/>
      <c r="U24" s="1197"/>
      <c r="V24" s="1197"/>
    </row>
    <row r="25" spans="1:22" ht="18" customHeight="1">
      <c r="A25" s="1979"/>
      <c r="B25" s="2063" t="s">
        <v>2058</v>
      </c>
      <c r="C25" s="2065"/>
      <c r="D25" s="1976" t="s">
        <v>2058</v>
      </c>
      <c r="E25" s="1987"/>
      <c r="F25" s="2067"/>
      <c r="G25" s="1999"/>
      <c r="H25" s="1999"/>
      <c r="I25" s="1999"/>
      <c r="J25" s="1999"/>
      <c r="K25" s="2101"/>
      <c r="L25" s="1995"/>
      <c r="M25" s="1995"/>
      <c r="N25" s="2019"/>
      <c r="O25" s="1231"/>
      <c r="P25" s="2019"/>
      <c r="Q25" s="1197"/>
      <c r="R25" s="1197"/>
      <c r="S25" s="1197"/>
      <c r="T25" s="1197"/>
      <c r="U25" s="1197"/>
      <c r="V25" s="1197"/>
    </row>
    <row r="26" spans="1:22" ht="18" customHeight="1" thickBot="1">
      <c r="A26" s="2055"/>
      <c r="B26" s="2068" t="s">
        <v>2059</v>
      </c>
      <c r="C26" s="2069"/>
      <c r="D26" s="2057" t="s">
        <v>2059</v>
      </c>
      <c r="E26" s="2056"/>
      <c r="F26" s="2070"/>
      <c r="G26" s="1998"/>
      <c r="H26" s="1998"/>
      <c r="I26" s="1998"/>
      <c r="J26" s="1999"/>
      <c r="K26" s="2101"/>
      <c r="L26" s="1995"/>
      <c r="M26" s="1995"/>
      <c r="N26" s="2019"/>
      <c r="O26" s="1231"/>
      <c r="P26" s="2019"/>
      <c r="Q26" s="1197"/>
      <c r="R26" s="1197"/>
      <c r="S26" s="1197"/>
      <c r="T26" s="1197"/>
      <c r="U26" s="1197"/>
      <c r="V26" s="1197"/>
    </row>
    <row r="27" spans="1:22" ht="18" customHeight="1" thickTop="1">
      <c r="A27" s="3436" t="s">
        <v>2063</v>
      </c>
      <c r="B27" s="2008" t="s">
        <v>2064</v>
      </c>
      <c r="C27" s="1929" t="s">
        <v>3580</v>
      </c>
      <c r="D27" s="1930"/>
      <c r="E27" s="1999"/>
      <c r="F27" s="1999"/>
      <c r="G27" s="1999"/>
      <c r="H27" s="1999"/>
      <c r="I27" s="1999"/>
      <c r="J27" s="1197"/>
      <c r="K27" s="2103"/>
      <c r="L27" s="1231"/>
      <c r="M27" s="1231"/>
      <c r="N27" s="2019"/>
      <c r="O27" s="1231"/>
      <c r="P27" s="2019"/>
      <c r="Q27" s="1197"/>
      <c r="R27" s="1197"/>
      <c r="S27" s="1197"/>
      <c r="T27" s="1197"/>
      <c r="U27" s="1197"/>
      <c r="V27" s="1197"/>
    </row>
    <row r="28" spans="1:22" ht="18" customHeight="1">
      <c r="A28" s="3436"/>
      <c r="B28" s="1939" t="s">
        <v>2065</v>
      </c>
      <c r="C28" s="1931"/>
      <c r="D28" s="1932"/>
      <c r="E28" s="1999"/>
      <c r="F28" s="1999"/>
      <c r="G28" s="1999"/>
      <c r="H28" s="1999"/>
      <c r="I28" s="1999"/>
      <c r="J28" s="1197"/>
      <c r="K28" s="2107"/>
      <c r="L28" s="1995"/>
      <c r="M28" s="1995"/>
      <c r="N28" s="1197"/>
      <c r="O28" s="11"/>
      <c r="P28" s="1197"/>
      <c r="Q28" s="1197"/>
      <c r="R28" s="1197"/>
      <c r="S28" s="1197"/>
      <c r="T28" s="1197"/>
      <c r="U28" s="1197"/>
      <c r="V28" s="1197"/>
    </row>
    <row r="29" spans="1:22" ht="18" customHeight="1">
      <c r="A29" s="3436"/>
      <c r="B29" s="1939" t="s">
        <v>2066</v>
      </c>
      <c r="C29" s="1933"/>
      <c r="D29" s="1934"/>
      <c r="E29" s="1999"/>
      <c r="F29" s="1999"/>
      <c r="G29" s="1999"/>
      <c r="H29" s="1999"/>
      <c r="I29" s="1999"/>
      <c r="J29" s="1197"/>
      <c r="K29" s="2107"/>
      <c r="L29" s="1995"/>
      <c r="M29" s="1995"/>
      <c r="N29" s="1197"/>
      <c r="O29" s="11"/>
      <c r="P29" s="1197"/>
      <c r="Q29" s="1197"/>
      <c r="R29" s="1197"/>
      <c r="S29" s="1197"/>
      <c r="T29" s="1197"/>
      <c r="U29" s="1197"/>
      <c r="V29" s="1197"/>
    </row>
    <row r="30" spans="1:22" ht="18" customHeight="1">
      <c r="A30" s="3437"/>
      <c r="B30" s="1939" t="s">
        <v>2067</v>
      </c>
      <c r="C30" s="3438"/>
      <c r="D30" s="3439"/>
      <c r="E30" s="1999"/>
      <c r="F30" s="1999"/>
      <c r="G30" s="1999"/>
      <c r="H30" s="1999"/>
      <c r="I30" s="1999"/>
      <c r="J30" s="1197"/>
      <c r="K30" s="2107"/>
      <c r="L30" s="1995"/>
      <c r="M30" s="1995"/>
      <c r="N30" s="1197"/>
      <c r="O30" s="11"/>
      <c r="P30" s="1197"/>
      <c r="Q30" s="1197"/>
      <c r="R30" s="1197"/>
      <c r="S30" s="1197"/>
      <c r="T30" s="1197"/>
      <c r="U30" s="1197"/>
      <c r="V30" s="1197"/>
    </row>
    <row r="31" spans="1:22" ht="18" customHeight="1">
      <c r="A31" s="3440" t="s">
        <v>2068</v>
      </c>
      <c r="B31" s="1935" t="s">
        <v>3554</v>
      </c>
      <c r="C31" s="1936" t="str">
        <f>IF(B31="现房","成新及维护状况正常否",IF(B31="在建","工程状态是否正常",IF(B31="土地","是否闲置","-")))</f>
        <v>成新及维护状况正常否</v>
      </c>
      <c r="D31" s="2009"/>
      <c r="E31" s="1937"/>
      <c r="F31" s="1999"/>
      <c r="G31" s="1999"/>
      <c r="H31" s="1999"/>
      <c r="I31" s="1999"/>
      <c r="J31" s="1999"/>
      <c r="K31" s="2105"/>
      <c r="L31" s="1995"/>
      <c r="M31" s="1995"/>
      <c r="N31" s="1197"/>
      <c r="O31" s="11"/>
      <c r="P31" s="1197"/>
      <c r="Q31" s="1197"/>
      <c r="R31" s="1197"/>
      <c r="S31" s="1197"/>
      <c r="T31" s="1197"/>
      <c r="U31" s="1197"/>
      <c r="V31" s="1197"/>
    </row>
    <row r="32" spans="1:22" ht="18" customHeight="1">
      <c r="A32" s="3441"/>
      <c r="B32" s="1935"/>
      <c r="C32" s="1936" t="str">
        <f>IF(B32="现房","成新及维护状况是否正常",IF(B32="在建","工程状态是否正常",IF(B32="土地","是否闲置","-")))</f>
        <v>-</v>
      </c>
      <c r="D32" s="2009"/>
      <c r="E32" s="1937"/>
      <c r="F32" s="1999"/>
      <c r="G32" s="1999"/>
      <c r="H32" s="1999"/>
      <c r="I32" s="1999"/>
      <c r="J32" s="1999"/>
      <c r="K32" s="2101"/>
      <c r="L32" s="1995"/>
      <c r="M32" s="1995"/>
      <c r="N32" s="1197"/>
      <c r="O32" s="11"/>
      <c r="P32" s="1197"/>
      <c r="Q32" s="1197"/>
      <c r="R32" s="1197"/>
      <c r="S32" s="1197"/>
      <c r="T32" s="1197"/>
      <c r="U32" s="1197"/>
      <c r="V32" s="1197"/>
    </row>
    <row r="33" spans="1:22" ht="18" customHeight="1">
      <c r="A33" s="3441"/>
      <c r="B33" s="1956"/>
      <c r="C33" s="1957" t="str">
        <f>IF(B33="现房","成新及维护状况是否正常",IF(B33="在建","工程状态是否正常",IF(B33="土地","是否闲置","-")))</f>
        <v>-</v>
      </c>
      <c r="D33" s="2010"/>
      <c r="E33" s="1958"/>
      <c r="F33" s="1999"/>
      <c r="G33" s="1999"/>
      <c r="H33" s="1999"/>
      <c r="I33" s="1999"/>
      <c r="J33" s="1999"/>
      <c r="K33" s="2101"/>
      <c r="L33" s="1995"/>
      <c r="M33" s="1995"/>
      <c r="N33" s="1197"/>
      <c r="O33" s="11"/>
      <c r="P33" s="1197"/>
      <c r="Q33" s="1197"/>
      <c r="R33" s="1197"/>
      <c r="S33" s="1197"/>
      <c r="T33" s="1197"/>
      <c r="U33" s="1197"/>
      <c r="V33" s="1197"/>
    </row>
    <row r="34" spans="1:22" ht="18" customHeight="1">
      <c r="A34" s="1939" t="s">
        <v>2023</v>
      </c>
      <c r="B34" s="1959" t="s">
        <v>3581</v>
      </c>
      <c r="C34" s="1959" t="s">
        <v>3582</v>
      </c>
      <c r="D34" s="1959" t="s">
        <v>3583</v>
      </c>
      <c r="E34" s="1959" t="s">
        <v>3584</v>
      </c>
      <c r="F34" s="1959" t="s">
        <v>3585</v>
      </c>
      <c r="G34" s="1959" t="s">
        <v>3586</v>
      </c>
      <c r="H34" s="1959" t="s">
        <v>526</v>
      </c>
      <c r="I34" s="1999"/>
      <c r="J34" s="1999"/>
      <c r="K34" s="2885">
        <f>COUNTIF(B34:H34,"——")</f>
        <v>1</v>
      </c>
      <c r="L34" s="2011" t="s">
        <v>2097</v>
      </c>
      <c r="M34" s="2011" t="s">
        <v>2098</v>
      </c>
      <c r="N34" s="2011" t="s">
        <v>2099</v>
      </c>
      <c r="O34" s="2011" t="s">
        <v>2100</v>
      </c>
      <c r="P34" s="2011" t="s">
        <v>2101</v>
      </c>
      <c r="Q34" s="2011" t="s">
        <v>2102</v>
      </c>
      <c r="R34" s="2011" t="s">
        <v>2103</v>
      </c>
      <c r="S34" s="3435" t="s">
        <v>2104</v>
      </c>
      <c r="T34" s="2012" t="str">
        <f>NUMBERSTRING(7-K34,1)&amp;"通"</f>
        <v>六通</v>
      </c>
      <c r="U34" s="1197"/>
      <c r="V34" s="1197"/>
    </row>
    <row r="35" spans="1:22" ht="18" customHeight="1">
      <c r="A35" s="2013"/>
      <c r="B35" s="3442" t="s">
        <v>1868</v>
      </c>
      <c r="C35" s="3442"/>
      <c r="D35" s="3442"/>
      <c r="E35" s="3442"/>
      <c r="F35" s="2014">
        <f>C10</f>
        <v>0</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v>
      </c>
      <c r="S35" s="3435"/>
      <c r="T35" s="23" t="str">
        <f>IF(T34="一通",L35,IF(T34="二通",M35,IF(T34="三通",N35,IF(T34="四通",O35,IF(T34="五通",P35,IF(T34="六通",Q35,R35))))))</f>
        <v>通路、通电、通讯、通上水、通下水、燃气</v>
      </c>
      <c r="U35" s="1197"/>
      <c r="V35" s="1197"/>
    </row>
    <row r="36" spans="1:22" ht="18" customHeight="1">
      <c r="A36" s="2015"/>
      <c r="B36" s="2014" t="s">
        <v>1948</v>
      </c>
      <c r="C36" s="2014" t="s">
        <v>1944</v>
      </c>
      <c r="D36" s="2014" t="s">
        <v>1943</v>
      </c>
      <c r="E36" s="2014" t="s">
        <v>1945</v>
      </c>
      <c r="F36" s="2016"/>
      <c r="G36" s="1999"/>
      <c r="H36" s="1999"/>
      <c r="I36" s="1999"/>
      <c r="J36" s="1999"/>
      <c r="K36" s="2101"/>
      <c r="L36" s="1995"/>
      <c r="M36" s="1995"/>
      <c r="N36" s="1197"/>
      <c r="O36" s="11"/>
      <c r="P36" s="1197"/>
      <c r="Q36" s="1197"/>
      <c r="R36" s="1197"/>
      <c r="S36" s="1197"/>
      <c r="T36" s="1197"/>
      <c r="U36" s="1197"/>
      <c r="V36" s="1197"/>
    </row>
    <row r="37" spans="1:22" ht="18" customHeight="1">
      <c r="A37" s="2017" t="s">
        <v>1867</v>
      </c>
      <c r="B37" s="2018" t="s">
        <v>1531</v>
      </c>
      <c r="C37" s="2018" t="s">
        <v>1531</v>
      </c>
      <c r="D37" s="2018"/>
      <c r="E37" s="2018"/>
      <c r="F37" s="2016"/>
      <c r="G37" s="1999"/>
      <c r="H37" s="1999"/>
      <c r="I37" s="1999"/>
      <c r="J37" s="1999"/>
      <c r="K37" s="2101"/>
      <c r="L37" s="1995"/>
      <c r="M37" s="1995"/>
      <c r="N37" s="1197"/>
      <c r="O37" s="11"/>
      <c r="P37" s="1197"/>
      <c r="Q37" s="1197"/>
      <c r="R37" s="1197"/>
      <c r="S37" s="1197"/>
      <c r="T37" s="1197"/>
      <c r="U37" s="1197"/>
      <c r="V37" s="1197"/>
    </row>
    <row r="38" spans="1:22" ht="18" customHeight="1" thickBot="1">
      <c r="A38" s="2044" t="s">
        <v>1869</v>
      </c>
      <c r="B38" s="2045" t="s">
        <v>1354</v>
      </c>
      <c r="C38" s="2045" t="s">
        <v>1354</v>
      </c>
      <c r="D38" s="2045"/>
      <c r="E38" s="2045"/>
      <c r="F38" s="2046"/>
      <c r="G38" s="1998"/>
      <c r="H38" s="1998"/>
      <c r="I38" s="1998"/>
      <c r="J38" s="1999"/>
      <c r="K38" s="2101"/>
      <c r="L38" s="1995"/>
      <c r="M38" s="1995"/>
      <c r="N38" s="1197"/>
      <c r="O38" s="11"/>
      <c r="P38" s="1197"/>
      <c r="Q38" s="1197"/>
      <c r="R38" s="1197"/>
      <c r="S38" s="1197"/>
      <c r="T38" s="1197"/>
      <c r="U38" s="1197"/>
      <c r="V38" s="1197"/>
    </row>
    <row r="39" spans="1:22" s="3311" customFormat="1" ht="18" customHeight="1" thickTop="1" thickBot="1">
      <c r="A39" s="3312" t="s">
        <v>3033</v>
      </c>
      <c r="B39" s="3308"/>
      <c r="C39" s="3308"/>
      <c r="D39" s="3308"/>
      <c r="E39" s="3308"/>
      <c r="F39" s="3308"/>
      <c r="G39" s="3308"/>
      <c r="H39" s="3308"/>
      <c r="I39" s="3308"/>
      <c r="J39" s="3308"/>
      <c r="K39" s="3309"/>
      <c r="L39" s="3308"/>
      <c r="M39" s="3308"/>
      <c r="N39" s="3308"/>
      <c r="O39" s="3310"/>
      <c r="P39" s="3308"/>
      <c r="Q39" s="3308"/>
      <c r="R39" s="3308"/>
      <c r="S39" s="3308"/>
      <c r="T39" s="3308"/>
      <c r="U39" s="3308"/>
      <c r="V39" s="3308"/>
    </row>
    <row r="40" spans="1:22" ht="18" customHeight="1">
      <c r="A40" s="1197"/>
      <c r="B40" s="1197"/>
      <c r="C40" s="1197"/>
      <c r="D40" s="1197"/>
      <c r="E40" s="1197"/>
      <c r="F40" s="1197"/>
      <c r="G40" s="1197"/>
      <c r="H40" s="1197"/>
      <c r="I40" s="1218"/>
      <c r="J40" s="2019"/>
      <c r="K40" s="2106"/>
      <c r="L40" s="1231"/>
      <c r="M40" s="1231"/>
      <c r="N40" s="2019"/>
      <c r="O40" s="1231"/>
      <c r="P40" s="1197"/>
      <c r="Q40" s="1197"/>
      <c r="R40" s="1197"/>
      <c r="S40" s="1197"/>
      <c r="T40" s="1197"/>
      <c r="U40" s="1197"/>
      <c r="V40" s="1197"/>
    </row>
    <row r="41" spans="1:22" ht="18" customHeight="1">
      <c r="A41" s="2020" t="s">
        <v>2069</v>
      </c>
      <c r="B41" s="2021"/>
      <c r="C41" s="2022"/>
      <c r="D41" s="1197"/>
      <c r="E41" s="1197"/>
      <c r="F41" s="1197"/>
      <c r="G41" s="1197"/>
      <c r="H41" s="1197"/>
      <c r="I41" s="11"/>
      <c r="J41" s="1197"/>
      <c r="K41" s="2107"/>
      <c r="L41" s="1995"/>
      <c r="M41" s="1995"/>
      <c r="N41" s="1197"/>
      <c r="O41" s="11"/>
      <c r="P41" s="1197"/>
      <c r="Q41" s="1197"/>
      <c r="R41" s="1197"/>
      <c r="S41" s="1197"/>
      <c r="T41" s="1197"/>
      <c r="U41" s="1197"/>
      <c r="V41" s="1197"/>
    </row>
    <row r="42" spans="1:22" ht="18" customHeight="1">
      <c r="A42" s="2011" t="s">
        <v>2070</v>
      </c>
      <c r="B42" s="1985" t="s">
        <v>2071</v>
      </c>
      <c r="C42" s="1985" t="s">
        <v>2072</v>
      </c>
      <c r="D42" s="1985" t="s">
        <v>2073</v>
      </c>
      <c r="E42" s="1985" t="s">
        <v>2074</v>
      </c>
      <c r="F42" s="1985" t="s">
        <v>2075</v>
      </c>
      <c r="G42" s="1985" t="s">
        <v>2076</v>
      </c>
      <c r="H42" s="1985" t="s">
        <v>2077</v>
      </c>
      <c r="I42" s="1985" t="s">
        <v>2078</v>
      </c>
      <c r="J42" s="2097" t="s">
        <v>2079</v>
      </c>
      <c r="K42" s="2023" t="s">
        <v>2080</v>
      </c>
      <c r="L42" s="2023" t="s">
        <v>2081</v>
      </c>
      <c r="M42" s="2023" t="s">
        <v>2082</v>
      </c>
      <c r="N42" s="1985" t="s">
        <v>2083</v>
      </c>
      <c r="O42" s="1985" t="s">
        <v>2084</v>
      </c>
      <c r="P42" s="1985" t="s">
        <v>2085</v>
      </c>
      <c r="Q42" s="2011" t="s">
        <v>2086</v>
      </c>
      <c r="R42" s="2011" t="s">
        <v>2087</v>
      </c>
      <c r="S42" s="1197"/>
      <c r="T42" s="1197"/>
      <c r="U42" s="1197"/>
      <c r="V42" s="1197"/>
    </row>
    <row r="43" spans="1:22" s="2238" customFormat="1" ht="18" customHeight="1">
      <c r="A43" s="1417"/>
      <c r="B43" s="216"/>
      <c r="C43" s="216"/>
      <c r="D43" s="216"/>
      <c r="E43" s="216"/>
      <c r="F43" s="216"/>
      <c r="G43" s="216"/>
      <c r="H43" s="2"/>
      <c r="I43" s="2"/>
      <c r="J43" s="9"/>
      <c r="K43" s="4"/>
      <c r="L43" s="4"/>
      <c r="M43" s="2"/>
      <c r="N43" s="216"/>
      <c r="O43" s="2"/>
      <c r="P43" s="216"/>
      <c r="Q43" s="216"/>
      <c r="R43" s="216"/>
      <c r="S43" s="3244"/>
      <c r="T43" s="3244"/>
      <c r="U43" s="3244"/>
      <c r="V43" s="3244"/>
    </row>
    <row r="44" spans="1:22" s="2238" customFormat="1" ht="18" customHeight="1">
      <c r="A44" s="1417"/>
      <c r="B44" s="1417"/>
      <c r="C44" s="216"/>
      <c r="D44" s="216"/>
      <c r="E44" s="216"/>
      <c r="F44" s="216"/>
      <c r="G44" s="216"/>
      <c r="H44" s="2"/>
      <c r="I44" s="2"/>
      <c r="J44" s="9"/>
      <c r="K44" s="4"/>
      <c r="L44" s="4"/>
      <c r="M44" s="2"/>
      <c r="N44" s="216"/>
      <c r="O44" s="2"/>
      <c r="P44" s="216"/>
      <c r="Q44" s="216"/>
      <c r="R44" s="216"/>
      <c r="S44" s="3244"/>
      <c r="T44" s="3244"/>
      <c r="U44" s="3244"/>
      <c r="V44" s="3244"/>
    </row>
    <row r="45" spans="1:22" s="2238" customFormat="1" ht="18" customHeight="1">
      <c r="A45" s="1417"/>
      <c r="B45" s="1417"/>
      <c r="C45" s="216"/>
      <c r="D45" s="216"/>
      <c r="E45" s="216"/>
      <c r="F45" s="216"/>
      <c r="G45" s="216"/>
      <c r="H45" s="2"/>
      <c r="I45" s="2"/>
      <c r="J45" s="9"/>
      <c r="K45" s="4"/>
      <c r="L45" s="4"/>
      <c r="M45" s="2"/>
      <c r="N45" s="216"/>
      <c r="O45" s="2"/>
      <c r="P45" s="216"/>
      <c r="Q45" s="216"/>
      <c r="R45" s="216"/>
      <c r="S45" s="3244"/>
      <c r="T45" s="3244"/>
      <c r="U45" s="3244"/>
      <c r="V45" s="3244"/>
    </row>
    <row r="46" spans="1:22" s="2238" customFormat="1" ht="18" customHeight="1">
      <c r="A46" s="1417"/>
      <c r="B46" s="1417"/>
      <c r="C46" s="216"/>
      <c r="D46" s="216"/>
      <c r="E46" s="216"/>
      <c r="F46" s="216"/>
      <c r="G46" s="216"/>
      <c r="H46" s="2"/>
      <c r="I46" s="2"/>
      <c r="J46" s="9"/>
      <c r="K46" s="4"/>
      <c r="L46" s="4"/>
      <c r="M46" s="2"/>
      <c r="N46" s="216"/>
      <c r="O46" s="2"/>
      <c r="P46" s="216"/>
      <c r="Q46" s="216"/>
      <c r="R46" s="216"/>
      <c r="S46" s="3244"/>
      <c r="T46" s="3244"/>
      <c r="U46" s="3244"/>
      <c r="V46" s="3244"/>
    </row>
    <row r="47" spans="1:22" s="2238" customFormat="1" ht="18" customHeight="1">
      <c r="A47" s="1417"/>
      <c r="B47" s="1417"/>
      <c r="C47" s="216"/>
      <c r="D47" s="216"/>
      <c r="E47" s="216"/>
      <c r="F47" s="216"/>
      <c r="G47" s="216"/>
      <c r="H47" s="2"/>
      <c r="I47" s="2"/>
      <c r="J47" s="9"/>
      <c r="K47" s="4"/>
      <c r="L47" s="4"/>
      <c r="M47" s="2"/>
      <c r="N47" s="216"/>
      <c r="O47" s="2"/>
      <c r="P47" s="216"/>
      <c r="Q47" s="216"/>
      <c r="R47" s="216"/>
      <c r="S47" s="3244"/>
      <c r="T47" s="3244"/>
      <c r="U47" s="3244"/>
      <c r="V47" s="3244"/>
    </row>
    <row r="48" spans="1:22" s="2238" customFormat="1" ht="18" customHeight="1">
      <c r="A48" s="1417"/>
      <c r="B48" s="1417"/>
      <c r="C48" s="216"/>
      <c r="D48" s="216"/>
      <c r="E48" s="216"/>
      <c r="F48" s="216"/>
      <c r="G48" s="216"/>
      <c r="H48" s="2"/>
      <c r="I48" s="2"/>
      <c r="J48" s="9"/>
      <c r="K48" s="4"/>
      <c r="L48" s="4"/>
      <c r="M48" s="2"/>
      <c r="N48" s="216"/>
      <c r="O48" s="2"/>
      <c r="P48" s="216"/>
      <c r="Q48" s="216"/>
      <c r="R48" s="216"/>
      <c r="S48" s="3244"/>
      <c r="T48" s="3244"/>
      <c r="U48" s="3244"/>
      <c r="V48" s="3244"/>
    </row>
    <row r="49" spans="1:22" s="2238" customFormat="1" ht="18" customHeight="1">
      <c r="A49" s="1417"/>
      <c r="B49" s="1417"/>
      <c r="C49" s="216"/>
      <c r="D49" s="216"/>
      <c r="E49" s="216"/>
      <c r="F49" s="216"/>
      <c r="G49" s="216"/>
      <c r="H49" s="2"/>
      <c r="I49" s="2"/>
      <c r="J49" s="9"/>
      <c r="K49" s="4"/>
      <c r="L49" s="4"/>
      <c r="M49" s="2"/>
      <c r="N49" s="216"/>
      <c r="O49" s="2"/>
      <c r="P49" s="216"/>
      <c r="Q49" s="216"/>
      <c r="R49" s="216"/>
      <c r="S49" s="3244"/>
      <c r="T49" s="3244"/>
      <c r="U49" s="3244"/>
      <c r="V49" s="3244"/>
    </row>
    <row r="50" spans="1:22" s="2238" customFormat="1" ht="18" customHeight="1">
      <c r="A50" s="1417"/>
      <c r="B50" s="1417"/>
      <c r="C50" s="216"/>
      <c r="D50" s="216"/>
      <c r="E50" s="216"/>
      <c r="F50" s="216"/>
      <c r="G50" s="216"/>
      <c r="H50" s="2"/>
      <c r="I50" s="2"/>
      <c r="J50" s="9"/>
      <c r="K50" s="4"/>
      <c r="L50" s="4"/>
      <c r="M50" s="2"/>
      <c r="N50" s="216"/>
      <c r="O50" s="2"/>
      <c r="P50" s="216"/>
      <c r="Q50" s="216"/>
      <c r="R50" s="216"/>
      <c r="S50" s="3244"/>
      <c r="T50" s="3244"/>
      <c r="U50" s="3244"/>
      <c r="V50" s="3244"/>
    </row>
    <row r="51" spans="1:22" s="2238" customFormat="1" ht="18" customHeight="1">
      <c r="A51" s="1417"/>
      <c r="B51" s="1417"/>
      <c r="C51" s="216"/>
      <c r="D51" s="216"/>
      <c r="E51" s="216"/>
      <c r="F51" s="216"/>
      <c r="G51" s="216"/>
      <c r="H51" s="2"/>
      <c r="I51" s="2"/>
      <c r="J51" s="9"/>
      <c r="K51" s="4"/>
      <c r="L51" s="4"/>
      <c r="M51" s="2"/>
      <c r="N51" s="216"/>
      <c r="O51" s="2"/>
      <c r="P51" s="216"/>
      <c r="Q51" s="216"/>
      <c r="R51" s="216"/>
    </row>
    <row r="52" spans="1:22" s="2238" customFormat="1" ht="18" customHeight="1">
      <c r="A52" s="2024"/>
      <c r="B52" s="2024"/>
      <c r="C52" s="2024"/>
      <c r="D52" s="2024"/>
      <c r="E52" s="2024"/>
      <c r="F52" s="2"/>
      <c r="G52" s="2024"/>
      <c r="H52" s="2024"/>
      <c r="I52" s="2024"/>
      <c r="J52" s="2098"/>
      <c r="K52" s="4"/>
      <c r="L52" s="4"/>
      <c r="M52" s="4"/>
      <c r="N52" s="2024"/>
      <c r="O52" s="2024"/>
      <c r="P52" s="2024"/>
      <c r="Q52" s="2024"/>
      <c r="R52" s="2024"/>
    </row>
    <row r="53" spans="1:22" s="2238" customFormat="1" ht="18" customHeight="1">
      <c r="A53" s="2024"/>
      <c r="B53" s="2024"/>
      <c r="C53" s="2024"/>
      <c r="D53" s="2024"/>
      <c r="E53" s="2024"/>
      <c r="F53" s="2"/>
      <c r="G53" s="2024"/>
      <c r="H53" s="2024"/>
      <c r="I53" s="2024"/>
      <c r="J53" s="2098"/>
      <c r="K53" s="4"/>
      <c r="L53" s="4"/>
      <c r="M53" s="4"/>
      <c r="N53" s="2024"/>
      <c r="O53" s="2024"/>
      <c r="P53" s="2024"/>
      <c r="Q53" s="2024"/>
      <c r="R53" s="2024"/>
    </row>
    <row r="54" spans="1:22" s="2238" customFormat="1" ht="18" customHeight="1">
      <c r="A54" s="2024"/>
      <c r="B54" s="2024"/>
      <c r="C54" s="2024"/>
      <c r="D54" s="2024"/>
      <c r="E54" s="2024"/>
      <c r="F54" s="2"/>
      <c r="G54" s="2024"/>
      <c r="H54" s="2024"/>
      <c r="I54" s="2024"/>
      <c r="J54" s="2098"/>
      <c r="K54" s="4"/>
      <c r="L54" s="4"/>
      <c r="M54" s="4"/>
      <c r="N54" s="2024"/>
      <c r="O54" s="2024"/>
      <c r="P54" s="2024"/>
      <c r="Q54" s="2024"/>
      <c r="R54" s="2024"/>
    </row>
    <row r="55" spans="1:22" s="2238" customFormat="1" ht="18" customHeight="1">
      <c r="A55" s="2024"/>
      <c r="B55" s="2024"/>
      <c r="C55" s="2024"/>
      <c r="D55" s="2024"/>
      <c r="E55" s="2024"/>
      <c r="F55" s="2"/>
      <c r="G55" s="2024"/>
      <c r="H55" s="2024"/>
      <c r="I55" s="2024"/>
      <c r="J55" s="2098"/>
      <c r="K55" s="4"/>
      <c r="L55" s="4"/>
      <c r="M55" s="4"/>
      <c r="N55" s="2024"/>
      <c r="O55" s="2024"/>
      <c r="P55" s="2024"/>
      <c r="Q55" s="2024"/>
      <c r="R55" s="2024"/>
    </row>
    <row r="56" spans="1:22" s="2238" customFormat="1" ht="18" customHeight="1">
      <c r="A56" s="2024"/>
      <c r="B56" s="2024"/>
      <c r="C56" s="2024"/>
      <c r="D56" s="2024"/>
      <c r="E56" s="2024"/>
      <c r="F56" s="2"/>
      <c r="G56" s="2024"/>
      <c r="H56" s="2024"/>
      <c r="I56" s="2024"/>
      <c r="J56" s="2098"/>
      <c r="K56" s="4"/>
      <c r="L56" s="4"/>
      <c r="M56" s="4"/>
      <c r="N56" s="2024"/>
      <c r="O56" s="2024"/>
      <c r="P56" s="2024"/>
      <c r="Q56" s="2024"/>
      <c r="R56" s="2024"/>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E36" sqref="E36"/>
      <selection pane="topRight" activeCell="E36" sqref="E36"/>
      <selection pane="bottomLeft" activeCell="E36" sqref="E36"/>
      <selection pane="bottomRight" activeCell="I21" sqref="I21"/>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609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611</v>
      </c>
      <c r="B2" s="82" t="s">
        <v>612</v>
      </c>
      <c r="C2" s="82" t="s">
        <v>613</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17" t="s">
        <v>2405</v>
      </c>
      <c r="AZ2" s="2518" t="s">
        <v>2406</v>
      </c>
      <c r="BA2" s="2519" t="s">
        <v>2407</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15994.67</v>
      </c>
      <c r="B3" s="302">
        <f>IF(C3="否",G5-AT5,G5)</f>
        <v>66965.320000000065</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0"/>
      <c r="AZ3" s="2521"/>
      <c r="BA3" s="2522"/>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614</v>
      </c>
      <c r="B5" s="220"/>
      <c r="C5" s="220"/>
      <c r="D5" s="218"/>
      <c r="E5" s="305" t="s">
        <v>23</v>
      </c>
      <c r="F5" s="305">
        <f>SUM(F13:F587)</f>
        <v>0</v>
      </c>
      <c r="G5" s="305">
        <f>SUM(G13:G587)</f>
        <v>66965.320000000065</v>
      </c>
      <c r="H5" s="305">
        <f t="shared" ref="H5:AT5" si="0">SUM(H13:H656)</f>
        <v>66965.320000000065</v>
      </c>
      <c r="I5" s="305">
        <f t="shared" si="0"/>
        <v>10514.43</v>
      </c>
      <c r="J5" s="305">
        <f t="shared" si="0"/>
        <v>0</v>
      </c>
      <c r="K5" s="305">
        <f t="shared" si="0"/>
        <v>56450.890000000058</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614</v>
      </c>
      <c r="AW5" s="220"/>
      <c r="AX5" s="220"/>
      <c r="AY5" s="306" t="s">
        <v>29</v>
      </c>
      <c r="AZ5" s="307">
        <f t="shared" ref="AZ5:BT5" si="1">SUM(AZ13:AZ656)</f>
        <v>66965.320000000065</v>
      </c>
      <c r="BA5" s="307">
        <f t="shared" si="1"/>
        <v>66965.320000000065</v>
      </c>
      <c r="BB5" s="307">
        <f t="shared" si="1"/>
        <v>10514.43</v>
      </c>
      <c r="BC5" s="307">
        <f t="shared" si="1"/>
        <v>56450.890000000058</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615</v>
      </c>
      <c r="B6" s="223"/>
      <c r="C6" s="223"/>
      <c r="D6" s="224"/>
      <c r="E6" s="305">
        <f>H6+AC6+AT6</f>
        <v>15994.669999999998</v>
      </c>
      <c r="F6" s="305" t="s">
        <v>23</v>
      </c>
      <c r="G6" s="305" t="s">
        <v>25</v>
      </c>
      <c r="H6" s="309">
        <f>SUMIF(I$12:AB$12,"总值",I6:AB6)</f>
        <v>15994.669999999998</v>
      </c>
      <c r="I6" s="305">
        <f t="shared" ref="I6:AB6" si="2">ROUND($A$3*I5/$B$3,2)</f>
        <v>2511.37</v>
      </c>
      <c r="J6" s="305">
        <f t="shared" si="2"/>
        <v>0</v>
      </c>
      <c r="K6" s="305">
        <f t="shared" si="2"/>
        <v>13483.3</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615</v>
      </c>
      <c r="AW6" s="223"/>
      <c r="AX6" s="223"/>
      <c r="AY6" s="310">
        <f>IF(AY3&gt;0,AY3,ROUND($A$3*AZ5/$B$3,2))</f>
        <v>15994.67</v>
      </c>
      <c r="AZ6" s="305" t="s">
        <v>29</v>
      </c>
      <c r="BA6" s="305">
        <f>ROUND($AY$6*BA5/$AZ$5,2)</f>
        <v>15994.67</v>
      </c>
      <c r="BB6" s="305">
        <f>ROUND($AY$6*BB5/$AZ$5,2)</f>
        <v>2511.37</v>
      </c>
      <c r="BC6" s="305">
        <f t="shared" ref="BC6:BH6" si="4">ROUND($AY$6*BC5/$AZ$5,2)</f>
        <v>13483.3</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616</v>
      </c>
      <c r="B7" s="226" t="s">
        <v>617</v>
      </c>
      <c r="C7" s="226" t="s">
        <v>618</v>
      </c>
      <c r="D7" s="226" t="s">
        <v>619</v>
      </c>
      <c r="E7" s="226" t="s">
        <v>615</v>
      </c>
      <c r="F7" s="226" t="s">
        <v>620</v>
      </c>
      <c r="G7" s="227" t="s">
        <v>621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622</v>
      </c>
      <c r="AV7" s="78" t="s">
        <v>616</v>
      </c>
      <c r="AW7" s="229" t="s">
        <v>617</v>
      </c>
      <c r="AX7" s="78" t="s">
        <v>618</v>
      </c>
      <c r="AY7" s="220" t="s">
        <v>623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624</v>
      </c>
      <c r="H8" s="234" t="s">
        <v>625</v>
      </c>
      <c r="I8" s="235"/>
      <c r="J8" s="236"/>
      <c r="K8" s="236"/>
      <c r="L8" s="236"/>
      <c r="M8" s="236"/>
      <c r="N8" s="236"/>
      <c r="O8" s="236"/>
      <c r="P8" s="236"/>
      <c r="Q8" s="236"/>
      <c r="R8" s="236"/>
      <c r="S8" s="236"/>
      <c r="T8" s="236"/>
      <c r="U8" s="236"/>
      <c r="V8" s="237"/>
      <c r="W8" s="236"/>
      <c r="X8" s="236"/>
      <c r="Y8" s="236"/>
      <c r="Z8" s="236"/>
      <c r="AA8" s="237"/>
      <c r="AB8" s="238"/>
      <c r="AC8" s="245" t="s">
        <v>626</v>
      </c>
      <c r="AD8" s="239"/>
      <c r="AE8" s="230"/>
      <c r="AF8" s="236"/>
      <c r="AG8" s="236"/>
      <c r="AH8" s="236"/>
      <c r="AI8" s="236"/>
      <c r="AJ8" s="236"/>
      <c r="AK8" s="236"/>
      <c r="AL8" s="236"/>
      <c r="AM8" s="236"/>
      <c r="AN8" s="236"/>
      <c r="AO8" s="236"/>
      <c r="AP8" s="236"/>
      <c r="AQ8" s="236"/>
      <c r="AR8" s="236"/>
      <c r="AS8" s="236"/>
      <c r="AT8" s="240" t="s">
        <v>527</v>
      </c>
      <c r="AU8" s="232" t="s">
        <v>627</v>
      </c>
      <c r="AV8" s="240"/>
      <c r="AW8" s="241"/>
      <c r="AX8" s="240"/>
      <c r="AY8" s="229" t="s">
        <v>628</v>
      </c>
      <c r="AZ8" s="222" t="s">
        <v>629</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630</v>
      </c>
      <c r="I9" s="244" t="s">
        <v>3215</v>
      </c>
      <c r="J9" s="245"/>
      <c r="K9" s="244" t="s">
        <v>3215</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3044</v>
      </c>
      <c r="J10" s="245"/>
      <c r="K10" s="252" t="s">
        <v>137</v>
      </c>
      <c r="L10" s="245"/>
      <c r="M10" s="252"/>
      <c r="N10" s="245"/>
      <c r="O10" s="252"/>
      <c r="P10" s="245"/>
      <c r="Q10" s="252"/>
      <c r="R10" s="245"/>
      <c r="S10" s="252"/>
      <c r="T10" s="245"/>
      <c r="U10" s="252"/>
      <c r="V10" s="245"/>
      <c r="W10" s="252"/>
      <c r="X10" s="245"/>
      <c r="Y10" s="252"/>
      <c r="Z10" s="245"/>
      <c r="AA10" s="252"/>
      <c r="AB10" s="245"/>
      <c r="AC10" s="240"/>
      <c r="AD10" s="83" t="s">
        <v>31</v>
      </c>
      <c r="AE10" s="2490"/>
      <c r="AF10" s="83" t="s">
        <v>31</v>
      </c>
      <c r="AG10" s="2490"/>
      <c r="AH10" s="83" t="s">
        <v>32</v>
      </c>
      <c r="AI10" s="2490"/>
      <c r="AJ10" s="83" t="s">
        <v>32</v>
      </c>
      <c r="AK10" s="2490"/>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3216</v>
      </c>
      <c r="J11" s="259"/>
      <c r="K11" s="258" t="s">
        <v>3224</v>
      </c>
      <c r="L11" s="259"/>
      <c r="M11" s="258"/>
      <c r="N11" s="259"/>
      <c r="O11" s="258"/>
      <c r="P11" s="259"/>
      <c r="Q11" s="258"/>
      <c r="R11" s="259"/>
      <c r="S11" s="258"/>
      <c r="T11" s="259"/>
      <c r="U11" s="258"/>
      <c r="V11" s="259"/>
      <c r="W11" s="258"/>
      <c r="X11" s="259"/>
      <c r="Y11" s="258"/>
      <c r="Z11" s="259"/>
      <c r="AA11" s="258"/>
      <c r="AB11" s="259"/>
      <c r="AC11" s="240"/>
      <c r="AD11" s="2510" t="s">
        <v>2394</v>
      </c>
      <c r="AE11" s="2489"/>
      <c r="AF11" s="2510" t="s">
        <v>2394</v>
      </c>
      <c r="AG11" s="2489"/>
      <c r="AH11" s="2510" t="s">
        <v>2395</v>
      </c>
      <c r="AI11" s="2511"/>
      <c r="AJ11" s="2510" t="s">
        <v>2395</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办公</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631</v>
      </c>
      <c r="J12" s="82" t="s">
        <v>632</v>
      </c>
      <c r="K12" s="82" t="s">
        <v>631</v>
      </c>
      <c r="L12" s="82" t="s">
        <v>632</v>
      </c>
      <c r="M12" s="82" t="s">
        <v>631</v>
      </c>
      <c r="N12" s="82" t="s">
        <v>632</v>
      </c>
      <c r="O12" s="82" t="s">
        <v>631</v>
      </c>
      <c r="P12" s="82" t="s">
        <v>632</v>
      </c>
      <c r="Q12" s="82" t="s">
        <v>631</v>
      </c>
      <c r="R12" s="82" t="s">
        <v>632</v>
      </c>
      <c r="S12" s="82" t="s">
        <v>631</v>
      </c>
      <c r="T12" s="82" t="s">
        <v>632</v>
      </c>
      <c r="U12" s="82" t="s">
        <v>631</v>
      </c>
      <c r="V12" s="221" t="s">
        <v>632</v>
      </c>
      <c r="W12" s="82" t="s">
        <v>631</v>
      </c>
      <c r="X12" s="82" t="s">
        <v>632</v>
      </c>
      <c r="Y12" s="82" t="s">
        <v>631</v>
      </c>
      <c r="Z12" s="82" t="s">
        <v>632</v>
      </c>
      <c r="AA12" s="82" t="s">
        <v>631</v>
      </c>
      <c r="AB12" s="82" t="s">
        <v>632</v>
      </c>
      <c r="AC12" s="264"/>
      <c r="AD12" s="218" t="s">
        <v>631</v>
      </c>
      <c r="AE12" s="82" t="s">
        <v>632</v>
      </c>
      <c r="AF12" s="82" t="s">
        <v>631</v>
      </c>
      <c r="AG12" s="82" t="s">
        <v>632</v>
      </c>
      <c r="AH12" s="82" t="s">
        <v>631</v>
      </c>
      <c r="AI12" s="82" t="s">
        <v>632</v>
      </c>
      <c r="AJ12" s="82" t="s">
        <v>631</v>
      </c>
      <c r="AK12" s="82" t="s">
        <v>632</v>
      </c>
      <c r="AL12" s="82" t="s">
        <v>631</v>
      </c>
      <c r="AM12" s="82" t="s">
        <v>632</v>
      </c>
      <c r="AN12" s="82" t="s">
        <v>631</v>
      </c>
      <c r="AO12" s="82" t="s">
        <v>632</v>
      </c>
      <c r="AP12" s="82" t="s">
        <v>631</v>
      </c>
      <c r="AQ12" s="82" t="s">
        <v>632</v>
      </c>
      <c r="AR12" s="81" t="s">
        <v>631</v>
      </c>
      <c r="AS12" s="262" t="s">
        <v>632</v>
      </c>
      <c r="AT12" s="265"/>
      <c r="AU12" s="262"/>
      <c r="AV12" s="80"/>
      <c r="AW12" s="229"/>
      <c r="AX12" s="80"/>
      <c r="AY12" s="266"/>
      <c r="AZ12" s="79"/>
      <c r="BA12" s="253"/>
      <c r="BB12" s="77" t="str">
        <f>I11</f>
        <v>底商</v>
      </c>
      <c r="BC12" s="267" t="str">
        <f>K11</f>
        <v>办公楼</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3213</v>
      </c>
      <c r="D13" s="217" t="s">
        <v>3214</v>
      </c>
      <c r="E13" s="305">
        <f>IF($C$3="是",ROUND($A$3*G13/$B$3,2),ROUND($A$3*(G13-AT13)/$B$3,2))</f>
        <v>6522.2</v>
      </c>
      <c r="F13" s="321"/>
      <c r="G13" s="322">
        <f>H13+AC13+AT13</f>
        <v>27306.670000000042</v>
      </c>
      <c r="H13" s="309">
        <f>SUMIF(I$12:AB$12,"总值",I13:AB13)</f>
        <v>27306.670000000042</v>
      </c>
      <c r="I13" s="1418">
        <f>面积明细及结果汇总!J2+面积明细及结果汇总!J3</f>
        <v>4968.0199999999995</v>
      </c>
      <c r="J13" s="1418"/>
      <c r="K13" s="1418">
        <f>面积明细及结果汇总!J4</f>
        <v>22338.650000000041</v>
      </c>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1号楼</v>
      </c>
      <c r="AY13" s="304">
        <f>ROUND($AY$6*AZ13/$AZ$5,2)</f>
        <v>6522.2</v>
      </c>
      <c r="AZ13" s="305">
        <f>BA13+BL13</f>
        <v>27306.670000000042</v>
      </c>
      <c r="BA13" s="305">
        <f>SUM(BB13:BK13)</f>
        <v>27306.670000000042</v>
      </c>
      <c r="BB13" s="305">
        <f>IF($D13="是",I13-J13,0)</f>
        <v>4968.0199999999995</v>
      </c>
      <c r="BC13" s="305">
        <f>IF($D13="是",K13-L13,0)</f>
        <v>22338.650000000041</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216" t="s">
        <v>3225</v>
      </c>
      <c r="D14" s="217" t="s">
        <v>3214</v>
      </c>
      <c r="E14" s="305">
        <f>IF($C$3="是",ROUND($A$3*G14/$B$3,2),ROUND($A$3*(G14-AT14)/$B$3,2))</f>
        <v>4489.93</v>
      </c>
      <c r="F14" s="321"/>
      <c r="G14" s="322">
        <f>H14+AC14+AT14</f>
        <v>18798.100000000017</v>
      </c>
      <c r="H14" s="309">
        <f>SUMIF(I$12:AB$12,"总值",I14:AB14)</f>
        <v>18798.100000000017</v>
      </c>
      <c r="I14" s="1418">
        <f>面积明细及结果汇总!K3</f>
        <v>2054.94</v>
      </c>
      <c r="J14" s="1418"/>
      <c r="K14" s="1418">
        <f>面积明细及结果汇总!K4</f>
        <v>16743.160000000018</v>
      </c>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2号楼</v>
      </c>
      <c r="AY14" s="304">
        <f>ROUND($AY$6*AZ14/$AZ$5,2)</f>
        <v>4489.93</v>
      </c>
      <c r="AZ14" s="305">
        <f>BA14+BL14</f>
        <v>18798.100000000017</v>
      </c>
      <c r="BA14" s="305">
        <f>SUM(BB14:BK14)</f>
        <v>18798.100000000017</v>
      </c>
      <c r="BB14" s="305">
        <f>IF($D14="是",I14-J14,0)</f>
        <v>2054.94</v>
      </c>
      <c r="BC14" s="305">
        <f>IF($D14="是",K14-L14,0)</f>
        <v>16743.160000000018</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216" t="s">
        <v>3329</v>
      </c>
      <c r="D15" s="217" t="s">
        <v>3214</v>
      </c>
      <c r="E15" s="305">
        <f>IF($C$3="是",ROUND($A$3*G15/$B$3,2),ROUND($A$3*(G15-AT15)/$B$3,2))</f>
        <v>4982.54</v>
      </c>
      <c r="F15" s="321"/>
      <c r="G15" s="322">
        <f>H15+AC15+AT15</f>
        <v>20860.550000000003</v>
      </c>
      <c r="H15" s="309">
        <f>SUMIF(I$12:AB$12,"总值",I15:AB15)</f>
        <v>20860.550000000003</v>
      </c>
      <c r="I15" s="1418">
        <f>面积明细及结果汇总!L2+面积明细及结果汇总!L3</f>
        <v>3491.4700000000003</v>
      </c>
      <c r="J15" s="1418"/>
      <c r="K15" s="1418">
        <f>面积明细及结果汇总!L4</f>
        <v>17369.080000000002</v>
      </c>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t="str">
        <f t="shared" si="6"/>
        <v>3号楼</v>
      </c>
      <c r="AY15" s="304">
        <f>ROUND($AY$6*AZ15/$AZ$5,2)</f>
        <v>4982.54</v>
      </c>
      <c r="AZ15" s="305">
        <f>BA15+BL15</f>
        <v>20860.550000000003</v>
      </c>
      <c r="BA15" s="305">
        <f>SUM(BB15:BK15)</f>
        <v>20860.550000000003</v>
      </c>
      <c r="BB15" s="305">
        <f>IF($D15="是",I15-J15,0)</f>
        <v>3491.4700000000003</v>
      </c>
      <c r="BC15" s="305">
        <f>IF($D15="是",K15-L15,0)</f>
        <v>17369.080000000002</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4"/>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9">
        <f t="shared" ref="AV18:AV112" si="11">A18</f>
        <v>0</v>
      </c>
      <c r="AW18" s="2209">
        <f t="shared" ref="AW18:AW112" si="12">B18</f>
        <v>0</v>
      </c>
      <c r="AX18" s="2209">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4"/>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9">
        <f t="shared" si="11"/>
        <v>0</v>
      </c>
      <c r="AW19" s="2209">
        <f t="shared" si="12"/>
        <v>0</v>
      </c>
      <c r="AX19" s="2209">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4"/>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9">
        <f t="shared" si="11"/>
        <v>0</v>
      </c>
      <c r="AW20" s="2209">
        <f t="shared" si="12"/>
        <v>0</v>
      </c>
      <c r="AX20" s="2209">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4"/>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9">
        <f t="shared" si="11"/>
        <v>0</v>
      </c>
      <c r="AW21" s="2209">
        <f t="shared" si="12"/>
        <v>0</v>
      </c>
      <c r="AX21" s="2209">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4"/>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9">
        <f t="shared" si="11"/>
        <v>0</v>
      </c>
      <c r="AW22" s="2209">
        <f t="shared" si="12"/>
        <v>0</v>
      </c>
      <c r="AX22" s="2209">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4"/>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9">
        <f t="shared" si="11"/>
        <v>0</v>
      </c>
      <c r="AW23" s="2209">
        <f t="shared" si="12"/>
        <v>0</v>
      </c>
      <c r="AX23" s="2209">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4"/>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9">
        <f t="shared" si="11"/>
        <v>0</v>
      </c>
      <c r="AW24" s="2209">
        <f t="shared" si="12"/>
        <v>0</v>
      </c>
      <c r="AX24" s="2209">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4"/>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9">
        <f t="shared" si="11"/>
        <v>0</v>
      </c>
      <c r="AW25" s="2209">
        <f t="shared" si="12"/>
        <v>0</v>
      </c>
      <c r="AX25" s="2209">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4"/>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9">
        <f t="shared" si="11"/>
        <v>0</v>
      </c>
      <c r="AW26" s="2209">
        <f t="shared" si="12"/>
        <v>0</v>
      </c>
      <c r="AX26" s="2209">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4"/>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9">
        <f t="shared" si="11"/>
        <v>0</v>
      </c>
      <c r="AW27" s="2209">
        <f t="shared" si="12"/>
        <v>0</v>
      </c>
      <c r="AX27" s="2209">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4"/>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9">
        <f t="shared" si="11"/>
        <v>0</v>
      </c>
      <c r="AW28" s="2209">
        <f t="shared" si="12"/>
        <v>0</v>
      </c>
      <c r="AX28" s="2209">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4"/>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9">
        <f t="shared" si="11"/>
        <v>0</v>
      </c>
      <c r="AW29" s="2209">
        <f t="shared" si="12"/>
        <v>0</v>
      </c>
      <c r="AX29" s="2209">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4"/>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9">
        <f t="shared" si="11"/>
        <v>0</v>
      </c>
      <c r="AW30" s="2209">
        <f t="shared" si="12"/>
        <v>0</v>
      </c>
      <c r="AX30" s="2209">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4"/>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9">
        <f t="shared" si="11"/>
        <v>0</v>
      </c>
      <c r="AW31" s="2209">
        <f t="shared" si="12"/>
        <v>0</v>
      </c>
      <c r="AX31" s="2209">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4"/>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9">
        <f t="shared" si="11"/>
        <v>0</v>
      </c>
      <c r="AW32" s="2209">
        <f t="shared" si="12"/>
        <v>0</v>
      </c>
      <c r="AX32" s="2209">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4"/>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9">
        <f t="shared" si="11"/>
        <v>0</v>
      </c>
      <c r="AW33" s="2209">
        <f t="shared" si="12"/>
        <v>0</v>
      </c>
      <c r="AX33" s="2209">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4"/>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9">
        <f t="shared" si="11"/>
        <v>0</v>
      </c>
      <c r="AW34" s="2209">
        <f t="shared" si="12"/>
        <v>0</v>
      </c>
      <c r="AX34" s="2209">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4"/>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9">
        <f t="shared" si="11"/>
        <v>0</v>
      </c>
      <c r="AW35" s="2209">
        <f t="shared" si="12"/>
        <v>0</v>
      </c>
      <c r="AX35" s="2209">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4"/>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9">
        <f t="shared" si="11"/>
        <v>0</v>
      </c>
      <c r="AW36" s="2209">
        <f t="shared" si="12"/>
        <v>0</v>
      </c>
      <c r="AX36" s="2209">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4"/>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9">
        <f t="shared" si="11"/>
        <v>0</v>
      </c>
      <c r="AW37" s="2209">
        <f t="shared" si="12"/>
        <v>0</v>
      </c>
      <c r="AX37" s="2209">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4"/>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9">
        <f t="shared" si="11"/>
        <v>0</v>
      </c>
      <c r="AW38" s="2209">
        <f t="shared" si="12"/>
        <v>0</v>
      </c>
      <c r="AX38" s="2209">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4"/>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9">
        <f t="shared" si="11"/>
        <v>0</v>
      </c>
      <c r="AW39" s="2209">
        <f t="shared" si="12"/>
        <v>0</v>
      </c>
      <c r="AX39" s="2209">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4"/>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9">
        <f t="shared" si="11"/>
        <v>0</v>
      </c>
      <c r="AW40" s="2209">
        <f t="shared" si="12"/>
        <v>0</v>
      </c>
      <c r="AX40" s="2209">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4"/>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9">
        <f t="shared" si="11"/>
        <v>0</v>
      </c>
      <c r="AW41" s="2209">
        <f t="shared" si="12"/>
        <v>0</v>
      </c>
      <c r="AX41" s="2209">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4"/>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9">
        <f t="shared" si="11"/>
        <v>0</v>
      </c>
      <c r="AW42" s="2209">
        <f t="shared" si="12"/>
        <v>0</v>
      </c>
      <c r="AX42" s="2209">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4"/>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9">
        <f t="shared" si="11"/>
        <v>0</v>
      </c>
      <c r="AW43" s="2209">
        <f t="shared" si="12"/>
        <v>0</v>
      </c>
      <c r="AX43" s="2209">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4"/>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9">
        <f t="shared" si="11"/>
        <v>0</v>
      </c>
      <c r="AW44" s="2209">
        <f t="shared" si="12"/>
        <v>0</v>
      </c>
      <c r="AX44" s="2209">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4"/>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9">
        <f t="shared" si="11"/>
        <v>0</v>
      </c>
      <c r="AW45" s="2209">
        <f t="shared" si="12"/>
        <v>0</v>
      </c>
      <c r="AX45" s="2209">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4"/>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9">
        <f t="shared" si="11"/>
        <v>0</v>
      </c>
      <c r="AW46" s="2209">
        <f t="shared" si="12"/>
        <v>0</v>
      </c>
      <c r="AX46" s="2209">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4"/>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9">
        <f t="shared" si="11"/>
        <v>0</v>
      </c>
      <c r="AW47" s="2209">
        <f t="shared" si="12"/>
        <v>0</v>
      </c>
      <c r="AX47" s="2209">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4"/>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9">
        <f t="shared" si="11"/>
        <v>0</v>
      </c>
      <c r="AW48" s="2209">
        <f t="shared" si="12"/>
        <v>0</v>
      </c>
      <c r="AX48" s="2209">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4"/>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9">
        <f t="shared" si="11"/>
        <v>0</v>
      </c>
      <c r="AW49" s="2209">
        <f t="shared" si="12"/>
        <v>0</v>
      </c>
      <c r="AX49" s="2209">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4"/>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9">
        <f t="shared" si="11"/>
        <v>0</v>
      </c>
      <c r="AW50" s="2209">
        <f t="shared" si="12"/>
        <v>0</v>
      </c>
      <c r="AX50" s="2209">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4"/>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9">
        <f t="shared" si="11"/>
        <v>0</v>
      </c>
      <c r="AW51" s="2209">
        <f t="shared" si="12"/>
        <v>0</v>
      </c>
      <c r="AX51" s="2209">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4"/>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9">
        <f t="shared" si="11"/>
        <v>0</v>
      </c>
      <c r="AW52" s="2209">
        <f t="shared" si="12"/>
        <v>0</v>
      </c>
      <c r="AX52" s="2209">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4"/>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9">
        <f t="shared" si="11"/>
        <v>0</v>
      </c>
      <c r="AW53" s="2209">
        <f t="shared" si="12"/>
        <v>0</v>
      </c>
      <c r="AX53" s="2209">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4"/>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9">
        <f t="shared" si="11"/>
        <v>0</v>
      </c>
      <c r="AW54" s="2209">
        <f t="shared" si="12"/>
        <v>0</v>
      </c>
      <c r="AX54" s="2209">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4"/>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9">
        <f t="shared" si="11"/>
        <v>0</v>
      </c>
      <c r="AW55" s="2209">
        <f t="shared" si="12"/>
        <v>0</v>
      </c>
      <c r="AX55" s="2209">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4"/>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9">
        <f t="shared" si="11"/>
        <v>0</v>
      </c>
      <c r="AW56" s="2209">
        <f t="shared" si="12"/>
        <v>0</v>
      </c>
      <c r="AX56" s="2209">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4"/>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9">
        <f t="shared" si="11"/>
        <v>0</v>
      </c>
      <c r="AW57" s="2209">
        <f t="shared" si="12"/>
        <v>0</v>
      </c>
      <c r="AX57" s="2209">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4"/>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9">
        <f t="shared" si="11"/>
        <v>0</v>
      </c>
      <c r="AW58" s="2209">
        <f t="shared" si="12"/>
        <v>0</v>
      </c>
      <c r="AX58" s="2209">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4"/>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9">
        <f t="shared" si="11"/>
        <v>0</v>
      </c>
      <c r="AW59" s="2209">
        <f t="shared" si="12"/>
        <v>0</v>
      </c>
      <c r="AX59" s="2209">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4"/>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9">
        <f t="shared" si="11"/>
        <v>0</v>
      </c>
      <c r="AW60" s="2209">
        <f t="shared" si="12"/>
        <v>0</v>
      </c>
      <c r="AX60" s="2209">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4"/>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9">
        <f t="shared" si="11"/>
        <v>0</v>
      </c>
      <c r="AW61" s="2209">
        <f t="shared" si="12"/>
        <v>0</v>
      </c>
      <c r="AX61" s="2209">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4"/>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9">
        <f t="shared" si="11"/>
        <v>0</v>
      </c>
      <c r="AW62" s="2209">
        <f t="shared" si="12"/>
        <v>0</v>
      </c>
      <c r="AX62" s="2209">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4"/>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9">
        <f t="shared" si="11"/>
        <v>0</v>
      </c>
      <c r="AW63" s="2209">
        <f t="shared" si="12"/>
        <v>0</v>
      </c>
      <c r="AX63" s="2209">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4"/>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9">
        <f t="shared" si="11"/>
        <v>0</v>
      </c>
      <c r="AW64" s="2209">
        <f t="shared" si="12"/>
        <v>0</v>
      </c>
      <c r="AX64" s="2209">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4"/>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9">
        <f t="shared" si="11"/>
        <v>0</v>
      </c>
      <c r="AW65" s="2209">
        <f t="shared" si="12"/>
        <v>0</v>
      </c>
      <c r="AX65" s="2209">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4"/>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9">
        <f t="shared" si="11"/>
        <v>0</v>
      </c>
      <c r="AW66" s="2209">
        <f t="shared" si="12"/>
        <v>0</v>
      </c>
      <c r="AX66" s="2209">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4"/>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9">
        <f t="shared" si="11"/>
        <v>0</v>
      </c>
      <c r="AW67" s="2209">
        <f t="shared" si="12"/>
        <v>0</v>
      </c>
      <c r="AX67" s="2209">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4"/>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9">
        <f t="shared" si="11"/>
        <v>0</v>
      </c>
      <c r="AW68" s="2209">
        <f t="shared" si="12"/>
        <v>0</v>
      </c>
      <c r="AX68" s="2209">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4"/>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9">
        <f t="shared" si="11"/>
        <v>0</v>
      </c>
      <c r="AW69" s="2209">
        <f t="shared" si="12"/>
        <v>0</v>
      </c>
      <c r="AX69" s="2209">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4"/>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9">
        <f t="shared" si="11"/>
        <v>0</v>
      </c>
      <c r="AW70" s="2209">
        <f t="shared" si="12"/>
        <v>0</v>
      </c>
      <c r="AX70" s="2209">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4"/>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9">
        <f t="shared" si="11"/>
        <v>0</v>
      </c>
      <c r="AW71" s="2209">
        <f t="shared" si="12"/>
        <v>0</v>
      </c>
      <c r="AX71" s="2209">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4"/>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9">
        <f t="shared" si="11"/>
        <v>0</v>
      </c>
      <c r="AW72" s="2209">
        <f t="shared" si="12"/>
        <v>0</v>
      </c>
      <c r="AX72" s="2209">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4"/>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9">
        <f t="shared" si="11"/>
        <v>0</v>
      </c>
      <c r="AW73" s="2209">
        <f t="shared" si="12"/>
        <v>0</v>
      </c>
      <c r="AX73" s="2209">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4"/>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9">
        <f t="shared" si="11"/>
        <v>0</v>
      </c>
      <c r="AW74" s="2209">
        <f t="shared" si="12"/>
        <v>0</v>
      </c>
      <c r="AX74" s="2209">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4"/>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9">
        <f t="shared" si="11"/>
        <v>0</v>
      </c>
      <c r="AW75" s="2209">
        <f t="shared" si="12"/>
        <v>0</v>
      </c>
      <c r="AX75" s="2209">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4"/>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9">
        <f t="shared" si="11"/>
        <v>0</v>
      </c>
      <c r="AW76" s="2209">
        <f t="shared" si="12"/>
        <v>0</v>
      </c>
      <c r="AX76" s="2209">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4"/>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9">
        <f t="shared" si="11"/>
        <v>0</v>
      </c>
      <c r="AW77" s="2209">
        <f t="shared" si="12"/>
        <v>0</v>
      </c>
      <c r="AX77" s="2209">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4"/>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9">
        <f t="shared" si="11"/>
        <v>0</v>
      </c>
      <c r="AW78" s="2209">
        <f t="shared" si="12"/>
        <v>0</v>
      </c>
      <c r="AX78" s="2209">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4"/>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9">
        <f t="shared" si="11"/>
        <v>0</v>
      </c>
      <c r="AW79" s="2209">
        <f t="shared" si="12"/>
        <v>0</v>
      </c>
      <c r="AX79" s="2209">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4"/>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9">
        <f t="shared" si="11"/>
        <v>0</v>
      </c>
      <c r="AW80" s="2209">
        <f t="shared" si="12"/>
        <v>0</v>
      </c>
      <c r="AX80" s="2209">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4"/>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9">
        <f t="shared" si="11"/>
        <v>0</v>
      </c>
      <c r="AW81" s="2209">
        <f t="shared" si="12"/>
        <v>0</v>
      </c>
      <c r="AX81" s="2209">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4"/>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9">
        <f t="shared" si="11"/>
        <v>0</v>
      </c>
      <c r="AW82" s="2209">
        <f t="shared" si="12"/>
        <v>0</v>
      </c>
      <c r="AX82" s="2209">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4"/>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9">
        <f t="shared" si="11"/>
        <v>0</v>
      </c>
      <c r="AW83" s="2209">
        <f t="shared" si="12"/>
        <v>0</v>
      </c>
      <c r="AX83" s="2209">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4"/>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9">
        <f t="shared" si="11"/>
        <v>0</v>
      </c>
      <c r="AW84" s="2209">
        <f t="shared" si="12"/>
        <v>0</v>
      </c>
      <c r="AX84" s="2209">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4"/>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9">
        <f t="shared" si="11"/>
        <v>0</v>
      </c>
      <c r="AW85" s="2209">
        <f t="shared" si="12"/>
        <v>0</v>
      </c>
      <c r="AX85" s="2209">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4"/>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9">
        <f t="shared" si="11"/>
        <v>0</v>
      </c>
      <c r="AW86" s="2209">
        <f t="shared" si="12"/>
        <v>0</v>
      </c>
      <c r="AX86" s="2209">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4"/>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9">
        <f t="shared" si="11"/>
        <v>0</v>
      </c>
      <c r="AW87" s="2209">
        <f t="shared" si="12"/>
        <v>0</v>
      </c>
      <c r="AX87" s="2209">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4"/>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9">
        <f t="shared" si="11"/>
        <v>0</v>
      </c>
      <c r="AW88" s="2209">
        <f t="shared" si="12"/>
        <v>0</v>
      </c>
      <c r="AX88" s="2209">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4"/>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9">
        <f t="shared" si="11"/>
        <v>0</v>
      </c>
      <c r="AW89" s="2209">
        <f t="shared" si="12"/>
        <v>0</v>
      </c>
      <c r="AX89" s="2209">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4"/>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9">
        <f t="shared" si="11"/>
        <v>0</v>
      </c>
      <c r="AW90" s="2209">
        <f t="shared" si="12"/>
        <v>0</v>
      </c>
      <c r="AX90" s="2209">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4"/>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9">
        <f t="shared" si="11"/>
        <v>0</v>
      </c>
      <c r="AW91" s="2209">
        <f t="shared" si="12"/>
        <v>0</v>
      </c>
      <c r="AX91" s="2209">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4"/>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9">
        <f t="shared" si="11"/>
        <v>0</v>
      </c>
      <c r="AW92" s="2209">
        <f t="shared" si="12"/>
        <v>0</v>
      </c>
      <c r="AX92" s="2209">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4"/>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9">
        <f t="shared" si="11"/>
        <v>0</v>
      </c>
      <c r="AW93" s="2209">
        <f t="shared" si="12"/>
        <v>0</v>
      </c>
      <c r="AX93" s="2209">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4"/>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9">
        <f t="shared" si="11"/>
        <v>0</v>
      </c>
      <c r="AW94" s="2209">
        <f t="shared" si="12"/>
        <v>0</v>
      </c>
      <c r="AX94" s="2209">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4"/>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9">
        <f t="shared" si="11"/>
        <v>0</v>
      </c>
      <c r="AW95" s="2209">
        <f t="shared" si="12"/>
        <v>0</v>
      </c>
      <c r="AX95" s="2209">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4"/>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9">
        <f t="shared" si="11"/>
        <v>0</v>
      </c>
      <c r="AW96" s="2209">
        <f t="shared" si="12"/>
        <v>0</v>
      </c>
      <c r="AX96" s="2209">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4"/>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9">
        <f t="shared" si="11"/>
        <v>0</v>
      </c>
      <c r="AW97" s="2209">
        <f t="shared" si="12"/>
        <v>0</v>
      </c>
      <c r="AX97" s="2209">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4"/>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9">
        <f t="shared" si="11"/>
        <v>0</v>
      </c>
      <c r="AW98" s="2209">
        <f t="shared" si="12"/>
        <v>0</v>
      </c>
      <c r="AX98" s="2209">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4"/>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9">
        <f t="shared" si="11"/>
        <v>0</v>
      </c>
      <c r="AW99" s="2209">
        <f t="shared" si="12"/>
        <v>0</v>
      </c>
      <c r="AX99" s="2209">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4"/>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9">
        <f t="shared" si="11"/>
        <v>0</v>
      </c>
      <c r="AW100" s="2209">
        <f t="shared" si="12"/>
        <v>0</v>
      </c>
      <c r="AX100" s="2209">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4"/>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9">
        <f t="shared" si="11"/>
        <v>0</v>
      </c>
      <c r="AW101" s="2209">
        <f t="shared" si="12"/>
        <v>0</v>
      </c>
      <c r="AX101" s="2209">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4"/>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9">
        <f t="shared" si="11"/>
        <v>0</v>
      </c>
      <c r="AW102" s="2209">
        <f t="shared" si="12"/>
        <v>0</v>
      </c>
      <c r="AX102" s="2209">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4"/>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9">
        <f t="shared" si="11"/>
        <v>0</v>
      </c>
      <c r="AW103" s="2209">
        <f t="shared" si="12"/>
        <v>0</v>
      </c>
      <c r="AX103" s="2209">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4"/>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9">
        <f t="shared" si="11"/>
        <v>0</v>
      </c>
      <c r="AW104" s="2209">
        <f t="shared" si="12"/>
        <v>0</v>
      </c>
      <c r="AX104" s="2209">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4"/>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9">
        <f t="shared" si="11"/>
        <v>0</v>
      </c>
      <c r="AW105" s="2209">
        <f t="shared" si="12"/>
        <v>0</v>
      </c>
      <c r="AX105" s="2209">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4"/>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9">
        <f t="shared" si="11"/>
        <v>0</v>
      </c>
      <c r="AW106" s="2209">
        <f t="shared" si="12"/>
        <v>0</v>
      </c>
      <c r="AX106" s="2209">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4"/>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9">
        <f t="shared" si="11"/>
        <v>0</v>
      </c>
      <c r="AW107" s="2209">
        <f t="shared" si="12"/>
        <v>0</v>
      </c>
      <c r="AX107" s="2209">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4"/>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9">
        <f t="shared" si="11"/>
        <v>0</v>
      </c>
      <c r="AW108" s="2209">
        <f t="shared" si="12"/>
        <v>0</v>
      </c>
      <c r="AX108" s="2209">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4"/>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9">
        <f t="shared" si="11"/>
        <v>0</v>
      </c>
      <c r="AW109" s="2209">
        <f t="shared" si="12"/>
        <v>0</v>
      </c>
      <c r="AX109" s="2209">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4"/>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9">
        <f t="shared" si="11"/>
        <v>0</v>
      </c>
      <c r="AW110" s="2209">
        <f t="shared" si="12"/>
        <v>0</v>
      </c>
      <c r="AX110" s="2209">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4"/>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9">
        <f t="shared" si="11"/>
        <v>0</v>
      </c>
      <c r="AW111" s="2209">
        <f t="shared" si="12"/>
        <v>0</v>
      </c>
      <c r="AX111" s="2209">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4"/>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9">
        <f t="shared" si="11"/>
        <v>0</v>
      </c>
      <c r="AW112" s="2209">
        <f t="shared" si="12"/>
        <v>0</v>
      </c>
      <c r="AX112" s="2209">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4"/>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9">
        <f t="shared" ref="AV113:AV144" si="62">A113</f>
        <v>0</v>
      </c>
      <c r="AW113" s="2209">
        <f t="shared" ref="AW113:AW144" si="63">B113</f>
        <v>0</v>
      </c>
      <c r="AX113" s="2209">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4"/>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9">
        <f t="shared" si="62"/>
        <v>0</v>
      </c>
      <c r="AW114" s="2209">
        <f t="shared" si="63"/>
        <v>0</v>
      </c>
      <c r="AX114" s="2209">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4"/>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9">
        <f t="shared" si="62"/>
        <v>0</v>
      </c>
      <c r="AW115" s="2209">
        <f t="shared" si="63"/>
        <v>0</v>
      </c>
      <c r="AX115" s="2209">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4"/>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9">
        <f t="shared" si="62"/>
        <v>0</v>
      </c>
      <c r="AW116" s="2209">
        <f t="shared" si="63"/>
        <v>0</v>
      </c>
      <c r="AX116" s="2209">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4"/>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9">
        <f t="shared" si="62"/>
        <v>0</v>
      </c>
      <c r="AW117" s="2209">
        <f t="shared" si="63"/>
        <v>0</v>
      </c>
      <c r="AX117" s="2209">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4"/>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9">
        <f t="shared" si="62"/>
        <v>0</v>
      </c>
      <c r="AW118" s="2209">
        <f t="shared" si="63"/>
        <v>0</v>
      </c>
      <c r="AX118" s="2209">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4"/>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9">
        <f t="shared" si="62"/>
        <v>0</v>
      </c>
      <c r="AW119" s="2209">
        <f t="shared" si="63"/>
        <v>0</v>
      </c>
      <c r="AX119" s="2209">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4"/>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9">
        <f t="shared" si="62"/>
        <v>0</v>
      </c>
      <c r="AW120" s="2209">
        <f t="shared" si="63"/>
        <v>0</v>
      </c>
      <c r="AX120" s="2209">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4"/>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9">
        <f t="shared" si="62"/>
        <v>0</v>
      </c>
      <c r="AW121" s="2209">
        <f t="shared" si="63"/>
        <v>0</v>
      </c>
      <c r="AX121" s="2209">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4"/>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9">
        <f t="shared" si="62"/>
        <v>0</v>
      </c>
      <c r="AW122" s="2209">
        <f t="shared" si="63"/>
        <v>0</v>
      </c>
      <c r="AX122" s="2209">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4"/>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9">
        <f t="shared" si="62"/>
        <v>0</v>
      </c>
      <c r="AW123" s="2209">
        <f t="shared" si="63"/>
        <v>0</v>
      </c>
      <c r="AX123" s="2209">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4"/>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9">
        <f t="shared" si="62"/>
        <v>0</v>
      </c>
      <c r="AW124" s="2209">
        <f t="shared" si="63"/>
        <v>0</v>
      </c>
      <c r="AX124" s="2209">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4"/>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9">
        <f t="shared" si="62"/>
        <v>0</v>
      </c>
      <c r="AW125" s="2209">
        <f t="shared" si="63"/>
        <v>0</v>
      </c>
      <c r="AX125" s="2209">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4"/>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9">
        <f t="shared" si="62"/>
        <v>0</v>
      </c>
      <c r="AW126" s="2209">
        <f t="shared" si="63"/>
        <v>0</v>
      </c>
      <c r="AX126" s="2209">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4"/>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9">
        <f t="shared" si="62"/>
        <v>0</v>
      </c>
      <c r="AW127" s="2209">
        <f t="shared" si="63"/>
        <v>0</v>
      </c>
      <c r="AX127" s="2209">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4"/>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9">
        <f t="shared" si="62"/>
        <v>0</v>
      </c>
      <c r="AW128" s="2209">
        <f t="shared" si="63"/>
        <v>0</v>
      </c>
      <c r="AX128" s="2209">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4"/>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9">
        <f t="shared" si="62"/>
        <v>0</v>
      </c>
      <c r="AW129" s="2209">
        <f t="shared" si="63"/>
        <v>0</v>
      </c>
      <c r="AX129" s="2209">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4"/>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9">
        <f t="shared" si="62"/>
        <v>0</v>
      </c>
      <c r="AW130" s="2209">
        <f t="shared" si="63"/>
        <v>0</v>
      </c>
      <c r="AX130" s="2209">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4"/>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9">
        <f t="shared" si="62"/>
        <v>0</v>
      </c>
      <c r="AW131" s="2209">
        <f t="shared" si="63"/>
        <v>0</v>
      </c>
      <c r="AX131" s="2209">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4"/>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9">
        <f t="shared" si="62"/>
        <v>0</v>
      </c>
      <c r="AW132" s="2209">
        <f t="shared" si="63"/>
        <v>0</v>
      </c>
      <c r="AX132" s="2209">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4"/>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9">
        <f t="shared" si="62"/>
        <v>0</v>
      </c>
      <c r="AW133" s="2209">
        <f t="shared" si="63"/>
        <v>0</v>
      </c>
      <c r="AX133" s="2209">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4"/>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9">
        <f t="shared" si="62"/>
        <v>0</v>
      </c>
      <c r="AW134" s="2209">
        <f t="shared" si="63"/>
        <v>0</v>
      </c>
      <c r="AX134" s="2209">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4"/>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9">
        <f t="shared" si="62"/>
        <v>0</v>
      </c>
      <c r="AW135" s="2209">
        <f t="shared" si="63"/>
        <v>0</v>
      </c>
      <c r="AX135" s="2209">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4"/>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9">
        <f t="shared" si="62"/>
        <v>0</v>
      </c>
      <c r="AW136" s="2209">
        <f t="shared" si="63"/>
        <v>0</v>
      </c>
      <c r="AX136" s="2209">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4"/>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9">
        <f t="shared" si="62"/>
        <v>0</v>
      </c>
      <c r="AW137" s="2209">
        <f t="shared" si="63"/>
        <v>0</v>
      </c>
      <c r="AX137" s="2209">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4"/>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9">
        <f t="shared" si="62"/>
        <v>0</v>
      </c>
      <c r="AW138" s="2209">
        <f t="shared" si="63"/>
        <v>0</v>
      </c>
      <c r="AX138" s="2209">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4"/>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9">
        <f t="shared" si="62"/>
        <v>0</v>
      </c>
      <c r="AW139" s="2209">
        <f t="shared" si="63"/>
        <v>0</v>
      </c>
      <c r="AX139" s="2209">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4"/>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9">
        <f t="shared" si="62"/>
        <v>0</v>
      </c>
      <c r="AW140" s="2209">
        <f t="shared" si="63"/>
        <v>0</v>
      </c>
      <c r="AX140" s="2209">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4"/>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9">
        <f t="shared" si="62"/>
        <v>0</v>
      </c>
      <c r="AW141" s="2209">
        <f t="shared" si="63"/>
        <v>0</v>
      </c>
      <c r="AX141" s="2209">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4"/>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9">
        <f t="shared" si="62"/>
        <v>0</v>
      </c>
      <c r="AW142" s="2209">
        <f t="shared" si="63"/>
        <v>0</v>
      </c>
      <c r="AX142" s="2209">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4"/>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9">
        <f t="shared" si="62"/>
        <v>0</v>
      </c>
      <c r="AW143" s="2209">
        <f t="shared" si="63"/>
        <v>0</v>
      </c>
      <c r="AX143" s="2209">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4"/>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9">
        <f t="shared" si="62"/>
        <v>0</v>
      </c>
      <c r="AW144" s="2209">
        <f t="shared" si="63"/>
        <v>0</v>
      </c>
      <c r="AX144" s="2209">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4"/>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9">
        <f t="shared" ref="AV145:AV176" si="91">A145</f>
        <v>0</v>
      </c>
      <c r="AW145" s="2209">
        <f t="shared" ref="AW145:AW176" si="92">B145</f>
        <v>0</v>
      </c>
      <c r="AX145" s="2209">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4"/>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9">
        <f t="shared" si="91"/>
        <v>0</v>
      </c>
      <c r="AW146" s="2209">
        <f t="shared" si="92"/>
        <v>0</v>
      </c>
      <c r="AX146" s="2209">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4"/>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9">
        <f t="shared" si="91"/>
        <v>0</v>
      </c>
      <c r="AW147" s="2209">
        <f t="shared" si="92"/>
        <v>0</v>
      </c>
      <c r="AX147" s="2209">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4"/>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9">
        <f t="shared" si="91"/>
        <v>0</v>
      </c>
      <c r="AW148" s="2209">
        <f t="shared" si="92"/>
        <v>0</v>
      </c>
      <c r="AX148" s="2209">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4"/>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9">
        <f t="shared" si="91"/>
        <v>0</v>
      </c>
      <c r="AW149" s="2209">
        <f t="shared" si="92"/>
        <v>0</v>
      </c>
      <c r="AX149" s="2209">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4"/>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9">
        <f t="shared" si="91"/>
        <v>0</v>
      </c>
      <c r="AW150" s="2209">
        <f t="shared" si="92"/>
        <v>0</v>
      </c>
      <c r="AX150" s="2209">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4"/>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9">
        <f t="shared" si="91"/>
        <v>0</v>
      </c>
      <c r="AW151" s="2209">
        <f t="shared" si="92"/>
        <v>0</v>
      </c>
      <c r="AX151" s="2209">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4"/>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9">
        <f t="shared" si="91"/>
        <v>0</v>
      </c>
      <c r="AW152" s="2209">
        <f t="shared" si="92"/>
        <v>0</v>
      </c>
      <c r="AX152" s="2209">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4"/>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9">
        <f t="shared" si="91"/>
        <v>0</v>
      </c>
      <c r="AW153" s="2209">
        <f t="shared" si="92"/>
        <v>0</v>
      </c>
      <c r="AX153" s="2209">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4"/>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9">
        <f t="shared" si="91"/>
        <v>0</v>
      </c>
      <c r="AW154" s="2209">
        <f t="shared" si="92"/>
        <v>0</v>
      </c>
      <c r="AX154" s="2209">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4"/>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9">
        <f t="shared" si="91"/>
        <v>0</v>
      </c>
      <c r="AW155" s="2209">
        <f t="shared" si="92"/>
        <v>0</v>
      </c>
      <c r="AX155" s="2209">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4"/>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9">
        <f t="shared" si="91"/>
        <v>0</v>
      </c>
      <c r="AW156" s="2209">
        <f t="shared" si="92"/>
        <v>0</v>
      </c>
      <c r="AX156" s="2209">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4"/>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9">
        <f t="shared" si="91"/>
        <v>0</v>
      </c>
      <c r="AW157" s="2209">
        <f t="shared" si="92"/>
        <v>0</v>
      </c>
      <c r="AX157" s="2209">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4"/>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9">
        <f t="shared" si="91"/>
        <v>0</v>
      </c>
      <c r="AW158" s="2209">
        <f t="shared" si="92"/>
        <v>0</v>
      </c>
      <c r="AX158" s="2209">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4"/>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9">
        <f t="shared" si="91"/>
        <v>0</v>
      </c>
      <c r="AW159" s="2209">
        <f t="shared" si="92"/>
        <v>0</v>
      </c>
      <c r="AX159" s="2209">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4"/>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9">
        <f t="shared" si="91"/>
        <v>0</v>
      </c>
      <c r="AW160" s="2209">
        <f t="shared" si="92"/>
        <v>0</v>
      </c>
      <c r="AX160" s="2209">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4"/>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9">
        <f t="shared" si="91"/>
        <v>0</v>
      </c>
      <c r="AW161" s="2209">
        <f t="shared" si="92"/>
        <v>0</v>
      </c>
      <c r="AX161" s="2209">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4"/>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9">
        <f t="shared" si="91"/>
        <v>0</v>
      </c>
      <c r="AW162" s="2209">
        <f t="shared" si="92"/>
        <v>0</v>
      </c>
      <c r="AX162" s="2209">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4"/>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9">
        <f t="shared" si="91"/>
        <v>0</v>
      </c>
      <c r="AW163" s="2209">
        <f t="shared" si="92"/>
        <v>0</v>
      </c>
      <c r="AX163" s="2209">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4"/>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9">
        <f t="shared" si="91"/>
        <v>0</v>
      </c>
      <c r="AW164" s="2209">
        <f t="shared" si="92"/>
        <v>0</v>
      </c>
      <c r="AX164" s="2209">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4"/>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9">
        <f t="shared" si="91"/>
        <v>0</v>
      </c>
      <c r="AW165" s="2209">
        <f t="shared" si="92"/>
        <v>0</v>
      </c>
      <c r="AX165" s="2209">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4"/>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9">
        <f t="shared" si="91"/>
        <v>0</v>
      </c>
      <c r="AW166" s="2209">
        <f t="shared" si="92"/>
        <v>0</v>
      </c>
      <c r="AX166" s="2209">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4"/>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9">
        <f t="shared" si="91"/>
        <v>0</v>
      </c>
      <c r="AW167" s="2209">
        <f t="shared" si="92"/>
        <v>0</v>
      </c>
      <c r="AX167" s="2209">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4"/>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9">
        <f t="shared" si="91"/>
        <v>0</v>
      </c>
      <c r="AW168" s="2209">
        <f t="shared" si="92"/>
        <v>0</v>
      </c>
      <c r="AX168" s="2209">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4"/>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9">
        <f t="shared" si="91"/>
        <v>0</v>
      </c>
      <c r="AW169" s="2209">
        <f t="shared" si="92"/>
        <v>0</v>
      </c>
      <c r="AX169" s="2209">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4"/>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9">
        <f t="shared" si="91"/>
        <v>0</v>
      </c>
      <c r="AW170" s="2209">
        <f t="shared" si="92"/>
        <v>0</v>
      </c>
      <c r="AX170" s="2209">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4"/>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9">
        <f t="shared" si="91"/>
        <v>0</v>
      </c>
      <c r="AW171" s="2209">
        <f t="shared" si="92"/>
        <v>0</v>
      </c>
      <c r="AX171" s="2209">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4"/>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9">
        <f t="shared" si="91"/>
        <v>0</v>
      </c>
      <c r="AW172" s="2209">
        <f t="shared" si="92"/>
        <v>0</v>
      </c>
      <c r="AX172" s="2209">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4"/>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9">
        <f t="shared" si="91"/>
        <v>0</v>
      </c>
      <c r="AW173" s="2209">
        <f t="shared" si="92"/>
        <v>0</v>
      </c>
      <c r="AX173" s="2209">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4"/>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9">
        <f t="shared" si="91"/>
        <v>0</v>
      </c>
      <c r="AW174" s="2209">
        <f t="shared" si="92"/>
        <v>0</v>
      </c>
      <c r="AX174" s="2209">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4"/>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9">
        <f t="shared" si="91"/>
        <v>0</v>
      </c>
      <c r="AW175" s="2209">
        <f t="shared" si="92"/>
        <v>0</v>
      </c>
      <c r="AX175" s="2209">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4"/>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9">
        <f t="shared" si="91"/>
        <v>0</v>
      </c>
      <c r="AW176" s="2209">
        <f t="shared" si="92"/>
        <v>0</v>
      </c>
      <c r="AX176" s="2209">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4"/>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9">
        <f t="shared" ref="AV177:AV207" si="120">A177</f>
        <v>0</v>
      </c>
      <c r="AW177" s="2209">
        <f t="shared" ref="AW177:AW207" si="121">B177</f>
        <v>0</v>
      </c>
      <c r="AX177" s="2209">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4"/>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9">
        <f t="shared" si="120"/>
        <v>0</v>
      </c>
      <c r="AW178" s="2209">
        <f t="shared" si="121"/>
        <v>0</v>
      </c>
      <c r="AX178" s="2209">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4"/>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9">
        <f t="shared" si="120"/>
        <v>0</v>
      </c>
      <c r="AW179" s="2209">
        <f t="shared" si="121"/>
        <v>0</v>
      </c>
      <c r="AX179" s="2209">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4"/>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9">
        <f t="shared" si="120"/>
        <v>0</v>
      </c>
      <c r="AW180" s="2209">
        <f t="shared" si="121"/>
        <v>0</v>
      </c>
      <c r="AX180" s="2209">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4"/>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9">
        <f t="shared" si="120"/>
        <v>0</v>
      </c>
      <c r="AW181" s="2209">
        <f t="shared" si="121"/>
        <v>0</v>
      </c>
      <c r="AX181" s="2209">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4"/>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9">
        <f t="shared" si="120"/>
        <v>0</v>
      </c>
      <c r="AW182" s="2209">
        <f t="shared" si="121"/>
        <v>0</v>
      </c>
      <c r="AX182" s="2209">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4"/>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9">
        <f t="shared" si="120"/>
        <v>0</v>
      </c>
      <c r="AW183" s="2209">
        <f t="shared" si="121"/>
        <v>0</v>
      </c>
      <c r="AX183" s="2209">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4"/>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9">
        <f t="shared" si="120"/>
        <v>0</v>
      </c>
      <c r="AW184" s="2209">
        <f t="shared" si="121"/>
        <v>0</v>
      </c>
      <c r="AX184" s="2209">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4"/>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9">
        <f t="shared" si="120"/>
        <v>0</v>
      </c>
      <c r="AW185" s="2209">
        <f t="shared" si="121"/>
        <v>0</v>
      </c>
      <c r="AX185" s="2209">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4"/>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9">
        <f t="shared" si="120"/>
        <v>0</v>
      </c>
      <c r="AW186" s="2209">
        <f t="shared" si="121"/>
        <v>0</v>
      </c>
      <c r="AX186" s="2209">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4"/>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9">
        <f t="shared" si="120"/>
        <v>0</v>
      </c>
      <c r="AW187" s="2209">
        <f t="shared" si="121"/>
        <v>0</v>
      </c>
      <c r="AX187" s="2209">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4"/>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9">
        <f t="shared" si="120"/>
        <v>0</v>
      </c>
      <c r="AW188" s="2209">
        <f t="shared" si="121"/>
        <v>0</v>
      </c>
      <c r="AX188" s="2209">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4"/>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9">
        <f t="shared" si="120"/>
        <v>0</v>
      </c>
      <c r="AW189" s="2209">
        <f t="shared" si="121"/>
        <v>0</v>
      </c>
      <c r="AX189" s="2209">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4"/>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9">
        <f t="shared" si="120"/>
        <v>0</v>
      </c>
      <c r="AW190" s="2209">
        <f t="shared" si="121"/>
        <v>0</v>
      </c>
      <c r="AX190" s="2209">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4"/>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9">
        <f t="shared" si="120"/>
        <v>0</v>
      </c>
      <c r="AW191" s="2209">
        <f t="shared" si="121"/>
        <v>0</v>
      </c>
      <c r="AX191" s="2209">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4"/>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9">
        <f t="shared" si="120"/>
        <v>0</v>
      </c>
      <c r="AW192" s="2209">
        <f t="shared" si="121"/>
        <v>0</v>
      </c>
      <c r="AX192" s="2209">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4"/>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9">
        <f t="shared" si="120"/>
        <v>0</v>
      </c>
      <c r="AW193" s="2209">
        <f t="shared" si="121"/>
        <v>0</v>
      </c>
      <c r="AX193" s="2209">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4"/>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9">
        <f t="shared" si="120"/>
        <v>0</v>
      </c>
      <c r="AW194" s="2209">
        <f t="shared" si="121"/>
        <v>0</v>
      </c>
      <c r="AX194" s="2209">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4"/>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9">
        <f t="shared" si="120"/>
        <v>0</v>
      </c>
      <c r="AW195" s="2209">
        <f t="shared" si="121"/>
        <v>0</v>
      </c>
      <c r="AX195" s="2209">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4"/>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9">
        <f t="shared" si="120"/>
        <v>0</v>
      </c>
      <c r="AW196" s="2209">
        <f t="shared" si="121"/>
        <v>0</v>
      </c>
      <c r="AX196" s="2209">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4"/>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9">
        <f t="shared" si="120"/>
        <v>0</v>
      </c>
      <c r="AW197" s="2209">
        <f t="shared" si="121"/>
        <v>0</v>
      </c>
      <c r="AX197" s="2209">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4"/>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9">
        <f t="shared" si="120"/>
        <v>0</v>
      </c>
      <c r="AW198" s="2209">
        <f t="shared" si="121"/>
        <v>0</v>
      </c>
      <c r="AX198" s="2209">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4"/>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9">
        <f t="shared" si="120"/>
        <v>0</v>
      </c>
      <c r="AW199" s="2209">
        <f t="shared" si="121"/>
        <v>0</v>
      </c>
      <c r="AX199" s="2209">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4"/>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9">
        <f t="shared" si="120"/>
        <v>0</v>
      </c>
      <c r="AW200" s="2209">
        <f t="shared" si="121"/>
        <v>0</v>
      </c>
      <c r="AX200" s="2209">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4"/>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9">
        <f t="shared" si="120"/>
        <v>0</v>
      </c>
      <c r="AW201" s="2209">
        <f t="shared" si="121"/>
        <v>0</v>
      </c>
      <c r="AX201" s="2209">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4"/>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9">
        <f t="shared" si="120"/>
        <v>0</v>
      </c>
      <c r="AW202" s="2209">
        <f t="shared" si="121"/>
        <v>0</v>
      </c>
      <c r="AX202" s="2209">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4"/>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9">
        <f t="shared" si="120"/>
        <v>0</v>
      </c>
      <c r="AW203" s="2209">
        <f t="shared" si="121"/>
        <v>0</v>
      </c>
      <c r="AX203" s="2209">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4"/>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9">
        <f t="shared" si="120"/>
        <v>0</v>
      </c>
      <c r="AW204" s="2209">
        <f t="shared" si="121"/>
        <v>0</v>
      </c>
      <c r="AX204" s="2209">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4"/>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9">
        <f t="shared" si="120"/>
        <v>0</v>
      </c>
      <c r="AW205" s="2209">
        <f t="shared" si="121"/>
        <v>0</v>
      </c>
      <c r="AX205" s="2209">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4"/>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9">
        <f t="shared" si="120"/>
        <v>0</v>
      </c>
      <c r="AW206" s="2209">
        <f t="shared" si="121"/>
        <v>0</v>
      </c>
      <c r="AX206" s="2209">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4"/>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9">
        <f t="shared" si="120"/>
        <v>0</v>
      </c>
      <c r="AW207" s="2209">
        <f t="shared" si="121"/>
        <v>0</v>
      </c>
      <c r="AX207" s="2209">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4"/>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9">
        <f t="shared" ref="AV208:AV302" si="127">A208</f>
        <v>0</v>
      </c>
      <c r="AW208" s="2209">
        <f t="shared" ref="AW208:AW302" si="128">B208</f>
        <v>0</v>
      </c>
      <c r="AX208" s="2209">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4"/>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9">
        <f t="shared" si="127"/>
        <v>0</v>
      </c>
      <c r="AW209" s="2209">
        <f t="shared" si="128"/>
        <v>0</v>
      </c>
      <c r="AX209" s="2209">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4"/>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9">
        <f t="shared" si="127"/>
        <v>0</v>
      </c>
      <c r="AW210" s="2209">
        <f t="shared" si="128"/>
        <v>0</v>
      </c>
      <c r="AX210" s="2209">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4"/>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9">
        <f t="shared" si="127"/>
        <v>0</v>
      </c>
      <c r="AW211" s="2209">
        <f t="shared" si="128"/>
        <v>0</v>
      </c>
      <c r="AX211" s="2209">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4"/>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9">
        <f t="shared" si="127"/>
        <v>0</v>
      </c>
      <c r="AW212" s="2209">
        <f t="shared" si="128"/>
        <v>0</v>
      </c>
      <c r="AX212" s="2209">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4"/>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9">
        <f t="shared" si="127"/>
        <v>0</v>
      </c>
      <c r="AW213" s="2209">
        <f t="shared" si="128"/>
        <v>0</v>
      </c>
      <c r="AX213" s="2209">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4"/>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9">
        <f t="shared" si="127"/>
        <v>0</v>
      </c>
      <c r="AW214" s="2209">
        <f t="shared" si="128"/>
        <v>0</v>
      </c>
      <c r="AX214" s="2209">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4"/>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9">
        <f t="shared" si="127"/>
        <v>0</v>
      </c>
      <c r="AW215" s="2209">
        <f t="shared" si="128"/>
        <v>0</v>
      </c>
      <c r="AX215" s="2209">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4"/>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9">
        <f t="shared" si="127"/>
        <v>0</v>
      </c>
      <c r="AW216" s="2209">
        <f t="shared" si="128"/>
        <v>0</v>
      </c>
      <c r="AX216" s="2209">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4"/>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9">
        <f t="shared" si="127"/>
        <v>0</v>
      </c>
      <c r="AW217" s="2209">
        <f t="shared" si="128"/>
        <v>0</v>
      </c>
      <c r="AX217" s="2209">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4"/>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9">
        <f t="shared" si="127"/>
        <v>0</v>
      </c>
      <c r="AW218" s="2209">
        <f t="shared" si="128"/>
        <v>0</v>
      </c>
      <c r="AX218" s="2209">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4"/>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9">
        <f t="shared" si="127"/>
        <v>0</v>
      </c>
      <c r="AW219" s="2209">
        <f t="shared" si="128"/>
        <v>0</v>
      </c>
      <c r="AX219" s="2209">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4"/>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9">
        <f t="shared" si="127"/>
        <v>0</v>
      </c>
      <c r="AW220" s="2209">
        <f t="shared" si="128"/>
        <v>0</v>
      </c>
      <c r="AX220" s="2209">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4"/>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9">
        <f t="shared" si="127"/>
        <v>0</v>
      </c>
      <c r="AW221" s="2209">
        <f t="shared" si="128"/>
        <v>0</v>
      </c>
      <c r="AX221" s="2209">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4"/>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9">
        <f t="shared" si="127"/>
        <v>0</v>
      </c>
      <c r="AW222" s="2209">
        <f t="shared" si="128"/>
        <v>0</v>
      </c>
      <c r="AX222" s="2209">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4"/>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9">
        <f t="shared" si="127"/>
        <v>0</v>
      </c>
      <c r="AW223" s="2209">
        <f t="shared" si="128"/>
        <v>0</v>
      </c>
      <c r="AX223" s="2209">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4"/>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9">
        <f t="shared" si="127"/>
        <v>0</v>
      </c>
      <c r="AW224" s="2209">
        <f t="shared" si="128"/>
        <v>0</v>
      </c>
      <c r="AX224" s="2209">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4"/>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9">
        <f t="shared" si="127"/>
        <v>0</v>
      </c>
      <c r="AW225" s="2209">
        <f t="shared" si="128"/>
        <v>0</v>
      </c>
      <c r="AX225" s="2209">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4"/>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9">
        <f t="shared" si="127"/>
        <v>0</v>
      </c>
      <c r="AW226" s="2209">
        <f t="shared" si="128"/>
        <v>0</v>
      </c>
      <c r="AX226" s="2209">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4"/>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9">
        <f t="shared" si="127"/>
        <v>0</v>
      </c>
      <c r="AW227" s="2209">
        <f t="shared" si="128"/>
        <v>0</v>
      </c>
      <c r="AX227" s="2209">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4"/>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9">
        <f t="shared" si="127"/>
        <v>0</v>
      </c>
      <c r="AW228" s="2209">
        <f t="shared" si="128"/>
        <v>0</v>
      </c>
      <c r="AX228" s="2209">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4"/>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9">
        <f t="shared" si="127"/>
        <v>0</v>
      </c>
      <c r="AW229" s="2209">
        <f t="shared" si="128"/>
        <v>0</v>
      </c>
      <c r="AX229" s="2209">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4"/>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9">
        <f t="shared" si="127"/>
        <v>0</v>
      </c>
      <c r="AW230" s="2209">
        <f t="shared" si="128"/>
        <v>0</v>
      </c>
      <c r="AX230" s="2209">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4"/>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9">
        <f t="shared" si="127"/>
        <v>0</v>
      </c>
      <c r="AW231" s="2209">
        <f t="shared" si="128"/>
        <v>0</v>
      </c>
      <c r="AX231" s="2209">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4"/>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9">
        <f t="shared" si="127"/>
        <v>0</v>
      </c>
      <c r="AW232" s="2209">
        <f t="shared" si="128"/>
        <v>0</v>
      </c>
      <c r="AX232" s="2209">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4"/>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9">
        <f t="shared" si="127"/>
        <v>0</v>
      </c>
      <c r="AW233" s="2209">
        <f t="shared" si="128"/>
        <v>0</v>
      </c>
      <c r="AX233" s="2209">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4"/>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9">
        <f t="shared" si="127"/>
        <v>0</v>
      </c>
      <c r="AW234" s="2209">
        <f t="shared" si="128"/>
        <v>0</v>
      </c>
      <c r="AX234" s="2209">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4"/>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9">
        <f t="shared" si="127"/>
        <v>0</v>
      </c>
      <c r="AW235" s="2209">
        <f t="shared" si="128"/>
        <v>0</v>
      </c>
      <c r="AX235" s="2209">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4"/>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9">
        <f t="shared" si="127"/>
        <v>0</v>
      </c>
      <c r="AW236" s="2209">
        <f t="shared" si="128"/>
        <v>0</v>
      </c>
      <c r="AX236" s="2209">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4"/>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9">
        <f t="shared" si="127"/>
        <v>0</v>
      </c>
      <c r="AW237" s="2209">
        <f t="shared" si="128"/>
        <v>0</v>
      </c>
      <c r="AX237" s="2209">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4"/>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9">
        <f t="shared" si="127"/>
        <v>0</v>
      </c>
      <c r="AW238" s="2209">
        <f t="shared" si="128"/>
        <v>0</v>
      </c>
      <c r="AX238" s="2209">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4"/>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9">
        <f t="shared" si="127"/>
        <v>0</v>
      </c>
      <c r="AW239" s="2209">
        <f t="shared" si="128"/>
        <v>0</v>
      </c>
      <c r="AX239" s="2209">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4"/>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9">
        <f t="shared" si="127"/>
        <v>0</v>
      </c>
      <c r="AW240" s="2209">
        <f t="shared" si="128"/>
        <v>0</v>
      </c>
      <c r="AX240" s="2209">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4"/>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9">
        <f t="shared" si="127"/>
        <v>0</v>
      </c>
      <c r="AW241" s="2209">
        <f t="shared" si="128"/>
        <v>0</v>
      </c>
      <c r="AX241" s="2209">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4"/>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9">
        <f t="shared" si="127"/>
        <v>0</v>
      </c>
      <c r="AW242" s="2209">
        <f t="shared" si="128"/>
        <v>0</v>
      </c>
      <c r="AX242" s="2209">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4"/>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9">
        <f t="shared" si="127"/>
        <v>0</v>
      </c>
      <c r="AW243" s="2209">
        <f t="shared" si="128"/>
        <v>0</v>
      </c>
      <c r="AX243" s="2209">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4"/>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9">
        <f t="shared" si="127"/>
        <v>0</v>
      </c>
      <c r="AW244" s="2209">
        <f t="shared" si="128"/>
        <v>0</v>
      </c>
      <c r="AX244" s="2209">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4"/>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9">
        <f t="shared" si="127"/>
        <v>0</v>
      </c>
      <c r="AW245" s="2209">
        <f t="shared" si="128"/>
        <v>0</v>
      </c>
      <c r="AX245" s="2209">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4"/>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9">
        <f t="shared" si="127"/>
        <v>0</v>
      </c>
      <c r="AW246" s="2209">
        <f t="shared" si="128"/>
        <v>0</v>
      </c>
      <c r="AX246" s="2209">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4"/>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9">
        <f t="shared" si="127"/>
        <v>0</v>
      </c>
      <c r="AW247" s="2209">
        <f t="shared" si="128"/>
        <v>0</v>
      </c>
      <c r="AX247" s="2209">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4"/>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9">
        <f t="shared" si="127"/>
        <v>0</v>
      </c>
      <c r="AW248" s="2209">
        <f t="shared" si="128"/>
        <v>0</v>
      </c>
      <c r="AX248" s="2209">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4"/>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9">
        <f t="shared" si="127"/>
        <v>0</v>
      </c>
      <c r="AW249" s="2209">
        <f t="shared" si="128"/>
        <v>0</v>
      </c>
      <c r="AX249" s="2209">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4"/>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9">
        <f t="shared" si="127"/>
        <v>0</v>
      </c>
      <c r="AW250" s="2209">
        <f t="shared" si="128"/>
        <v>0</v>
      </c>
      <c r="AX250" s="2209">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4"/>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9">
        <f t="shared" si="127"/>
        <v>0</v>
      </c>
      <c r="AW251" s="2209">
        <f t="shared" si="128"/>
        <v>0</v>
      </c>
      <c r="AX251" s="2209">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4"/>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9">
        <f t="shared" si="127"/>
        <v>0</v>
      </c>
      <c r="AW252" s="2209">
        <f t="shared" si="128"/>
        <v>0</v>
      </c>
      <c r="AX252" s="2209">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4"/>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9">
        <f t="shared" si="127"/>
        <v>0</v>
      </c>
      <c r="AW253" s="2209">
        <f t="shared" si="128"/>
        <v>0</v>
      </c>
      <c r="AX253" s="2209">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4"/>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9">
        <f t="shared" si="127"/>
        <v>0</v>
      </c>
      <c r="AW254" s="2209">
        <f t="shared" si="128"/>
        <v>0</v>
      </c>
      <c r="AX254" s="2209">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4"/>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9">
        <f t="shared" si="127"/>
        <v>0</v>
      </c>
      <c r="AW255" s="2209">
        <f t="shared" si="128"/>
        <v>0</v>
      </c>
      <c r="AX255" s="2209">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4"/>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9">
        <f t="shared" si="127"/>
        <v>0</v>
      </c>
      <c r="AW256" s="2209">
        <f t="shared" si="128"/>
        <v>0</v>
      </c>
      <c r="AX256" s="2209">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4"/>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9">
        <f t="shared" si="127"/>
        <v>0</v>
      </c>
      <c r="AW257" s="2209">
        <f t="shared" si="128"/>
        <v>0</v>
      </c>
      <c r="AX257" s="2209">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4"/>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9">
        <f t="shared" si="127"/>
        <v>0</v>
      </c>
      <c r="AW258" s="2209">
        <f t="shared" si="128"/>
        <v>0</v>
      </c>
      <c r="AX258" s="2209">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4"/>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9">
        <f t="shared" si="127"/>
        <v>0</v>
      </c>
      <c r="AW259" s="2209">
        <f t="shared" si="128"/>
        <v>0</v>
      </c>
      <c r="AX259" s="2209">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4"/>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9">
        <f t="shared" si="127"/>
        <v>0</v>
      </c>
      <c r="AW260" s="2209">
        <f t="shared" si="128"/>
        <v>0</v>
      </c>
      <c r="AX260" s="2209">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4"/>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9">
        <f t="shared" si="127"/>
        <v>0</v>
      </c>
      <c r="AW261" s="2209">
        <f t="shared" si="128"/>
        <v>0</v>
      </c>
      <c r="AX261" s="2209">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4"/>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9">
        <f t="shared" si="127"/>
        <v>0</v>
      </c>
      <c r="AW262" s="2209">
        <f t="shared" si="128"/>
        <v>0</v>
      </c>
      <c r="AX262" s="2209">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4"/>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9">
        <f t="shared" si="127"/>
        <v>0</v>
      </c>
      <c r="AW263" s="2209">
        <f t="shared" si="128"/>
        <v>0</v>
      </c>
      <c r="AX263" s="2209">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4"/>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9">
        <f t="shared" si="127"/>
        <v>0</v>
      </c>
      <c r="AW264" s="2209">
        <f t="shared" si="128"/>
        <v>0</v>
      </c>
      <c r="AX264" s="2209">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4"/>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9">
        <f t="shared" si="127"/>
        <v>0</v>
      </c>
      <c r="AW265" s="2209">
        <f t="shared" si="128"/>
        <v>0</v>
      </c>
      <c r="AX265" s="2209">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4"/>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9">
        <f t="shared" si="127"/>
        <v>0</v>
      </c>
      <c r="AW266" s="2209">
        <f t="shared" si="128"/>
        <v>0</v>
      </c>
      <c r="AX266" s="2209">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4"/>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9">
        <f t="shared" si="127"/>
        <v>0</v>
      </c>
      <c r="AW267" s="2209">
        <f t="shared" si="128"/>
        <v>0</v>
      </c>
      <c r="AX267" s="2209">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4"/>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9">
        <f t="shared" si="127"/>
        <v>0</v>
      </c>
      <c r="AW268" s="2209">
        <f t="shared" si="128"/>
        <v>0</v>
      </c>
      <c r="AX268" s="2209">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4"/>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9">
        <f t="shared" si="127"/>
        <v>0</v>
      </c>
      <c r="AW269" s="2209">
        <f t="shared" si="128"/>
        <v>0</v>
      </c>
      <c r="AX269" s="2209">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4"/>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9">
        <f t="shared" si="127"/>
        <v>0</v>
      </c>
      <c r="AW270" s="2209">
        <f t="shared" si="128"/>
        <v>0</v>
      </c>
      <c r="AX270" s="2209">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4"/>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9">
        <f t="shared" si="127"/>
        <v>0</v>
      </c>
      <c r="AW271" s="2209">
        <f t="shared" si="128"/>
        <v>0</v>
      </c>
      <c r="AX271" s="2209">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4"/>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9">
        <f t="shared" si="127"/>
        <v>0</v>
      </c>
      <c r="AW272" s="2209">
        <f t="shared" si="128"/>
        <v>0</v>
      </c>
      <c r="AX272" s="2209">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4"/>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9">
        <f t="shared" si="127"/>
        <v>0</v>
      </c>
      <c r="AW273" s="2209">
        <f t="shared" si="128"/>
        <v>0</v>
      </c>
      <c r="AX273" s="2209">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4"/>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9">
        <f t="shared" si="127"/>
        <v>0</v>
      </c>
      <c r="AW274" s="2209">
        <f t="shared" si="128"/>
        <v>0</v>
      </c>
      <c r="AX274" s="2209">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4"/>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9">
        <f t="shared" si="127"/>
        <v>0</v>
      </c>
      <c r="AW275" s="2209">
        <f t="shared" si="128"/>
        <v>0</v>
      </c>
      <c r="AX275" s="2209">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4"/>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9">
        <f t="shared" si="127"/>
        <v>0</v>
      </c>
      <c r="AW276" s="2209">
        <f t="shared" si="128"/>
        <v>0</v>
      </c>
      <c r="AX276" s="2209">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4"/>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9">
        <f t="shared" si="127"/>
        <v>0</v>
      </c>
      <c r="AW277" s="2209">
        <f t="shared" si="128"/>
        <v>0</v>
      </c>
      <c r="AX277" s="2209">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4"/>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9">
        <f t="shared" si="127"/>
        <v>0</v>
      </c>
      <c r="AW278" s="2209">
        <f t="shared" si="128"/>
        <v>0</v>
      </c>
      <c r="AX278" s="2209">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4"/>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9">
        <f t="shared" si="127"/>
        <v>0</v>
      </c>
      <c r="AW279" s="2209">
        <f t="shared" si="128"/>
        <v>0</v>
      </c>
      <c r="AX279" s="2209">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4"/>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9">
        <f t="shared" si="127"/>
        <v>0</v>
      </c>
      <c r="AW280" s="2209">
        <f t="shared" si="128"/>
        <v>0</v>
      </c>
      <c r="AX280" s="2209">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4"/>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9">
        <f t="shared" si="127"/>
        <v>0</v>
      </c>
      <c r="AW281" s="2209">
        <f t="shared" si="128"/>
        <v>0</v>
      </c>
      <c r="AX281" s="2209">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4"/>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9">
        <f t="shared" si="127"/>
        <v>0</v>
      </c>
      <c r="AW282" s="2209">
        <f t="shared" si="128"/>
        <v>0</v>
      </c>
      <c r="AX282" s="2209">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4"/>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9">
        <f t="shared" si="127"/>
        <v>0</v>
      </c>
      <c r="AW283" s="2209">
        <f t="shared" si="128"/>
        <v>0</v>
      </c>
      <c r="AX283" s="2209">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4"/>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9">
        <f t="shared" si="127"/>
        <v>0</v>
      </c>
      <c r="AW284" s="2209">
        <f t="shared" si="128"/>
        <v>0</v>
      </c>
      <c r="AX284" s="2209">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4"/>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9">
        <f t="shared" si="127"/>
        <v>0</v>
      </c>
      <c r="AW285" s="2209">
        <f t="shared" si="128"/>
        <v>0</v>
      </c>
      <c r="AX285" s="2209">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4"/>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9">
        <f t="shared" si="127"/>
        <v>0</v>
      </c>
      <c r="AW286" s="2209">
        <f t="shared" si="128"/>
        <v>0</v>
      </c>
      <c r="AX286" s="2209">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4"/>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9">
        <f t="shared" si="127"/>
        <v>0</v>
      </c>
      <c r="AW287" s="2209">
        <f t="shared" si="128"/>
        <v>0</v>
      </c>
      <c r="AX287" s="2209">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4"/>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9">
        <f t="shared" si="127"/>
        <v>0</v>
      </c>
      <c r="AW288" s="2209">
        <f t="shared" si="128"/>
        <v>0</v>
      </c>
      <c r="AX288" s="2209">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4"/>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9">
        <f t="shared" si="127"/>
        <v>0</v>
      </c>
      <c r="AW289" s="2209">
        <f t="shared" si="128"/>
        <v>0</v>
      </c>
      <c r="AX289" s="2209">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4"/>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9">
        <f t="shared" si="127"/>
        <v>0</v>
      </c>
      <c r="AW290" s="2209">
        <f t="shared" si="128"/>
        <v>0</v>
      </c>
      <c r="AX290" s="2209">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4"/>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9">
        <f t="shared" si="127"/>
        <v>0</v>
      </c>
      <c r="AW291" s="2209">
        <f t="shared" si="128"/>
        <v>0</v>
      </c>
      <c r="AX291" s="2209">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4"/>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9">
        <f t="shared" si="127"/>
        <v>0</v>
      </c>
      <c r="AW292" s="2209">
        <f t="shared" si="128"/>
        <v>0</v>
      </c>
      <c r="AX292" s="2209">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4"/>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9">
        <f t="shared" si="127"/>
        <v>0</v>
      </c>
      <c r="AW293" s="2209">
        <f t="shared" si="128"/>
        <v>0</v>
      </c>
      <c r="AX293" s="2209">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4"/>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9">
        <f t="shared" si="127"/>
        <v>0</v>
      </c>
      <c r="AW294" s="2209">
        <f t="shared" si="128"/>
        <v>0</v>
      </c>
      <c r="AX294" s="2209">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4"/>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9">
        <f t="shared" si="127"/>
        <v>0</v>
      </c>
      <c r="AW295" s="2209">
        <f t="shared" si="128"/>
        <v>0</v>
      </c>
      <c r="AX295" s="2209">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4"/>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9">
        <f t="shared" si="127"/>
        <v>0</v>
      </c>
      <c r="AW296" s="2209">
        <f t="shared" si="128"/>
        <v>0</v>
      </c>
      <c r="AX296" s="2209">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4"/>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9">
        <f t="shared" si="127"/>
        <v>0</v>
      </c>
      <c r="AW297" s="2209">
        <f t="shared" si="128"/>
        <v>0</v>
      </c>
      <c r="AX297" s="2209">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4"/>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9">
        <f t="shared" si="127"/>
        <v>0</v>
      </c>
      <c r="AW298" s="2209">
        <f t="shared" si="128"/>
        <v>0</v>
      </c>
      <c r="AX298" s="2209">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4"/>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9">
        <f t="shared" si="127"/>
        <v>0</v>
      </c>
      <c r="AW299" s="2209">
        <f t="shared" si="128"/>
        <v>0</v>
      </c>
      <c r="AX299" s="2209">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4"/>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9">
        <f t="shared" si="127"/>
        <v>0</v>
      </c>
      <c r="AW300" s="2209">
        <f t="shared" si="128"/>
        <v>0</v>
      </c>
      <c r="AX300" s="2209">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4"/>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9">
        <f t="shared" si="127"/>
        <v>0</v>
      </c>
      <c r="AW301" s="2209">
        <f t="shared" si="128"/>
        <v>0</v>
      </c>
      <c r="AX301" s="2209">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4"/>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9">
        <f t="shared" si="127"/>
        <v>0</v>
      </c>
      <c r="AW302" s="2209">
        <f t="shared" si="128"/>
        <v>0</v>
      </c>
      <c r="AX302" s="2209">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4"/>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9">
        <f t="shared" ref="AV303:AV334" si="178">A303</f>
        <v>0</v>
      </c>
      <c r="AW303" s="2209">
        <f t="shared" ref="AW303:AW334" si="179">B303</f>
        <v>0</v>
      </c>
      <c r="AX303" s="2209">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4"/>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9">
        <f t="shared" si="178"/>
        <v>0</v>
      </c>
      <c r="AW304" s="2209">
        <f t="shared" si="179"/>
        <v>0</v>
      </c>
      <c r="AX304" s="2209">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4"/>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9">
        <f t="shared" si="178"/>
        <v>0</v>
      </c>
      <c r="AW305" s="2209">
        <f t="shared" si="179"/>
        <v>0</v>
      </c>
      <c r="AX305" s="2209">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4"/>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9">
        <f t="shared" si="178"/>
        <v>0</v>
      </c>
      <c r="AW306" s="2209">
        <f t="shared" si="179"/>
        <v>0</v>
      </c>
      <c r="AX306" s="2209">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4"/>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9">
        <f t="shared" si="178"/>
        <v>0</v>
      </c>
      <c r="AW307" s="2209">
        <f t="shared" si="179"/>
        <v>0</v>
      </c>
      <c r="AX307" s="2209">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4"/>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9">
        <f t="shared" si="178"/>
        <v>0</v>
      </c>
      <c r="AW308" s="2209">
        <f t="shared" si="179"/>
        <v>0</v>
      </c>
      <c r="AX308" s="2209">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4"/>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9">
        <f t="shared" si="178"/>
        <v>0</v>
      </c>
      <c r="AW309" s="2209">
        <f t="shared" si="179"/>
        <v>0</v>
      </c>
      <c r="AX309" s="2209">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4"/>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9">
        <f t="shared" si="178"/>
        <v>0</v>
      </c>
      <c r="AW310" s="2209">
        <f t="shared" si="179"/>
        <v>0</v>
      </c>
      <c r="AX310" s="2209">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4"/>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9">
        <f t="shared" si="178"/>
        <v>0</v>
      </c>
      <c r="AW311" s="2209">
        <f t="shared" si="179"/>
        <v>0</v>
      </c>
      <c r="AX311" s="2209">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4"/>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9">
        <f t="shared" si="178"/>
        <v>0</v>
      </c>
      <c r="AW312" s="2209">
        <f t="shared" si="179"/>
        <v>0</v>
      </c>
      <c r="AX312" s="2209">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4"/>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9">
        <f t="shared" si="178"/>
        <v>0</v>
      </c>
      <c r="AW313" s="2209">
        <f t="shared" si="179"/>
        <v>0</v>
      </c>
      <c r="AX313" s="2209">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4"/>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9">
        <f t="shared" si="178"/>
        <v>0</v>
      </c>
      <c r="AW314" s="2209">
        <f t="shared" si="179"/>
        <v>0</v>
      </c>
      <c r="AX314" s="2209">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4"/>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9">
        <f t="shared" si="178"/>
        <v>0</v>
      </c>
      <c r="AW315" s="2209">
        <f t="shared" si="179"/>
        <v>0</v>
      </c>
      <c r="AX315" s="2209">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4"/>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9">
        <f t="shared" si="178"/>
        <v>0</v>
      </c>
      <c r="AW316" s="2209">
        <f t="shared" si="179"/>
        <v>0</v>
      </c>
      <c r="AX316" s="2209">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4"/>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9">
        <f t="shared" si="178"/>
        <v>0</v>
      </c>
      <c r="AW317" s="2209">
        <f t="shared" si="179"/>
        <v>0</v>
      </c>
      <c r="AX317" s="2209">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4"/>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9">
        <f t="shared" si="178"/>
        <v>0</v>
      </c>
      <c r="AW318" s="2209">
        <f t="shared" si="179"/>
        <v>0</v>
      </c>
      <c r="AX318" s="2209">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4"/>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9">
        <f t="shared" si="178"/>
        <v>0</v>
      </c>
      <c r="AW319" s="2209">
        <f t="shared" si="179"/>
        <v>0</v>
      </c>
      <c r="AX319" s="2209">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4"/>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9">
        <f t="shared" si="178"/>
        <v>0</v>
      </c>
      <c r="AW320" s="2209">
        <f t="shared" si="179"/>
        <v>0</v>
      </c>
      <c r="AX320" s="2209">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4"/>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9">
        <f t="shared" si="178"/>
        <v>0</v>
      </c>
      <c r="AW321" s="2209">
        <f t="shared" si="179"/>
        <v>0</v>
      </c>
      <c r="AX321" s="2209">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4"/>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9">
        <f t="shared" si="178"/>
        <v>0</v>
      </c>
      <c r="AW322" s="2209">
        <f t="shared" si="179"/>
        <v>0</v>
      </c>
      <c r="AX322" s="2209">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4"/>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9">
        <f t="shared" si="178"/>
        <v>0</v>
      </c>
      <c r="AW323" s="2209">
        <f t="shared" si="179"/>
        <v>0</v>
      </c>
      <c r="AX323" s="2209">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4"/>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9">
        <f t="shared" si="178"/>
        <v>0</v>
      </c>
      <c r="AW324" s="2209">
        <f t="shared" si="179"/>
        <v>0</v>
      </c>
      <c r="AX324" s="2209">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4"/>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9">
        <f t="shared" si="178"/>
        <v>0</v>
      </c>
      <c r="AW325" s="2209">
        <f t="shared" si="179"/>
        <v>0</v>
      </c>
      <c r="AX325" s="2209">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4"/>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9">
        <f t="shared" si="178"/>
        <v>0</v>
      </c>
      <c r="AW326" s="2209">
        <f t="shared" si="179"/>
        <v>0</v>
      </c>
      <c r="AX326" s="2209">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4"/>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9">
        <f t="shared" si="178"/>
        <v>0</v>
      </c>
      <c r="AW327" s="2209">
        <f t="shared" si="179"/>
        <v>0</v>
      </c>
      <c r="AX327" s="2209">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4"/>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9">
        <f t="shared" si="178"/>
        <v>0</v>
      </c>
      <c r="AW328" s="2209">
        <f t="shared" si="179"/>
        <v>0</v>
      </c>
      <c r="AX328" s="2209">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4"/>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9">
        <f t="shared" si="178"/>
        <v>0</v>
      </c>
      <c r="AW329" s="2209">
        <f t="shared" si="179"/>
        <v>0</v>
      </c>
      <c r="AX329" s="2209">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4"/>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9">
        <f t="shared" si="178"/>
        <v>0</v>
      </c>
      <c r="AW330" s="2209">
        <f t="shared" si="179"/>
        <v>0</v>
      </c>
      <c r="AX330" s="2209">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4"/>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9">
        <f t="shared" si="178"/>
        <v>0</v>
      </c>
      <c r="AW331" s="2209">
        <f t="shared" si="179"/>
        <v>0</v>
      </c>
      <c r="AX331" s="2209">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4"/>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9">
        <f t="shared" si="178"/>
        <v>0</v>
      </c>
      <c r="AW332" s="2209">
        <f t="shared" si="179"/>
        <v>0</v>
      </c>
      <c r="AX332" s="2209">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4"/>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9">
        <f t="shared" si="178"/>
        <v>0</v>
      </c>
      <c r="AW333" s="2209">
        <f t="shared" si="179"/>
        <v>0</v>
      </c>
      <c r="AX333" s="2209">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4"/>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9">
        <f t="shared" si="178"/>
        <v>0</v>
      </c>
      <c r="AW334" s="2209">
        <f t="shared" si="179"/>
        <v>0</v>
      </c>
      <c r="AX334" s="2209">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4"/>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9">
        <f t="shared" ref="AV335:AV366" si="207">A335</f>
        <v>0</v>
      </c>
      <c r="AW335" s="2209">
        <f t="shared" ref="AW335:AW366" si="208">B335</f>
        <v>0</v>
      </c>
      <c r="AX335" s="2209">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4"/>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9">
        <f t="shared" si="207"/>
        <v>0</v>
      </c>
      <c r="AW336" s="2209">
        <f t="shared" si="208"/>
        <v>0</v>
      </c>
      <c r="AX336" s="2209">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4"/>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9">
        <f t="shared" si="207"/>
        <v>0</v>
      </c>
      <c r="AW337" s="2209">
        <f t="shared" si="208"/>
        <v>0</v>
      </c>
      <c r="AX337" s="2209">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4"/>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9">
        <f t="shared" si="207"/>
        <v>0</v>
      </c>
      <c r="AW338" s="2209">
        <f t="shared" si="208"/>
        <v>0</v>
      </c>
      <c r="AX338" s="2209">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4"/>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9">
        <f t="shared" si="207"/>
        <v>0</v>
      </c>
      <c r="AW339" s="2209">
        <f t="shared" si="208"/>
        <v>0</v>
      </c>
      <c r="AX339" s="2209">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4"/>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9">
        <f t="shared" si="207"/>
        <v>0</v>
      </c>
      <c r="AW340" s="2209">
        <f t="shared" si="208"/>
        <v>0</v>
      </c>
      <c r="AX340" s="2209">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4"/>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9">
        <f t="shared" si="207"/>
        <v>0</v>
      </c>
      <c r="AW341" s="2209">
        <f t="shared" si="208"/>
        <v>0</v>
      </c>
      <c r="AX341" s="2209">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4"/>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9">
        <f t="shared" si="207"/>
        <v>0</v>
      </c>
      <c r="AW342" s="2209">
        <f t="shared" si="208"/>
        <v>0</v>
      </c>
      <c r="AX342" s="2209">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4"/>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9">
        <f t="shared" si="207"/>
        <v>0</v>
      </c>
      <c r="AW343" s="2209">
        <f t="shared" si="208"/>
        <v>0</v>
      </c>
      <c r="AX343" s="2209">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4"/>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9">
        <f t="shared" si="207"/>
        <v>0</v>
      </c>
      <c r="AW344" s="2209">
        <f t="shared" si="208"/>
        <v>0</v>
      </c>
      <c r="AX344" s="2209">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4"/>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9">
        <f t="shared" si="207"/>
        <v>0</v>
      </c>
      <c r="AW345" s="2209">
        <f t="shared" si="208"/>
        <v>0</v>
      </c>
      <c r="AX345" s="2209">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4"/>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9">
        <f t="shared" si="207"/>
        <v>0</v>
      </c>
      <c r="AW346" s="2209">
        <f t="shared" si="208"/>
        <v>0</v>
      </c>
      <c r="AX346" s="2209">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4"/>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9">
        <f t="shared" si="207"/>
        <v>0</v>
      </c>
      <c r="AW347" s="2209">
        <f t="shared" si="208"/>
        <v>0</v>
      </c>
      <c r="AX347" s="2209">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4"/>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9">
        <f t="shared" si="207"/>
        <v>0</v>
      </c>
      <c r="AW348" s="2209">
        <f t="shared" si="208"/>
        <v>0</v>
      </c>
      <c r="AX348" s="2209">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4"/>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9">
        <f t="shared" si="207"/>
        <v>0</v>
      </c>
      <c r="AW349" s="2209">
        <f t="shared" si="208"/>
        <v>0</v>
      </c>
      <c r="AX349" s="2209">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4"/>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9">
        <f t="shared" si="207"/>
        <v>0</v>
      </c>
      <c r="AW350" s="2209">
        <f t="shared" si="208"/>
        <v>0</v>
      </c>
      <c r="AX350" s="2209">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4"/>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9">
        <f t="shared" si="207"/>
        <v>0</v>
      </c>
      <c r="AW351" s="2209">
        <f t="shared" si="208"/>
        <v>0</v>
      </c>
      <c r="AX351" s="2209">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4"/>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9">
        <f t="shared" si="207"/>
        <v>0</v>
      </c>
      <c r="AW352" s="2209">
        <f t="shared" si="208"/>
        <v>0</v>
      </c>
      <c r="AX352" s="2209">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4"/>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9">
        <f t="shared" si="207"/>
        <v>0</v>
      </c>
      <c r="AW353" s="2209">
        <f t="shared" si="208"/>
        <v>0</v>
      </c>
      <c r="AX353" s="2209">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4"/>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9">
        <f t="shared" si="207"/>
        <v>0</v>
      </c>
      <c r="AW354" s="2209">
        <f t="shared" si="208"/>
        <v>0</v>
      </c>
      <c r="AX354" s="2209">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4"/>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9">
        <f t="shared" si="207"/>
        <v>0</v>
      </c>
      <c r="AW355" s="2209">
        <f t="shared" si="208"/>
        <v>0</v>
      </c>
      <c r="AX355" s="2209">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4"/>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9">
        <f t="shared" si="207"/>
        <v>0</v>
      </c>
      <c r="AW356" s="2209">
        <f t="shared" si="208"/>
        <v>0</v>
      </c>
      <c r="AX356" s="2209">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4"/>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9">
        <f t="shared" si="207"/>
        <v>0</v>
      </c>
      <c r="AW357" s="2209">
        <f t="shared" si="208"/>
        <v>0</v>
      </c>
      <c r="AX357" s="2209">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4"/>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9">
        <f t="shared" si="207"/>
        <v>0</v>
      </c>
      <c r="AW358" s="2209">
        <f t="shared" si="208"/>
        <v>0</v>
      </c>
      <c r="AX358" s="2209">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4"/>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9">
        <f t="shared" si="207"/>
        <v>0</v>
      </c>
      <c r="AW359" s="2209">
        <f t="shared" si="208"/>
        <v>0</v>
      </c>
      <c r="AX359" s="2209">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4"/>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9">
        <f t="shared" si="207"/>
        <v>0</v>
      </c>
      <c r="AW360" s="2209">
        <f t="shared" si="208"/>
        <v>0</v>
      </c>
      <c r="AX360" s="2209">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4"/>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9">
        <f t="shared" si="207"/>
        <v>0</v>
      </c>
      <c r="AW361" s="2209">
        <f t="shared" si="208"/>
        <v>0</v>
      </c>
      <c r="AX361" s="2209">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4"/>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9">
        <f t="shared" si="207"/>
        <v>0</v>
      </c>
      <c r="AW362" s="2209">
        <f t="shared" si="208"/>
        <v>0</v>
      </c>
      <c r="AX362" s="2209">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4"/>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9">
        <f t="shared" si="207"/>
        <v>0</v>
      </c>
      <c r="AW363" s="2209">
        <f t="shared" si="208"/>
        <v>0</v>
      </c>
      <c r="AX363" s="2209">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4"/>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9">
        <f t="shared" si="207"/>
        <v>0</v>
      </c>
      <c r="AW364" s="2209">
        <f t="shared" si="208"/>
        <v>0</v>
      </c>
      <c r="AX364" s="2209">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4"/>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9">
        <f t="shared" si="207"/>
        <v>0</v>
      </c>
      <c r="AW365" s="2209">
        <f t="shared" si="208"/>
        <v>0</v>
      </c>
      <c r="AX365" s="2209">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4"/>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9">
        <f t="shared" si="207"/>
        <v>0</v>
      </c>
      <c r="AW366" s="2209">
        <f t="shared" si="208"/>
        <v>0</v>
      </c>
      <c r="AX366" s="2209">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4"/>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9">
        <f t="shared" ref="AV367:AV397" si="236">A367</f>
        <v>0</v>
      </c>
      <c r="AW367" s="2209">
        <f t="shared" ref="AW367:AW397" si="237">B367</f>
        <v>0</v>
      </c>
      <c r="AX367" s="2209">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4"/>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9">
        <f t="shared" si="236"/>
        <v>0</v>
      </c>
      <c r="AW368" s="2209">
        <f t="shared" si="237"/>
        <v>0</v>
      </c>
      <c r="AX368" s="2209">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4"/>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9">
        <f t="shared" si="236"/>
        <v>0</v>
      </c>
      <c r="AW369" s="2209">
        <f t="shared" si="237"/>
        <v>0</v>
      </c>
      <c r="AX369" s="2209">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4"/>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9">
        <f t="shared" si="236"/>
        <v>0</v>
      </c>
      <c r="AW370" s="2209">
        <f t="shared" si="237"/>
        <v>0</v>
      </c>
      <c r="AX370" s="2209">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4"/>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9">
        <f t="shared" si="236"/>
        <v>0</v>
      </c>
      <c r="AW371" s="2209">
        <f t="shared" si="237"/>
        <v>0</v>
      </c>
      <c r="AX371" s="2209">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4"/>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9">
        <f t="shared" si="236"/>
        <v>0</v>
      </c>
      <c r="AW372" s="2209">
        <f t="shared" si="237"/>
        <v>0</v>
      </c>
      <c r="AX372" s="2209">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4"/>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9">
        <f t="shared" si="236"/>
        <v>0</v>
      </c>
      <c r="AW373" s="2209">
        <f t="shared" si="237"/>
        <v>0</v>
      </c>
      <c r="AX373" s="2209">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4"/>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9">
        <f t="shared" si="236"/>
        <v>0</v>
      </c>
      <c r="AW374" s="2209">
        <f t="shared" si="237"/>
        <v>0</v>
      </c>
      <c r="AX374" s="2209">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4"/>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9">
        <f t="shared" si="236"/>
        <v>0</v>
      </c>
      <c r="AW375" s="2209">
        <f t="shared" si="237"/>
        <v>0</v>
      </c>
      <c r="AX375" s="2209">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4"/>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9">
        <f t="shared" si="236"/>
        <v>0</v>
      </c>
      <c r="AW376" s="2209">
        <f t="shared" si="237"/>
        <v>0</v>
      </c>
      <c r="AX376" s="2209">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4"/>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9">
        <f t="shared" si="236"/>
        <v>0</v>
      </c>
      <c r="AW377" s="2209">
        <f t="shared" si="237"/>
        <v>0</v>
      </c>
      <c r="AX377" s="2209">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4"/>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9">
        <f t="shared" si="236"/>
        <v>0</v>
      </c>
      <c r="AW378" s="2209">
        <f t="shared" si="237"/>
        <v>0</v>
      </c>
      <c r="AX378" s="2209">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4"/>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9">
        <f t="shared" si="236"/>
        <v>0</v>
      </c>
      <c r="AW379" s="2209">
        <f t="shared" si="237"/>
        <v>0</v>
      </c>
      <c r="AX379" s="2209">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4"/>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9">
        <f t="shared" si="236"/>
        <v>0</v>
      </c>
      <c r="AW380" s="2209">
        <f t="shared" si="237"/>
        <v>0</v>
      </c>
      <c r="AX380" s="2209">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4"/>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9">
        <f t="shared" si="236"/>
        <v>0</v>
      </c>
      <c r="AW381" s="2209">
        <f t="shared" si="237"/>
        <v>0</v>
      </c>
      <c r="AX381" s="2209">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4"/>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9">
        <f t="shared" si="236"/>
        <v>0</v>
      </c>
      <c r="AW382" s="2209">
        <f t="shared" si="237"/>
        <v>0</v>
      </c>
      <c r="AX382" s="2209">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4"/>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9">
        <f t="shared" si="236"/>
        <v>0</v>
      </c>
      <c r="AW383" s="2209">
        <f t="shared" si="237"/>
        <v>0</v>
      </c>
      <c r="AX383" s="2209">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4"/>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9">
        <f t="shared" si="236"/>
        <v>0</v>
      </c>
      <c r="AW384" s="2209">
        <f t="shared" si="237"/>
        <v>0</v>
      </c>
      <c r="AX384" s="2209">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4"/>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9">
        <f t="shared" si="236"/>
        <v>0</v>
      </c>
      <c r="AW385" s="2209">
        <f t="shared" si="237"/>
        <v>0</v>
      </c>
      <c r="AX385" s="2209">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4"/>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9">
        <f t="shared" si="236"/>
        <v>0</v>
      </c>
      <c r="AW386" s="2209">
        <f t="shared" si="237"/>
        <v>0</v>
      </c>
      <c r="AX386" s="2209">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4"/>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9">
        <f t="shared" si="236"/>
        <v>0</v>
      </c>
      <c r="AW387" s="2209">
        <f t="shared" si="237"/>
        <v>0</v>
      </c>
      <c r="AX387" s="2209">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4"/>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9">
        <f t="shared" si="236"/>
        <v>0</v>
      </c>
      <c r="AW388" s="2209">
        <f t="shared" si="237"/>
        <v>0</v>
      </c>
      <c r="AX388" s="2209">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4"/>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9">
        <f t="shared" si="236"/>
        <v>0</v>
      </c>
      <c r="AW389" s="2209">
        <f t="shared" si="237"/>
        <v>0</v>
      </c>
      <c r="AX389" s="2209">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4"/>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9">
        <f t="shared" si="236"/>
        <v>0</v>
      </c>
      <c r="AW390" s="2209">
        <f t="shared" si="237"/>
        <v>0</v>
      </c>
      <c r="AX390" s="2209">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4"/>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9">
        <f t="shared" si="236"/>
        <v>0</v>
      </c>
      <c r="AW391" s="2209">
        <f t="shared" si="237"/>
        <v>0</v>
      </c>
      <c r="AX391" s="2209">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4"/>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9">
        <f t="shared" si="236"/>
        <v>0</v>
      </c>
      <c r="AW392" s="2209">
        <f t="shared" si="237"/>
        <v>0</v>
      </c>
      <c r="AX392" s="2209">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4"/>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9">
        <f t="shared" si="236"/>
        <v>0</v>
      </c>
      <c r="AW393" s="2209">
        <f t="shared" si="237"/>
        <v>0</v>
      </c>
      <c r="AX393" s="2209">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4"/>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9">
        <f t="shared" si="236"/>
        <v>0</v>
      </c>
      <c r="AW394" s="2209">
        <f t="shared" si="237"/>
        <v>0</v>
      </c>
      <c r="AX394" s="2209">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4"/>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9">
        <f t="shared" si="236"/>
        <v>0</v>
      </c>
      <c r="AW395" s="2209">
        <f t="shared" si="237"/>
        <v>0</v>
      </c>
      <c r="AX395" s="2209">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4"/>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9">
        <f t="shared" si="236"/>
        <v>0</v>
      </c>
      <c r="AW396" s="2209">
        <f t="shared" si="237"/>
        <v>0</v>
      </c>
      <c r="AX396" s="2209">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4"/>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9">
        <f t="shared" si="236"/>
        <v>0</v>
      </c>
      <c r="AW397" s="2209">
        <f t="shared" si="237"/>
        <v>0</v>
      </c>
      <c r="AX397" s="2209">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4"/>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9">
        <f t="shared" ref="AV398:AV492" si="243">A398</f>
        <v>0</v>
      </c>
      <c r="AW398" s="2209">
        <f t="shared" ref="AW398:AW492" si="244">B398</f>
        <v>0</v>
      </c>
      <c r="AX398" s="2209">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4"/>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9">
        <f t="shared" si="243"/>
        <v>0</v>
      </c>
      <c r="AW399" s="2209">
        <f t="shared" si="244"/>
        <v>0</v>
      </c>
      <c r="AX399" s="2209">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4"/>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9">
        <f t="shared" si="243"/>
        <v>0</v>
      </c>
      <c r="AW400" s="2209">
        <f t="shared" si="244"/>
        <v>0</v>
      </c>
      <c r="AX400" s="2209">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4"/>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9">
        <f t="shared" si="243"/>
        <v>0</v>
      </c>
      <c r="AW401" s="2209">
        <f t="shared" si="244"/>
        <v>0</v>
      </c>
      <c r="AX401" s="2209">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4"/>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9">
        <f t="shared" si="243"/>
        <v>0</v>
      </c>
      <c r="AW402" s="2209">
        <f t="shared" si="244"/>
        <v>0</v>
      </c>
      <c r="AX402" s="2209">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4"/>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9">
        <f t="shared" si="243"/>
        <v>0</v>
      </c>
      <c r="AW403" s="2209">
        <f t="shared" si="244"/>
        <v>0</v>
      </c>
      <c r="AX403" s="2209">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4"/>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9">
        <f t="shared" si="243"/>
        <v>0</v>
      </c>
      <c r="AW404" s="2209">
        <f t="shared" si="244"/>
        <v>0</v>
      </c>
      <c r="AX404" s="2209">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4"/>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9">
        <f t="shared" si="243"/>
        <v>0</v>
      </c>
      <c r="AW405" s="2209">
        <f t="shared" si="244"/>
        <v>0</v>
      </c>
      <c r="AX405" s="2209">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4"/>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9">
        <f t="shared" si="243"/>
        <v>0</v>
      </c>
      <c r="AW406" s="2209">
        <f t="shared" si="244"/>
        <v>0</v>
      </c>
      <c r="AX406" s="2209">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4"/>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9">
        <f t="shared" si="243"/>
        <v>0</v>
      </c>
      <c r="AW407" s="2209">
        <f t="shared" si="244"/>
        <v>0</v>
      </c>
      <c r="AX407" s="2209">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4"/>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9">
        <f t="shared" si="243"/>
        <v>0</v>
      </c>
      <c r="AW408" s="2209">
        <f t="shared" si="244"/>
        <v>0</v>
      </c>
      <c r="AX408" s="2209">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4"/>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9">
        <f t="shared" si="243"/>
        <v>0</v>
      </c>
      <c r="AW409" s="2209">
        <f t="shared" si="244"/>
        <v>0</v>
      </c>
      <c r="AX409" s="2209">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4"/>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9">
        <f t="shared" si="243"/>
        <v>0</v>
      </c>
      <c r="AW410" s="2209">
        <f t="shared" si="244"/>
        <v>0</v>
      </c>
      <c r="AX410" s="2209">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4"/>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9">
        <f t="shared" si="243"/>
        <v>0</v>
      </c>
      <c r="AW411" s="2209">
        <f t="shared" si="244"/>
        <v>0</v>
      </c>
      <c r="AX411" s="2209">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4"/>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9">
        <f t="shared" si="243"/>
        <v>0</v>
      </c>
      <c r="AW412" s="2209">
        <f t="shared" si="244"/>
        <v>0</v>
      </c>
      <c r="AX412" s="2209">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4"/>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9">
        <f t="shared" si="243"/>
        <v>0</v>
      </c>
      <c r="AW413" s="2209">
        <f t="shared" si="244"/>
        <v>0</v>
      </c>
      <c r="AX413" s="2209">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4"/>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9">
        <f t="shared" si="243"/>
        <v>0</v>
      </c>
      <c r="AW414" s="2209">
        <f t="shared" si="244"/>
        <v>0</v>
      </c>
      <c r="AX414" s="2209">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4"/>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9">
        <f t="shared" si="243"/>
        <v>0</v>
      </c>
      <c r="AW415" s="2209">
        <f t="shared" si="244"/>
        <v>0</v>
      </c>
      <c r="AX415" s="2209">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4"/>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9">
        <f t="shared" si="243"/>
        <v>0</v>
      </c>
      <c r="AW416" s="2209">
        <f t="shared" si="244"/>
        <v>0</v>
      </c>
      <c r="AX416" s="2209">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4"/>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9">
        <f t="shared" si="243"/>
        <v>0</v>
      </c>
      <c r="AW417" s="2209">
        <f t="shared" si="244"/>
        <v>0</v>
      </c>
      <c r="AX417" s="2209">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4"/>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9">
        <f t="shared" si="243"/>
        <v>0</v>
      </c>
      <c r="AW418" s="2209">
        <f t="shared" si="244"/>
        <v>0</v>
      </c>
      <c r="AX418" s="2209">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4"/>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9">
        <f t="shared" si="243"/>
        <v>0</v>
      </c>
      <c r="AW419" s="2209">
        <f t="shared" si="244"/>
        <v>0</v>
      </c>
      <c r="AX419" s="2209">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4"/>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9">
        <f t="shared" si="243"/>
        <v>0</v>
      </c>
      <c r="AW420" s="2209">
        <f t="shared" si="244"/>
        <v>0</v>
      </c>
      <c r="AX420" s="2209">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4"/>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9">
        <f t="shared" si="243"/>
        <v>0</v>
      </c>
      <c r="AW421" s="2209">
        <f t="shared" si="244"/>
        <v>0</v>
      </c>
      <c r="AX421" s="2209">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4"/>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9">
        <f t="shared" si="243"/>
        <v>0</v>
      </c>
      <c r="AW422" s="2209">
        <f t="shared" si="244"/>
        <v>0</v>
      </c>
      <c r="AX422" s="2209">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4"/>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9">
        <f t="shared" si="243"/>
        <v>0</v>
      </c>
      <c r="AW423" s="2209">
        <f t="shared" si="244"/>
        <v>0</v>
      </c>
      <c r="AX423" s="2209">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4"/>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9">
        <f t="shared" si="243"/>
        <v>0</v>
      </c>
      <c r="AW424" s="2209">
        <f t="shared" si="244"/>
        <v>0</v>
      </c>
      <c r="AX424" s="2209">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4"/>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9">
        <f t="shared" si="243"/>
        <v>0</v>
      </c>
      <c r="AW425" s="2209">
        <f t="shared" si="244"/>
        <v>0</v>
      </c>
      <c r="AX425" s="2209">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4"/>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9">
        <f t="shared" si="243"/>
        <v>0</v>
      </c>
      <c r="AW426" s="2209">
        <f t="shared" si="244"/>
        <v>0</v>
      </c>
      <c r="AX426" s="2209">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4"/>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9">
        <f t="shared" si="243"/>
        <v>0</v>
      </c>
      <c r="AW427" s="2209">
        <f t="shared" si="244"/>
        <v>0</v>
      </c>
      <c r="AX427" s="2209">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4"/>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9">
        <f t="shared" si="243"/>
        <v>0</v>
      </c>
      <c r="AW428" s="2209">
        <f t="shared" si="244"/>
        <v>0</v>
      </c>
      <c r="AX428" s="2209">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4"/>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9">
        <f t="shared" si="243"/>
        <v>0</v>
      </c>
      <c r="AW429" s="2209">
        <f t="shared" si="244"/>
        <v>0</v>
      </c>
      <c r="AX429" s="2209">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4"/>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9">
        <f t="shared" si="243"/>
        <v>0</v>
      </c>
      <c r="AW430" s="2209">
        <f t="shared" si="244"/>
        <v>0</v>
      </c>
      <c r="AX430" s="2209">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4"/>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9">
        <f t="shared" si="243"/>
        <v>0</v>
      </c>
      <c r="AW431" s="2209">
        <f t="shared" si="244"/>
        <v>0</v>
      </c>
      <c r="AX431" s="2209">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4"/>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9">
        <f t="shared" si="243"/>
        <v>0</v>
      </c>
      <c r="AW432" s="2209">
        <f t="shared" si="244"/>
        <v>0</v>
      </c>
      <c r="AX432" s="2209">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4"/>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9">
        <f t="shared" si="243"/>
        <v>0</v>
      </c>
      <c r="AW433" s="2209">
        <f t="shared" si="244"/>
        <v>0</v>
      </c>
      <c r="AX433" s="2209">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4"/>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9">
        <f t="shared" si="243"/>
        <v>0</v>
      </c>
      <c r="AW434" s="2209">
        <f t="shared" si="244"/>
        <v>0</v>
      </c>
      <c r="AX434" s="2209">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4"/>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9">
        <f t="shared" si="243"/>
        <v>0</v>
      </c>
      <c r="AW435" s="2209">
        <f t="shared" si="244"/>
        <v>0</v>
      </c>
      <c r="AX435" s="2209">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4"/>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9">
        <f t="shared" si="243"/>
        <v>0</v>
      </c>
      <c r="AW436" s="2209">
        <f t="shared" si="244"/>
        <v>0</v>
      </c>
      <c r="AX436" s="2209">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4"/>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9">
        <f t="shared" si="243"/>
        <v>0</v>
      </c>
      <c r="AW437" s="2209">
        <f t="shared" si="244"/>
        <v>0</v>
      </c>
      <c r="AX437" s="2209">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4"/>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9">
        <f t="shared" si="243"/>
        <v>0</v>
      </c>
      <c r="AW438" s="2209">
        <f t="shared" si="244"/>
        <v>0</v>
      </c>
      <c r="AX438" s="2209">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4"/>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9">
        <f t="shared" si="243"/>
        <v>0</v>
      </c>
      <c r="AW439" s="2209">
        <f t="shared" si="244"/>
        <v>0</v>
      </c>
      <c r="AX439" s="2209">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4"/>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9">
        <f t="shared" si="243"/>
        <v>0</v>
      </c>
      <c r="AW440" s="2209">
        <f t="shared" si="244"/>
        <v>0</v>
      </c>
      <c r="AX440" s="2209">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4"/>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9">
        <f t="shared" si="243"/>
        <v>0</v>
      </c>
      <c r="AW441" s="2209">
        <f t="shared" si="244"/>
        <v>0</v>
      </c>
      <c r="AX441" s="2209">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4"/>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9">
        <f t="shared" si="243"/>
        <v>0</v>
      </c>
      <c r="AW442" s="2209">
        <f t="shared" si="244"/>
        <v>0</v>
      </c>
      <c r="AX442" s="2209">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4"/>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9">
        <f t="shared" si="243"/>
        <v>0</v>
      </c>
      <c r="AW443" s="2209">
        <f t="shared" si="244"/>
        <v>0</v>
      </c>
      <c r="AX443" s="2209">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4"/>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9">
        <f t="shared" si="243"/>
        <v>0</v>
      </c>
      <c r="AW444" s="2209">
        <f t="shared" si="244"/>
        <v>0</v>
      </c>
      <c r="AX444" s="2209">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4"/>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9">
        <f t="shared" si="243"/>
        <v>0</v>
      </c>
      <c r="AW445" s="2209">
        <f t="shared" si="244"/>
        <v>0</v>
      </c>
      <c r="AX445" s="2209">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4"/>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9">
        <f t="shared" si="243"/>
        <v>0</v>
      </c>
      <c r="AW446" s="2209">
        <f t="shared" si="244"/>
        <v>0</v>
      </c>
      <c r="AX446" s="2209">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4"/>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9">
        <f t="shared" si="243"/>
        <v>0</v>
      </c>
      <c r="AW447" s="2209">
        <f t="shared" si="244"/>
        <v>0</v>
      </c>
      <c r="AX447" s="2209">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4"/>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9">
        <f t="shared" si="243"/>
        <v>0</v>
      </c>
      <c r="AW448" s="2209">
        <f t="shared" si="244"/>
        <v>0</v>
      </c>
      <c r="AX448" s="2209">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4"/>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9">
        <f t="shared" si="243"/>
        <v>0</v>
      </c>
      <c r="AW449" s="2209">
        <f t="shared" si="244"/>
        <v>0</v>
      </c>
      <c r="AX449" s="2209">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4"/>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9">
        <f t="shared" si="243"/>
        <v>0</v>
      </c>
      <c r="AW450" s="2209">
        <f t="shared" si="244"/>
        <v>0</v>
      </c>
      <c r="AX450" s="2209">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4"/>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9">
        <f t="shared" si="243"/>
        <v>0</v>
      </c>
      <c r="AW451" s="2209">
        <f t="shared" si="244"/>
        <v>0</v>
      </c>
      <c r="AX451" s="2209">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4"/>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9">
        <f t="shared" si="243"/>
        <v>0</v>
      </c>
      <c r="AW452" s="2209">
        <f t="shared" si="244"/>
        <v>0</v>
      </c>
      <c r="AX452" s="2209">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4"/>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9">
        <f t="shared" si="243"/>
        <v>0</v>
      </c>
      <c r="AW453" s="2209">
        <f t="shared" si="244"/>
        <v>0</v>
      </c>
      <c r="AX453" s="2209">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4"/>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9">
        <f t="shared" si="243"/>
        <v>0</v>
      </c>
      <c r="AW454" s="2209">
        <f t="shared" si="244"/>
        <v>0</v>
      </c>
      <c r="AX454" s="2209">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4"/>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9">
        <f t="shared" si="243"/>
        <v>0</v>
      </c>
      <c r="AW455" s="2209">
        <f t="shared" si="244"/>
        <v>0</v>
      </c>
      <c r="AX455" s="2209">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4"/>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9">
        <f t="shared" si="243"/>
        <v>0</v>
      </c>
      <c r="AW456" s="2209">
        <f t="shared" si="244"/>
        <v>0</v>
      </c>
      <c r="AX456" s="2209">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4"/>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9">
        <f t="shared" si="243"/>
        <v>0</v>
      </c>
      <c r="AW457" s="2209">
        <f t="shared" si="244"/>
        <v>0</v>
      </c>
      <c r="AX457" s="2209">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4"/>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9">
        <f t="shared" si="243"/>
        <v>0</v>
      </c>
      <c r="AW458" s="2209">
        <f t="shared" si="244"/>
        <v>0</v>
      </c>
      <c r="AX458" s="2209">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4"/>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9">
        <f t="shared" si="243"/>
        <v>0</v>
      </c>
      <c r="AW459" s="2209">
        <f t="shared" si="244"/>
        <v>0</v>
      </c>
      <c r="AX459" s="2209">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4"/>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9">
        <f t="shared" si="243"/>
        <v>0</v>
      </c>
      <c r="AW460" s="2209">
        <f t="shared" si="244"/>
        <v>0</v>
      </c>
      <c r="AX460" s="2209">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4"/>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9">
        <f t="shared" si="243"/>
        <v>0</v>
      </c>
      <c r="AW461" s="2209">
        <f t="shared" si="244"/>
        <v>0</v>
      </c>
      <c r="AX461" s="2209">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4"/>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9">
        <f t="shared" si="243"/>
        <v>0</v>
      </c>
      <c r="AW462" s="2209">
        <f t="shared" si="244"/>
        <v>0</v>
      </c>
      <c r="AX462" s="2209">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4"/>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9">
        <f t="shared" si="243"/>
        <v>0</v>
      </c>
      <c r="AW463" s="2209">
        <f t="shared" si="244"/>
        <v>0</v>
      </c>
      <c r="AX463" s="2209">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4"/>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9">
        <f t="shared" si="243"/>
        <v>0</v>
      </c>
      <c r="AW464" s="2209">
        <f t="shared" si="244"/>
        <v>0</v>
      </c>
      <c r="AX464" s="2209">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4"/>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9">
        <f t="shared" si="243"/>
        <v>0</v>
      </c>
      <c r="AW465" s="2209">
        <f t="shared" si="244"/>
        <v>0</v>
      </c>
      <c r="AX465" s="2209">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4"/>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9">
        <f t="shared" si="243"/>
        <v>0</v>
      </c>
      <c r="AW466" s="2209">
        <f t="shared" si="244"/>
        <v>0</v>
      </c>
      <c r="AX466" s="2209">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4"/>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9">
        <f t="shared" si="243"/>
        <v>0</v>
      </c>
      <c r="AW467" s="2209">
        <f t="shared" si="244"/>
        <v>0</v>
      </c>
      <c r="AX467" s="2209">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4"/>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9">
        <f t="shared" si="243"/>
        <v>0</v>
      </c>
      <c r="AW468" s="2209">
        <f t="shared" si="244"/>
        <v>0</v>
      </c>
      <c r="AX468" s="2209">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4"/>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9">
        <f t="shared" si="243"/>
        <v>0</v>
      </c>
      <c r="AW469" s="2209">
        <f t="shared" si="244"/>
        <v>0</v>
      </c>
      <c r="AX469" s="2209">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4"/>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9">
        <f t="shared" si="243"/>
        <v>0</v>
      </c>
      <c r="AW470" s="2209">
        <f t="shared" si="244"/>
        <v>0</v>
      </c>
      <c r="AX470" s="2209">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4"/>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9">
        <f t="shared" si="243"/>
        <v>0</v>
      </c>
      <c r="AW471" s="2209">
        <f t="shared" si="244"/>
        <v>0</v>
      </c>
      <c r="AX471" s="2209">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4"/>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9">
        <f t="shared" si="243"/>
        <v>0</v>
      </c>
      <c r="AW472" s="2209">
        <f t="shared" si="244"/>
        <v>0</v>
      </c>
      <c r="AX472" s="2209">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4"/>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9">
        <f t="shared" si="243"/>
        <v>0</v>
      </c>
      <c r="AW473" s="2209">
        <f t="shared" si="244"/>
        <v>0</v>
      </c>
      <c r="AX473" s="2209">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4"/>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9">
        <f t="shared" si="243"/>
        <v>0</v>
      </c>
      <c r="AW474" s="2209">
        <f t="shared" si="244"/>
        <v>0</v>
      </c>
      <c r="AX474" s="2209">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4"/>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9">
        <f t="shared" si="243"/>
        <v>0</v>
      </c>
      <c r="AW475" s="2209">
        <f t="shared" si="244"/>
        <v>0</v>
      </c>
      <c r="AX475" s="2209">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4"/>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9">
        <f t="shared" si="243"/>
        <v>0</v>
      </c>
      <c r="AW476" s="2209">
        <f t="shared" si="244"/>
        <v>0</v>
      </c>
      <c r="AX476" s="2209">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4"/>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9">
        <f t="shared" si="243"/>
        <v>0</v>
      </c>
      <c r="AW477" s="2209">
        <f t="shared" si="244"/>
        <v>0</v>
      </c>
      <c r="AX477" s="2209">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4"/>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9">
        <f t="shared" si="243"/>
        <v>0</v>
      </c>
      <c r="AW478" s="2209">
        <f t="shared" si="244"/>
        <v>0</v>
      </c>
      <c r="AX478" s="2209">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4"/>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9">
        <f t="shared" si="243"/>
        <v>0</v>
      </c>
      <c r="AW479" s="2209">
        <f t="shared" si="244"/>
        <v>0</v>
      </c>
      <c r="AX479" s="2209">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4"/>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9">
        <f t="shared" si="243"/>
        <v>0</v>
      </c>
      <c r="AW480" s="2209">
        <f t="shared" si="244"/>
        <v>0</v>
      </c>
      <c r="AX480" s="2209">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4"/>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9">
        <f t="shared" si="243"/>
        <v>0</v>
      </c>
      <c r="AW481" s="2209">
        <f t="shared" si="244"/>
        <v>0</v>
      </c>
      <c r="AX481" s="2209">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4"/>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9">
        <f t="shared" si="243"/>
        <v>0</v>
      </c>
      <c r="AW482" s="2209">
        <f t="shared" si="244"/>
        <v>0</v>
      </c>
      <c r="AX482" s="2209">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4"/>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9">
        <f t="shared" si="243"/>
        <v>0</v>
      </c>
      <c r="AW483" s="2209">
        <f t="shared" si="244"/>
        <v>0</v>
      </c>
      <c r="AX483" s="2209">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4"/>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9">
        <f t="shared" si="243"/>
        <v>0</v>
      </c>
      <c r="AW484" s="2209">
        <f t="shared" si="244"/>
        <v>0</v>
      </c>
      <c r="AX484" s="2209">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4"/>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9">
        <f t="shared" si="243"/>
        <v>0</v>
      </c>
      <c r="AW485" s="2209">
        <f t="shared" si="244"/>
        <v>0</v>
      </c>
      <c r="AX485" s="2209">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4"/>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9">
        <f t="shared" si="243"/>
        <v>0</v>
      </c>
      <c r="AW486" s="2209">
        <f t="shared" si="244"/>
        <v>0</v>
      </c>
      <c r="AX486" s="2209">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4"/>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9">
        <f t="shared" si="243"/>
        <v>0</v>
      </c>
      <c r="AW487" s="2209">
        <f t="shared" si="244"/>
        <v>0</v>
      </c>
      <c r="AX487" s="2209">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4"/>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9">
        <f t="shared" si="243"/>
        <v>0</v>
      </c>
      <c r="AW488" s="2209">
        <f t="shared" si="244"/>
        <v>0</v>
      </c>
      <c r="AX488" s="2209">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4"/>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9">
        <f t="shared" si="243"/>
        <v>0</v>
      </c>
      <c r="AW489" s="2209">
        <f t="shared" si="244"/>
        <v>0</v>
      </c>
      <c r="AX489" s="2209">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4"/>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9">
        <f t="shared" si="243"/>
        <v>0</v>
      </c>
      <c r="AW490" s="2209">
        <f t="shared" si="244"/>
        <v>0</v>
      </c>
      <c r="AX490" s="2209">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4"/>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9">
        <f t="shared" si="243"/>
        <v>0</v>
      </c>
      <c r="AW491" s="2209">
        <f t="shared" si="244"/>
        <v>0</v>
      </c>
      <c r="AX491" s="2209">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4"/>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9">
        <f t="shared" si="243"/>
        <v>0</v>
      </c>
      <c r="AW492" s="2209">
        <f t="shared" si="244"/>
        <v>0</v>
      </c>
      <c r="AX492" s="2209">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3" t="s">
        <v>2</v>
      </c>
      <c r="B1" s="3383" t="s">
        <v>37</v>
      </c>
      <c r="C1" s="3383" t="s">
        <v>38</v>
      </c>
      <c r="D1" s="3443" t="s">
        <v>196</v>
      </c>
      <c r="E1" s="3443" t="s">
        <v>197</v>
      </c>
      <c r="F1" s="3443"/>
      <c r="G1" s="3443"/>
      <c r="H1" s="3443"/>
      <c r="I1" s="3443"/>
      <c r="J1" s="3443"/>
      <c r="K1" s="3443"/>
      <c r="L1" s="3443"/>
      <c r="M1" s="3443"/>
    </row>
    <row r="2" spans="1:13" ht="27" customHeight="1">
      <c r="A2" s="3383"/>
      <c r="B2" s="3383"/>
      <c r="C2" s="3383"/>
      <c r="D2" s="3443"/>
      <c r="E2" s="3443" t="s">
        <v>180</v>
      </c>
      <c r="F2" s="3443" t="s">
        <v>181</v>
      </c>
      <c r="G2" s="3443"/>
      <c r="H2" s="3443"/>
      <c r="I2" s="3443"/>
      <c r="J2" s="3443" t="s">
        <v>182</v>
      </c>
      <c r="K2" s="3443"/>
      <c r="L2" s="3443"/>
      <c r="M2" s="3443"/>
    </row>
    <row r="3" spans="1:13" ht="28.5">
      <c r="A3" s="3383"/>
      <c r="B3" s="3383"/>
      <c r="C3" s="3383"/>
      <c r="D3" s="3443"/>
      <c r="E3" s="3443"/>
      <c r="F3" s="269" t="s">
        <v>183</v>
      </c>
      <c r="G3" s="269" t="s">
        <v>178</v>
      </c>
      <c r="H3" s="269" t="s">
        <v>179</v>
      </c>
      <c r="I3" s="269" t="s">
        <v>192</v>
      </c>
      <c r="J3" s="269" t="s">
        <v>183</v>
      </c>
      <c r="K3" s="269" t="s">
        <v>194</v>
      </c>
      <c r="L3" s="269" t="s">
        <v>193</v>
      </c>
      <c r="M3" s="269" t="s">
        <v>195</v>
      </c>
    </row>
    <row r="4" spans="1:13" ht="42.75">
      <c r="A4" s="269" t="s">
        <v>184</v>
      </c>
      <c r="B4" s="269" t="s">
        <v>185</v>
      </c>
      <c r="C4" s="269" t="s">
        <v>186</v>
      </c>
      <c r="D4" s="270">
        <v>3807.94</v>
      </c>
      <c r="E4" s="270">
        <v>20666.91</v>
      </c>
      <c r="F4" s="270">
        <v>19673</v>
      </c>
      <c r="G4" s="270">
        <v>0</v>
      </c>
      <c r="H4" s="270">
        <v>19673</v>
      </c>
      <c r="I4" s="270">
        <v>0</v>
      </c>
      <c r="J4" s="270">
        <v>993.90999999999985</v>
      </c>
      <c r="K4" s="270">
        <v>0</v>
      </c>
      <c r="L4" s="270">
        <v>0</v>
      </c>
      <c r="M4" s="270">
        <v>993.90999999999985</v>
      </c>
    </row>
    <row r="5" spans="1:13" ht="42.75">
      <c r="A5" s="269" t="s">
        <v>184</v>
      </c>
      <c r="B5" s="269" t="s">
        <v>187</v>
      </c>
      <c r="C5" s="269" t="s">
        <v>188</v>
      </c>
      <c r="D5" s="270">
        <v>3667.86</v>
      </c>
      <c r="E5" s="270">
        <v>19906.61</v>
      </c>
      <c r="F5" s="270">
        <v>18792.87</v>
      </c>
      <c r="G5" s="270">
        <v>18792.87</v>
      </c>
      <c r="H5" s="270">
        <v>0</v>
      </c>
      <c r="I5" s="270">
        <v>0</v>
      </c>
      <c r="J5" s="270">
        <v>1113.74</v>
      </c>
      <c r="K5" s="270">
        <v>55.59</v>
      </c>
      <c r="L5" s="270">
        <v>0</v>
      </c>
      <c r="M5" s="270">
        <v>1058.1500000000001</v>
      </c>
    </row>
    <row r="6" spans="1:13" ht="42.75">
      <c r="A6" s="269" t="s">
        <v>184</v>
      </c>
      <c r="B6" s="269" t="s">
        <v>187</v>
      </c>
      <c r="C6" s="269" t="s">
        <v>189</v>
      </c>
      <c r="D6" s="270">
        <v>2067.52</v>
      </c>
      <c r="E6" s="270">
        <v>11221.06</v>
      </c>
      <c r="F6" s="270">
        <v>9934.1299999999992</v>
      </c>
      <c r="G6" s="270">
        <v>9934.1299999999992</v>
      </c>
      <c r="H6" s="270">
        <v>0</v>
      </c>
      <c r="I6" s="270">
        <v>0</v>
      </c>
      <c r="J6" s="270">
        <v>1286.93</v>
      </c>
      <c r="K6" s="270">
        <v>0</v>
      </c>
      <c r="L6" s="270">
        <v>0</v>
      </c>
      <c r="M6" s="270">
        <v>1286.93</v>
      </c>
    </row>
    <row r="7" spans="1:13" ht="42.75">
      <c r="A7" s="269" t="s">
        <v>184</v>
      </c>
      <c r="B7" s="269" t="s">
        <v>187</v>
      </c>
      <c r="C7" s="269" t="s">
        <v>190</v>
      </c>
      <c r="D7" s="270">
        <v>8.18</v>
      </c>
      <c r="E7" s="270">
        <v>44.41</v>
      </c>
      <c r="F7" s="270">
        <v>0</v>
      </c>
      <c r="G7" s="270">
        <v>0</v>
      </c>
      <c r="H7" s="270">
        <v>0</v>
      </c>
      <c r="I7" s="270">
        <v>0</v>
      </c>
      <c r="J7" s="270">
        <v>44.41</v>
      </c>
      <c r="K7" s="270">
        <v>44.41</v>
      </c>
      <c r="L7" s="270">
        <v>0</v>
      </c>
      <c r="M7" s="270">
        <v>0</v>
      </c>
    </row>
    <row r="8" spans="1:13" ht="42.75">
      <c r="A8" s="269" t="s">
        <v>184</v>
      </c>
      <c r="B8" s="269" t="s">
        <v>187</v>
      </c>
      <c r="C8" s="269" t="s">
        <v>191</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3" t="s">
        <v>198</v>
      </c>
      <c r="B9" s="3443"/>
      <c r="C9" s="344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2" sqref="E42"/>
    </sheetView>
  </sheetViews>
  <sheetFormatPr defaultColWidth="9.25" defaultRowHeight="13.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6384" width="9.25" style="2221"/>
  </cols>
  <sheetData>
    <row r="1" spans="1:16" ht="18.75">
      <c r="A1" s="17" t="s">
        <v>638</v>
      </c>
      <c r="B1" s="2223"/>
      <c r="C1" s="2223"/>
      <c r="D1" s="2223"/>
      <c r="E1" s="2223"/>
      <c r="F1" s="2223"/>
      <c r="G1" s="2223"/>
      <c r="H1" s="2223"/>
      <c r="I1" s="2223"/>
      <c r="J1" s="2223"/>
      <c r="K1" s="2223"/>
      <c r="L1" s="2223"/>
      <c r="M1" s="2223"/>
      <c r="N1" s="2223"/>
      <c r="O1" s="2223"/>
      <c r="P1" s="2223"/>
    </row>
    <row r="2" spans="1:16">
      <c r="A2" s="3453" t="s">
        <v>639</v>
      </c>
      <c r="B2" s="3453"/>
      <c r="C2" s="3453"/>
      <c r="D2" s="2207" t="s">
        <v>640</v>
      </c>
      <c r="E2" s="19" t="s">
        <v>641</v>
      </c>
      <c r="F2" s="2223"/>
      <c r="G2" s="1180"/>
      <c r="H2" s="1181"/>
      <c r="I2" s="2215" t="s">
        <v>642</v>
      </c>
      <c r="J2" s="2223"/>
      <c r="K2" s="2223"/>
      <c r="L2" s="2223"/>
      <c r="M2" s="2223"/>
      <c r="N2" s="2232"/>
      <c r="O2" s="2223"/>
      <c r="P2" s="2223"/>
    </row>
    <row r="3" spans="1:16" ht="15.75" thickBot="1">
      <c r="A3" s="3454" t="s">
        <v>643</v>
      </c>
      <c r="B3" s="3454"/>
      <c r="C3" s="3454"/>
      <c r="D3" s="335">
        <f>'数据-基础表'!AY6</f>
        <v>15994.67</v>
      </c>
      <c r="E3" s="335">
        <f>'数据-基础表'!AZ5</f>
        <v>66965.320000000065</v>
      </c>
      <c r="F3" s="2223"/>
      <c r="G3" s="442"/>
      <c r="H3" s="440" t="s">
        <v>644</v>
      </c>
      <c r="I3" s="344">
        <f>ROUND('数据-基础表'!B3/'数据-基础表'!A3,2)</f>
        <v>4.1900000000000004</v>
      </c>
      <c r="J3" s="2223"/>
      <c r="K3" s="2223"/>
      <c r="L3" s="2223"/>
      <c r="M3" s="2223"/>
      <c r="N3" s="2232"/>
      <c r="O3" s="2223"/>
      <c r="P3" s="2223"/>
    </row>
    <row r="4" spans="1:16" ht="14.25">
      <c r="A4" s="3455"/>
      <c r="B4" s="3456"/>
      <c r="C4" s="3457"/>
      <c r="D4" s="20" t="s">
        <v>640</v>
      </c>
      <c r="E4" s="21" t="s">
        <v>641</v>
      </c>
      <c r="F4" s="2223"/>
      <c r="G4" s="1182" t="s">
        <v>1786</v>
      </c>
      <c r="H4" s="440" t="s">
        <v>645</v>
      </c>
      <c r="I4" s="344">
        <f>ROUND(SUMIF('数据-基础表'!I9:AS9,"地上",'数据-基础表'!I5:AS5)/'数据-基础表'!A3,2)</f>
        <v>4.1900000000000004</v>
      </c>
      <c r="J4" s="2223"/>
      <c r="K4" s="2223"/>
      <c r="L4" s="2223"/>
      <c r="M4" s="2223"/>
      <c r="N4" s="2232"/>
      <c r="O4" s="2223"/>
      <c r="P4" s="2223"/>
    </row>
    <row r="5" spans="1:16" ht="14.25">
      <c r="A5" s="22" t="s">
        <v>646</v>
      </c>
      <c r="B5" s="3458" t="s">
        <v>647</v>
      </c>
      <c r="C5" s="3458"/>
      <c r="D5" s="337">
        <f>ROUND($D$3*E5/$E$3,2)</f>
        <v>0</v>
      </c>
      <c r="E5" s="338">
        <f>SUMIF('数据-基础表'!$11:$11,"住宅",'数据-基础表'!$5:$5)</f>
        <v>0</v>
      </c>
      <c r="F5" s="2223"/>
      <c r="G5" s="442"/>
      <c r="H5" s="440" t="s">
        <v>644</v>
      </c>
      <c r="I5" s="344">
        <f>ROUND(E31/D31,2)</f>
        <v>4.1900000000000004</v>
      </c>
      <c r="J5" s="2223"/>
      <c r="K5" s="2223"/>
      <c r="L5" s="2223"/>
      <c r="M5" s="2223"/>
      <c r="N5" s="2223"/>
      <c r="O5" s="2223"/>
      <c r="P5" s="2223"/>
    </row>
    <row r="6" spans="1:16" ht="15" thickBot="1">
      <c r="A6" s="24"/>
      <c r="B6" s="3458" t="s">
        <v>648</v>
      </c>
      <c r="C6" s="3458"/>
      <c r="D6" s="337">
        <f>ROUND($D$3*E6/$E$3,2)</f>
        <v>15994.67</v>
      </c>
      <c r="E6" s="338">
        <f>E3-E5</f>
        <v>66965.320000000065</v>
      </c>
      <c r="F6" s="2223"/>
      <c r="G6" s="1758" t="s">
        <v>1787</v>
      </c>
      <c r="H6" s="442" t="s">
        <v>645</v>
      </c>
      <c r="I6" s="1759">
        <f>ROUND(F31/D31,2)</f>
        <v>4.1900000000000004</v>
      </c>
      <c r="J6" s="2223"/>
      <c r="K6" s="2223"/>
      <c r="L6" s="2223"/>
      <c r="M6" s="2223"/>
      <c r="N6" s="2223"/>
      <c r="O6" s="2223"/>
      <c r="P6" s="2223"/>
    </row>
    <row r="7" spans="1:16" ht="14.25">
      <c r="A7" s="3450"/>
      <c r="B7" s="3451"/>
      <c r="C7" s="3452"/>
      <c r="D7" s="20" t="s">
        <v>640</v>
      </c>
      <c r="E7" s="25" t="s">
        <v>641</v>
      </c>
      <c r="F7" s="2223"/>
      <c r="G7" s="1180" t="s">
        <v>1866</v>
      </c>
      <c r="H7" s="38"/>
      <c r="I7" s="763"/>
      <c r="J7" s="2223"/>
      <c r="K7" s="2223"/>
      <c r="L7" s="2223"/>
      <c r="M7" s="2223"/>
      <c r="N7" s="2223"/>
      <c r="O7" s="2223"/>
      <c r="P7" s="2223"/>
    </row>
    <row r="8" spans="1:16" ht="14.25">
      <c r="A8" s="22" t="s">
        <v>649</v>
      </c>
      <c r="B8" s="26" t="s">
        <v>650</v>
      </c>
      <c r="C8" s="23" t="s">
        <v>651</v>
      </c>
      <c r="D8" s="337">
        <f t="shared" ref="D8:D15" si="0">ROUND($D$3*E8/$E$3,2)</f>
        <v>15994.67</v>
      </c>
      <c r="E8" s="340">
        <f>SUMIF('数据-基础表'!BB10:BK10,"地上",'数据-基础表'!BB5:BK5)</f>
        <v>66965.320000000065</v>
      </c>
      <c r="F8" s="2223"/>
      <c r="G8" s="2224"/>
      <c r="H8" s="2224"/>
      <c r="I8" s="2223"/>
      <c r="J8" s="2223"/>
      <c r="K8" s="2223"/>
      <c r="L8" s="2223"/>
      <c r="M8" s="2223"/>
      <c r="N8" s="2223"/>
      <c r="O8" s="2223"/>
      <c r="P8" s="2223"/>
    </row>
    <row r="9" spans="1:16" ht="14.25">
      <c r="A9" s="27"/>
      <c r="B9" s="28"/>
      <c r="C9" s="23" t="s">
        <v>652</v>
      </c>
      <c r="D9" s="337">
        <f t="shared" si="0"/>
        <v>0</v>
      </c>
      <c r="E9" s="341">
        <v>0</v>
      </c>
      <c r="F9" s="2223"/>
      <c r="G9" s="2224"/>
      <c r="H9" s="2224"/>
      <c r="I9" s="2223"/>
      <c r="J9" s="2223"/>
      <c r="K9" s="2223"/>
      <c r="L9" s="2223"/>
      <c r="M9" s="2223"/>
      <c r="N9" s="2223"/>
      <c r="O9" s="2223"/>
      <c r="P9" s="2223"/>
    </row>
    <row r="10" spans="1:16" ht="14.25">
      <c r="A10" s="27"/>
      <c r="B10" s="28"/>
      <c r="C10" s="23" t="s">
        <v>653</v>
      </c>
      <c r="D10" s="337">
        <f t="shared" si="0"/>
        <v>0</v>
      </c>
      <c r="E10" s="340">
        <f>SUMPRODUCT(('数据-基础表'!BB10:BK10="地下")*('数据-基础表'!BB11:BK11="商业")*('数据-基础表'!BB5:BK5))</f>
        <v>0</v>
      </c>
      <c r="F10" s="2223"/>
      <c r="G10" s="2224"/>
      <c r="H10" s="2224"/>
      <c r="I10" s="2223"/>
      <c r="J10" s="2223"/>
      <c r="K10" s="2223"/>
      <c r="L10" s="2223"/>
      <c r="M10" s="2223"/>
      <c r="N10" s="2223"/>
      <c r="O10" s="2223"/>
      <c r="P10" s="2223"/>
    </row>
    <row r="11" spans="1:16" ht="14.25">
      <c r="A11" s="27"/>
      <c r="B11" s="28"/>
      <c r="C11" s="23" t="s">
        <v>2396</v>
      </c>
      <c r="D11" s="337">
        <f t="shared" si="0"/>
        <v>0</v>
      </c>
      <c r="E11" s="340">
        <f>SUMPRODUCT(('数据-基础表'!BB10:BK10="地下")*('数据-基础表'!BB11:BK11="办公")*('数据-基础表'!BB5:BK5))+'数据-基础表'!BP5</f>
        <v>0</v>
      </c>
      <c r="F11" s="2223"/>
      <c r="G11" s="2224"/>
      <c r="H11" s="2224"/>
      <c r="I11" s="2223"/>
      <c r="J11" s="2223"/>
      <c r="K11" s="2223"/>
      <c r="L11" s="2223"/>
      <c r="M11" s="2223"/>
      <c r="N11" s="2223"/>
      <c r="O11" s="2223"/>
      <c r="P11" s="2223"/>
    </row>
    <row r="12" spans="1:16" ht="14.25">
      <c r="A12" s="27"/>
      <c r="B12" s="28"/>
      <c r="C12" s="23" t="s">
        <v>654</v>
      </c>
      <c r="D12" s="337">
        <f t="shared" si="0"/>
        <v>0</v>
      </c>
      <c r="E12" s="340">
        <f>SUMPRODUCT(('数据-基础表'!BB10:BK10="地下")*('数据-基础表'!BB11:BK11="仓储")*('数据-基础表'!BB5:BK5))</f>
        <v>0</v>
      </c>
      <c r="F12" s="2223"/>
      <c r="G12" s="2224"/>
      <c r="H12" s="2224"/>
      <c r="I12" s="2223"/>
      <c r="J12" s="2223"/>
      <c r="K12" s="2223"/>
      <c r="L12" s="2223"/>
      <c r="M12" s="2223"/>
      <c r="N12" s="2223"/>
      <c r="O12" s="2223"/>
      <c r="P12" s="2223"/>
    </row>
    <row r="13" spans="1:16" ht="14.25">
      <c r="A13" s="27"/>
      <c r="B13" s="28"/>
      <c r="C13" s="23" t="s">
        <v>655</v>
      </c>
      <c r="D13" s="337">
        <f t="shared" si="0"/>
        <v>0</v>
      </c>
      <c r="E13" s="340">
        <f>SUMPRODUCT(('数据-基础表'!BB10:BK10="地下")*('数据-基础表'!BB11:BK11="车库")*('数据-基础表'!BB5:BK5))</f>
        <v>0</v>
      </c>
      <c r="F13" s="2223"/>
      <c r="G13" s="2224"/>
      <c r="H13" s="2224"/>
      <c r="I13" s="2223"/>
      <c r="J13" s="2223"/>
      <c r="K13" s="2223"/>
      <c r="L13" s="2223"/>
      <c r="M13" s="2223"/>
      <c r="N13" s="2223"/>
      <c r="O13" s="2223"/>
      <c r="P13" s="2223"/>
    </row>
    <row r="14" spans="1:16" ht="14.25">
      <c r="A14" s="27"/>
      <c r="B14" s="28"/>
      <c r="C14" s="23" t="s">
        <v>656</v>
      </c>
      <c r="D14" s="337">
        <f t="shared" si="0"/>
        <v>0</v>
      </c>
      <c r="E14" s="340">
        <f>SUMPRODUCT(('数据-基础表'!BB10:BK10="地下")*('数据-基础表'!BB11:BK11="车库—商业")*('数据-基础表'!BB5:BK5))</f>
        <v>0</v>
      </c>
      <c r="F14" s="2223"/>
      <c r="G14" s="2224"/>
      <c r="H14" s="2224"/>
      <c r="I14" s="2223"/>
      <c r="J14" s="2223"/>
      <c r="K14" s="2223"/>
      <c r="L14" s="2223"/>
      <c r="M14" s="2223"/>
      <c r="N14" s="2223"/>
      <c r="O14" s="2223"/>
      <c r="P14" s="2223"/>
    </row>
    <row r="15" spans="1:16" ht="15" thickBot="1">
      <c r="A15" s="27"/>
      <c r="B15" s="28"/>
      <c r="C15" s="23" t="s">
        <v>657</v>
      </c>
      <c r="D15" s="337">
        <f t="shared" si="0"/>
        <v>0</v>
      </c>
      <c r="E15" s="340">
        <f>SUMPRODUCT(('数据-基础表'!BB10:BK10="地下")*('数据-基础表'!BB11:BK11="车库—办公")*('数据-基础表'!BB5:BK5))</f>
        <v>0</v>
      </c>
      <c r="F15" s="2223"/>
      <c r="G15" s="2224"/>
      <c r="H15" s="2224"/>
      <c r="I15" s="2223"/>
      <c r="J15" s="2223"/>
      <c r="K15" s="2223"/>
      <c r="L15" s="2223"/>
      <c r="M15" s="2223"/>
      <c r="N15" s="2223"/>
      <c r="O15" s="2223"/>
      <c r="P15" s="2223"/>
    </row>
    <row r="16" spans="1:16" ht="15" thickBot="1">
      <c r="A16" s="24"/>
      <c r="B16" s="28"/>
      <c r="C16" s="26" t="s">
        <v>658</v>
      </c>
      <c r="D16" s="339">
        <f>SUM(D8:D15)</f>
        <v>15994.67</v>
      </c>
      <c r="E16" s="342">
        <f>SUM(E8:E15)</f>
        <v>66965.320000000065</v>
      </c>
      <c r="F16" s="2223"/>
      <c r="G16" s="2224"/>
      <c r="H16" s="1179" t="s">
        <v>529</v>
      </c>
      <c r="I16" s="1183"/>
      <c r="J16" s="2223"/>
      <c r="K16" s="3447" t="s">
        <v>529</v>
      </c>
      <c r="L16" s="3448"/>
      <c r="M16" s="3448"/>
      <c r="N16" s="3448"/>
      <c r="O16" s="3448"/>
      <c r="P16" s="3449"/>
    </row>
    <row r="17" spans="1:19" ht="14.25">
      <c r="A17" s="29" t="s">
        <v>659</v>
      </c>
      <c r="B17" s="30" t="s">
        <v>660</v>
      </c>
      <c r="C17" s="34" t="s">
        <v>2387</v>
      </c>
      <c r="D17" s="2073" t="s">
        <v>640</v>
      </c>
      <c r="E17" s="2071" t="s">
        <v>641</v>
      </c>
      <c r="F17" s="36"/>
      <c r="G17" s="37"/>
      <c r="H17" s="1184" t="s">
        <v>661</v>
      </c>
      <c r="I17" s="1185" t="s">
        <v>203</v>
      </c>
      <c r="J17" s="2223"/>
      <c r="K17" s="3444" t="s">
        <v>667</v>
      </c>
      <c r="L17" s="3445"/>
      <c r="M17" s="3446"/>
      <c r="N17" s="3444" t="s">
        <v>2690</v>
      </c>
      <c r="O17" s="3445"/>
      <c r="P17" s="3446"/>
      <c r="R17" s="2483" t="s">
        <v>2388</v>
      </c>
      <c r="S17" s="354"/>
    </row>
    <row r="18" spans="1:19">
      <c r="A18" s="27"/>
      <c r="B18" s="31"/>
      <c r="C18" s="35"/>
      <c r="D18" s="2074"/>
      <c r="E18" s="2072" t="s">
        <v>662</v>
      </c>
      <c r="F18" s="15" t="s">
        <v>663</v>
      </c>
      <c r="G18" s="16" t="s">
        <v>664</v>
      </c>
      <c r="H18" s="1186" t="s">
        <v>665</v>
      </c>
      <c r="I18" s="1187" t="s">
        <v>666</v>
      </c>
      <c r="J18" s="2223"/>
      <c r="K18" s="1186" t="s">
        <v>2683</v>
      </c>
      <c r="L18" s="6" t="s">
        <v>2691</v>
      </c>
      <c r="M18" s="2804" t="s">
        <v>2689</v>
      </c>
      <c r="N18" s="1186" t="s">
        <v>2683</v>
      </c>
      <c r="O18" s="6" t="s">
        <v>2691</v>
      </c>
      <c r="P18" s="2804" t="s">
        <v>2689</v>
      </c>
      <c r="R18" s="2484" t="s">
        <v>2389</v>
      </c>
      <c r="S18" s="2484" t="s">
        <v>2390</v>
      </c>
    </row>
    <row r="19" spans="1:19" ht="14.25">
      <c r="A19" s="32"/>
      <c r="B19" s="26" t="s">
        <v>115</v>
      </c>
      <c r="C19" s="1421" t="s">
        <v>3449</v>
      </c>
      <c r="D19" s="337">
        <f>ROUND($D$3*E19/$E$3,2)</f>
        <v>1048.05</v>
      </c>
      <c r="E19" s="345">
        <f t="shared" ref="E19:E26" si="1">SUM(F19:G19)</f>
        <v>4387.92</v>
      </c>
      <c r="F19" s="346">
        <f>面积明细及结果汇总!M2</f>
        <v>4387.92</v>
      </c>
      <c r="G19" s="347"/>
      <c r="H19" s="1133">
        <f>ROUND($D$3*I19/$E$3,2)</f>
        <v>0</v>
      </c>
      <c r="I19" s="340">
        <f t="shared" ref="I19:I26" si="2">IF($I$17="自定义",P19,M19)</f>
        <v>0</v>
      </c>
      <c r="J19" s="2223"/>
      <c r="K19" s="2805">
        <f t="shared" ref="K19:K26" si="3">ROUND(E$28*E19/E$27,2)</f>
        <v>0</v>
      </c>
      <c r="L19" s="2485">
        <f t="shared" ref="L19:L26" si="4">ROUND(IF(COUNTIF(C19,"*住宅*")&gt;0,E$29*E19/E$32,0),2)</f>
        <v>0</v>
      </c>
      <c r="M19" s="2823">
        <f>K19+L19</f>
        <v>0</v>
      </c>
      <c r="N19" s="2821"/>
      <c r="O19" s="2803"/>
      <c r="P19" s="2806">
        <f>N19+O19</f>
        <v>0</v>
      </c>
      <c r="R19" s="2485">
        <f t="shared" ref="R19:S26" si="5">D19+H19</f>
        <v>1048.05</v>
      </c>
      <c r="S19" s="2486">
        <f t="shared" si="5"/>
        <v>4387.92</v>
      </c>
    </row>
    <row r="20" spans="1:19" ht="14.25">
      <c r="A20" s="33"/>
      <c r="B20" s="26" t="s">
        <v>633</v>
      </c>
      <c r="C20" s="1421" t="s">
        <v>3450</v>
      </c>
      <c r="D20" s="337">
        <f t="shared" ref="D20:D26" si="6">ROUND($D$3*E20/$E$3,2)</f>
        <v>1463.32</v>
      </c>
      <c r="E20" s="345">
        <f t="shared" si="1"/>
        <v>6126.51</v>
      </c>
      <c r="F20" s="346">
        <f>面积明细及结果汇总!M3</f>
        <v>6126.51</v>
      </c>
      <c r="G20" s="347"/>
      <c r="H20" s="1133">
        <f t="shared" ref="H20:H26" si="7">ROUND($D$3*I20/$E$3,2)</f>
        <v>0</v>
      </c>
      <c r="I20" s="340">
        <f t="shared" si="2"/>
        <v>0</v>
      </c>
      <c r="J20" s="2223"/>
      <c r="K20" s="2805">
        <f t="shared" si="3"/>
        <v>0</v>
      </c>
      <c r="L20" s="2485">
        <f t="shared" si="4"/>
        <v>0</v>
      </c>
      <c r="M20" s="2823">
        <f t="shared" ref="M20:M26" si="8">K20+L20</f>
        <v>0</v>
      </c>
      <c r="N20" s="2821"/>
      <c r="O20" s="2803"/>
      <c r="P20" s="2806">
        <f t="shared" ref="P20:P26" si="9">N20+O20</f>
        <v>0</v>
      </c>
      <c r="R20" s="2485">
        <f t="shared" si="5"/>
        <v>1463.32</v>
      </c>
      <c r="S20" s="2486">
        <f t="shared" si="5"/>
        <v>6126.51</v>
      </c>
    </row>
    <row r="21" spans="1:19" ht="14.25">
      <c r="A21" s="33"/>
      <c r="B21" s="26" t="s">
        <v>633</v>
      </c>
      <c r="C21" s="1421" t="s">
        <v>3446</v>
      </c>
      <c r="D21" s="337">
        <f t="shared" si="6"/>
        <v>13483.3</v>
      </c>
      <c r="E21" s="345">
        <f t="shared" si="1"/>
        <v>56450.890000000058</v>
      </c>
      <c r="F21" s="346">
        <f>面积明细及结果汇总!M4</f>
        <v>56450.890000000058</v>
      </c>
      <c r="G21" s="347"/>
      <c r="H21" s="1133">
        <f t="shared" si="7"/>
        <v>0</v>
      </c>
      <c r="I21" s="340">
        <f t="shared" si="2"/>
        <v>0</v>
      </c>
      <c r="J21" s="2223"/>
      <c r="K21" s="2805">
        <f t="shared" si="3"/>
        <v>0</v>
      </c>
      <c r="L21" s="2485">
        <f t="shared" si="4"/>
        <v>0</v>
      </c>
      <c r="M21" s="2823">
        <f t="shared" si="8"/>
        <v>0</v>
      </c>
      <c r="N21" s="2821"/>
      <c r="O21" s="2803"/>
      <c r="P21" s="2806">
        <f t="shared" si="9"/>
        <v>0</v>
      </c>
      <c r="R21" s="2485">
        <f t="shared" si="5"/>
        <v>13483.3</v>
      </c>
      <c r="S21" s="2486">
        <f t="shared" si="5"/>
        <v>56450.890000000058</v>
      </c>
    </row>
    <row r="22" spans="1:19" ht="14.25">
      <c r="A22" s="33"/>
      <c r="B22" s="26" t="s">
        <v>633</v>
      </c>
      <c r="C22" s="349"/>
      <c r="D22" s="337">
        <f t="shared" si="6"/>
        <v>0</v>
      </c>
      <c r="E22" s="345">
        <f t="shared" si="1"/>
        <v>0</v>
      </c>
      <c r="F22" s="350"/>
      <c r="G22" s="351"/>
      <c r="H22" s="1133">
        <f t="shared" si="7"/>
        <v>0</v>
      </c>
      <c r="I22" s="340">
        <f t="shared" si="2"/>
        <v>0</v>
      </c>
      <c r="J22" s="2223"/>
      <c r="K22" s="2805">
        <f t="shared" si="3"/>
        <v>0</v>
      </c>
      <c r="L22" s="2485">
        <f t="shared" si="4"/>
        <v>0</v>
      </c>
      <c r="M22" s="2823">
        <f t="shared" si="8"/>
        <v>0</v>
      </c>
      <c r="N22" s="2821"/>
      <c r="O22" s="2803"/>
      <c r="P22" s="2806">
        <f t="shared" si="9"/>
        <v>0</v>
      </c>
      <c r="R22" s="2485">
        <f t="shared" si="5"/>
        <v>0</v>
      </c>
      <c r="S22" s="2486">
        <f t="shared" si="5"/>
        <v>0</v>
      </c>
    </row>
    <row r="23" spans="1:19" ht="14.25">
      <c r="A23" s="33"/>
      <c r="B23" s="26" t="s">
        <v>633</v>
      </c>
      <c r="C23" s="349"/>
      <c r="D23" s="337">
        <f>ROUND($D$3*E23/$E$3,2)</f>
        <v>0</v>
      </c>
      <c r="E23" s="345">
        <f>SUM(F23:G23)</f>
        <v>0</v>
      </c>
      <c r="F23" s="350"/>
      <c r="G23" s="351"/>
      <c r="H23" s="1133">
        <f>ROUND($D$3*I23/$E$3,2)</f>
        <v>0</v>
      </c>
      <c r="I23" s="340">
        <f t="shared" si="2"/>
        <v>0</v>
      </c>
      <c r="J23" s="2223"/>
      <c r="K23" s="2805">
        <f t="shared" si="3"/>
        <v>0</v>
      </c>
      <c r="L23" s="2485">
        <f t="shared" si="4"/>
        <v>0</v>
      </c>
      <c r="M23" s="2823">
        <f t="shared" si="8"/>
        <v>0</v>
      </c>
      <c r="N23" s="2821"/>
      <c r="O23" s="2803"/>
      <c r="P23" s="2806">
        <f t="shared" si="9"/>
        <v>0</v>
      </c>
      <c r="R23" s="2485">
        <f t="shared" si="5"/>
        <v>0</v>
      </c>
      <c r="S23" s="2486">
        <f t="shared" si="5"/>
        <v>0</v>
      </c>
    </row>
    <row r="24" spans="1:19" ht="14.25">
      <c r="A24" s="33"/>
      <c r="B24" s="26" t="s">
        <v>633</v>
      </c>
      <c r="C24" s="349"/>
      <c r="D24" s="337">
        <f>ROUND($D$3*E24/$E$3,2)</f>
        <v>0</v>
      </c>
      <c r="E24" s="345">
        <f>SUM(F24:G24)</f>
        <v>0</v>
      </c>
      <c r="F24" s="350"/>
      <c r="G24" s="351"/>
      <c r="H24" s="1133">
        <f>ROUND($D$3*I24/$E$3,2)</f>
        <v>0</v>
      </c>
      <c r="I24" s="340">
        <f t="shared" si="2"/>
        <v>0</v>
      </c>
      <c r="J24" s="2223"/>
      <c r="K24" s="2805">
        <f t="shared" si="3"/>
        <v>0</v>
      </c>
      <c r="L24" s="2485">
        <f t="shared" si="4"/>
        <v>0</v>
      </c>
      <c r="M24" s="2823">
        <f t="shared" si="8"/>
        <v>0</v>
      </c>
      <c r="N24" s="2821"/>
      <c r="O24" s="2803"/>
      <c r="P24" s="2806">
        <f t="shared" si="9"/>
        <v>0</v>
      </c>
      <c r="R24" s="2485">
        <f t="shared" si="5"/>
        <v>0</v>
      </c>
      <c r="S24" s="2486">
        <f t="shared" si="5"/>
        <v>0</v>
      </c>
    </row>
    <row r="25" spans="1:19" ht="14.25">
      <c r="A25" s="33"/>
      <c r="B25" s="26" t="s">
        <v>633</v>
      </c>
      <c r="C25" s="349"/>
      <c r="D25" s="337">
        <f t="shared" si="6"/>
        <v>0</v>
      </c>
      <c r="E25" s="345">
        <f t="shared" si="1"/>
        <v>0</v>
      </c>
      <c r="F25" s="350"/>
      <c r="G25" s="351"/>
      <c r="H25" s="336">
        <f t="shared" si="7"/>
        <v>0</v>
      </c>
      <c r="I25" s="340">
        <f t="shared" si="2"/>
        <v>0</v>
      </c>
      <c r="J25" s="2223"/>
      <c r="K25" s="2805">
        <f t="shared" si="3"/>
        <v>0</v>
      </c>
      <c r="L25" s="2485">
        <f t="shared" si="4"/>
        <v>0</v>
      </c>
      <c r="M25" s="2823">
        <f t="shared" si="8"/>
        <v>0</v>
      </c>
      <c r="N25" s="2821"/>
      <c r="O25" s="2803"/>
      <c r="P25" s="2806">
        <f t="shared" si="9"/>
        <v>0</v>
      </c>
      <c r="R25" s="2485">
        <f t="shared" si="5"/>
        <v>0</v>
      </c>
      <c r="S25" s="2486">
        <f t="shared" si="5"/>
        <v>0</v>
      </c>
    </row>
    <row r="26" spans="1:19" ht="14.25">
      <c r="A26" s="33"/>
      <c r="B26" s="26" t="s">
        <v>633</v>
      </c>
      <c r="C26" s="353"/>
      <c r="D26" s="337">
        <f t="shared" si="6"/>
        <v>0</v>
      </c>
      <c r="E26" s="345">
        <f t="shared" si="1"/>
        <v>0</v>
      </c>
      <c r="F26" s="350"/>
      <c r="G26" s="351"/>
      <c r="H26" s="336">
        <f t="shared" si="7"/>
        <v>0</v>
      </c>
      <c r="I26" s="340">
        <f t="shared" si="2"/>
        <v>0</v>
      </c>
      <c r="J26" s="2223"/>
      <c r="K26" s="2814">
        <f t="shared" si="3"/>
        <v>0</v>
      </c>
      <c r="L26" s="2815">
        <f t="shared" si="4"/>
        <v>0</v>
      </c>
      <c r="M26" s="357">
        <f t="shared" si="8"/>
        <v>0</v>
      </c>
      <c r="N26" s="2822"/>
      <c r="O26" s="2816"/>
      <c r="P26" s="2817">
        <f t="shared" si="9"/>
        <v>0</v>
      </c>
      <c r="R26" s="2485">
        <f t="shared" si="5"/>
        <v>0</v>
      </c>
      <c r="S26" s="2486">
        <f t="shared" si="5"/>
        <v>0</v>
      </c>
    </row>
    <row r="27" spans="1:19" ht="15.75" thickBot="1">
      <c r="A27" s="33"/>
      <c r="B27" s="23"/>
      <c r="C27" s="2776" t="s">
        <v>634</v>
      </c>
      <c r="D27" s="2808">
        <f>SUM(D19:D26)</f>
        <v>15994.669999999998</v>
      </c>
      <c r="E27" s="2809">
        <f>IF(SUM(E19:E26)='数据-基础表'!BA5,SUM(E19:E26),IF(F27="地上面积有误","面积有误","地下面积有误"))</f>
        <v>66965.320000000065</v>
      </c>
      <c r="F27" s="2808">
        <f>IF(SUM(F19:F26)=E8,SUM(F19:F26),"地上面积有误")</f>
        <v>66965.320000000065</v>
      </c>
      <c r="G27" s="2810">
        <f>SUM(G19:G26)</f>
        <v>0</v>
      </c>
      <c r="H27" s="2811">
        <f>SUM(H19:H26)</f>
        <v>0</v>
      </c>
      <c r="I27" s="2812">
        <f>SUM(I19:I26)</f>
        <v>0</v>
      </c>
      <c r="J27" s="2223"/>
      <c r="K27" s="2818">
        <f>SUM(K19:K26)</f>
        <v>0</v>
      </c>
      <c r="L27" s="2819">
        <f>SUM(L19:L26)</f>
        <v>0</v>
      </c>
      <c r="M27" s="2824">
        <f>SUM(M19:M26)</f>
        <v>0</v>
      </c>
      <c r="N27" s="2818">
        <f t="shared" ref="N27:O27" si="10">SUM(N19:N26)</f>
        <v>0</v>
      </c>
      <c r="O27" s="2819">
        <f t="shared" si="10"/>
        <v>0</v>
      </c>
      <c r="P27" s="2820">
        <f>SUM(P19:P26)</f>
        <v>0</v>
      </c>
      <c r="R27" s="2487">
        <f>IF(SUM(R19:R26)=$D$3,SUM(R19:R26),SUM(R19:R26)&amp;"误差"&amp;ROUND(SUM(R19:R26)-$D$3,2))</f>
        <v>15994.669999999998</v>
      </c>
      <c r="S27" s="2485">
        <f>IF(SUM(S19:S26)=$E$3,SUM(S19:S26),SUM(S19:S26)&amp;"误差"&amp;ROUND(SUM(S19:S26)-E3,2))</f>
        <v>66965.320000000065</v>
      </c>
    </row>
    <row r="28" spans="1:19" ht="14.25">
      <c r="A28" s="33"/>
      <c r="B28" s="26" t="s">
        <v>635</v>
      </c>
      <c r="C28" s="5" t="s">
        <v>636</v>
      </c>
      <c r="D28" s="337">
        <f>ROUND($D$3*E28/$E$3,2)</f>
        <v>0</v>
      </c>
      <c r="E28" s="345">
        <f>SUM(F28:G28)</f>
        <v>0</v>
      </c>
      <c r="F28" s="354">
        <f>'数据-基础表'!BQ5+'数据-基础表'!BS5</f>
        <v>0</v>
      </c>
      <c r="G28" s="355">
        <f>'数据-基础表'!BR5+'数据-基础表'!BT5</f>
        <v>0</v>
      </c>
      <c r="H28" s="2223"/>
      <c r="I28" s="2223"/>
      <c r="J28" s="2223"/>
      <c r="K28" s="2223"/>
      <c r="L28" s="2223"/>
      <c r="M28" s="2223"/>
      <c r="N28" s="2807"/>
      <c r="O28" s="2807"/>
      <c r="P28" s="2223"/>
    </row>
    <row r="29" spans="1:19" ht="14.25">
      <c r="A29" s="33"/>
      <c r="B29" s="26" t="s">
        <v>635</v>
      </c>
      <c r="C29" s="13" t="s">
        <v>2391</v>
      </c>
      <c r="D29" s="337">
        <f>ROUND($D$3*E29/$E$3,2)</f>
        <v>0</v>
      </c>
      <c r="E29" s="345">
        <f>SUM(F29:G29)</f>
        <v>0</v>
      </c>
      <c r="F29" s="356">
        <f>'数据-基础表'!BM5+'数据-基础表'!BO5</f>
        <v>0</v>
      </c>
      <c r="G29" s="357">
        <f>'数据-基础表'!BN5+'数据-基础表'!BP5</f>
        <v>0</v>
      </c>
      <c r="H29" s="2223"/>
      <c r="I29" s="2223"/>
      <c r="J29" s="2223"/>
      <c r="K29" s="2223"/>
      <c r="L29" s="2223"/>
      <c r="M29" s="2223"/>
      <c r="N29" s="2807"/>
      <c r="O29" s="2807"/>
      <c r="P29" s="2223"/>
    </row>
    <row r="30" spans="1:19" ht="15">
      <c r="A30" s="33"/>
      <c r="B30" s="26"/>
      <c r="C30" s="2813" t="s">
        <v>634</v>
      </c>
      <c r="D30" s="2808">
        <f>SUM(D28:D29)</f>
        <v>0</v>
      </c>
      <c r="E30" s="2808">
        <f>SUM(E28:E29)</f>
        <v>0</v>
      </c>
      <c r="F30" s="2808">
        <f>SUM(F28:F29)</f>
        <v>0</v>
      </c>
      <c r="G30" s="2810">
        <f>SUM(G28:G29)</f>
        <v>0</v>
      </c>
      <c r="H30" s="2223"/>
      <c r="I30" s="2223"/>
      <c r="J30" s="2223"/>
      <c r="K30" s="2223"/>
      <c r="L30" s="2223"/>
      <c r="M30" s="2223"/>
      <c r="N30" s="2807"/>
      <c r="O30" s="2807"/>
      <c r="P30" s="2223"/>
    </row>
    <row r="31" spans="1:19" ht="15.75" thickBot="1">
      <c r="A31" s="1188"/>
      <c r="B31" s="2524"/>
      <c r="C31" s="2525" t="s">
        <v>637</v>
      </c>
      <c r="D31" s="1189">
        <f>D27+D30</f>
        <v>15994.669999999998</v>
      </c>
      <c r="E31" s="1189">
        <f>E27+E30</f>
        <v>66965.320000000065</v>
      </c>
      <c r="F31" s="1190">
        <f>F27+F30</f>
        <v>66965.320000000065</v>
      </c>
      <c r="G31" s="1191">
        <f>G27+G30</f>
        <v>0</v>
      </c>
      <c r="H31" s="2223"/>
      <c r="I31" s="2223"/>
      <c r="J31" s="2223"/>
      <c r="K31" s="2223"/>
      <c r="L31" s="2223"/>
      <c r="M31" s="2223"/>
      <c r="N31" s="2223"/>
      <c r="O31" s="2223"/>
      <c r="P31" s="2223"/>
    </row>
    <row r="32" spans="1:19" ht="14.25">
      <c r="A32" s="1182"/>
      <c r="B32" s="1182" t="s">
        <v>2704</v>
      </c>
      <c r="C32" s="1182"/>
      <c r="D32" s="1182"/>
      <c r="E32" s="2523">
        <f>SUMIF(C19:C26,"*住宅*",E19:E26)</f>
        <v>0</v>
      </c>
      <c r="F32" s="1182"/>
      <c r="G32" s="1182"/>
      <c r="H32" s="2223"/>
      <c r="I32" s="2223"/>
      <c r="J32" s="2223"/>
      <c r="K32" s="2223"/>
      <c r="L32" s="2223"/>
      <c r="M32" s="2223"/>
      <c r="N32" s="2223"/>
      <c r="O32" s="2223"/>
      <c r="P32" s="2223"/>
    </row>
    <row r="33" spans="4:4">
      <c r="D33" s="222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E36" sqref="E36"/>
      <selection pane="topRight" activeCell="E36" sqref="E36"/>
      <selection pane="bottomLeft" activeCell="E36" sqref="E36"/>
      <selection pane="bottomRight" activeCell="P22" sqref="P22"/>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6"/>
    <col min="41" max="41" width="11.625" style="2236" customWidth="1"/>
    <col min="42" max="42" width="9.75" style="2236" customWidth="1"/>
    <col min="43" max="67" width="13.75" style="2236"/>
    <col min="68" max="16384" width="13.75" style="1194"/>
  </cols>
  <sheetData>
    <row r="1" spans="1:67" ht="19.5" thickBot="1">
      <c r="A1" s="44" t="s">
        <v>668</v>
      </c>
      <c r="B1" s="1193"/>
      <c r="C1" s="2227"/>
      <c r="D1" s="2228"/>
      <c r="E1" s="2227"/>
      <c r="F1" s="2227"/>
      <c r="G1" s="2227"/>
      <c r="H1" s="2227"/>
      <c r="I1" s="2227"/>
      <c r="J1" s="2227"/>
      <c r="K1" s="2229"/>
      <c r="L1" s="2229"/>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row>
    <row r="2" spans="1:67" s="1196" customFormat="1" ht="15" thickBot="1">
      <c r="A2" s="45" t="s">
        <v>669</v>
      </c>
      <c r="B2" s="2514">
        <f>项目基本情况!D3</f>
        <v>42956</v>
      </c>
      <c r="C2" s="2230"/>
      <c r="D2" s="2231"/>
      <c r="E2" s="2230"/>
      <c r="F2" s="2230"/>
      <c r="G2" s="2230"/>
      <c r="H2" s="2230"/>
      <c r="I2" s="2230"/>
      <c r="J2" s="2230"/>
      <c r="K2" s="2232"/>
      <c r="L2" s="2232"/>
      <c r="M2" s="2230"/>
      <c r="N2" s="2230"/>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2230"/>
      <c r="AM2" s="2230"/>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row>
    <row r="3" spans="1:67" s="1196" customFormat="1" ht="14.25" thickBot="1">
      <c r="A3" s="1197"/>
      <c r="B3" s="1195"/>
      <c r="C3" s="2230"/>
      <c r="D3" s="2231"/>
      <c r="E3" s="2230"/>
      <c r="F3" s="2230"/>
      <c r="G3" s="2230"/>
      <c r="H3" s="2230"/>
      <c r="I3" s="2230"/>
      <c r="J3" s="2230"/>
      <c r="K3" s="2232"/>
      <c r="L3" s="2232"/>
      <c r="M3" s="2230"/>
      <c r="N3" s="2230"/>
      <c r="O3" s="2230"/>
      <c r="P3" s="2230"/>
      <c r="Q3" s="2230"/>
      <c r="R3" s="2230"/>
      <c r="S3" s="2230"/>
      <c r="T3" s="2230"/>
      <c r="U3" s="2230"/>
      <c r="V3" s="2230"/>
      <c r="W3" s="2230"/>
      <c r="X3" s="2230"/>
      <c r="Y3" s="2230"/>
      <c r="Z3" s="2230"/>
      <c r="AA3" s="2230"/>
      <c r="AB3" s="2230"/>
      <c r="AC3" s="2230"/>
      <c r="AD3" s="2230"/>
      <c r="AE3" s="2230"/>
      <c r="AF3" s="2230"/>
      <c r="AG3" s="2230"/>
      <c r="AH3" s="2230"/>
      <c r="AI3" s="2230"/>
      <c r="AJ3" s="2230"/>
      <c r="AK3" s="2230"/>
      <c r="AL3" s="2230"/>
      <c r="AM3" s="2230"/>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row>
    <row r="4" spans="1:67" s="1196" customFormat="1" ht="14.25" thickBot="1">
      <c r="A4" s="46" t="s">
        <v>670</v>
      </c>
      <c r="B4" s="275"/>
      <c r="C4" s="276"/>
      <c r="D4" s="1198"/>
      <c r="E4" s="276" t="s">
        <v>532</v>
      </c>
      <c r="F4" s="276"/>
      <c r="G4" s="276"/>
      <c r="H4" s="276"/>
      <c r="I4" s="276"/>
      <c r="J4" s="277"/>
      <c r="K4" s="1199"/>
      <c r="L4" s="1200"/>
      <c r="M4" s="276"/>
      <c r="N4" s="276" t="s">
        <v>533</v>
      </c>
      <c r="O4" s="276"/>
      <c r="P4" s="276"/>
      <c r="Q4" s="276"/>
      <c r="R4" s="276"/>
      <c r="S4" s="277"/>
      <c r="T4" s="1201" t="str">
        <f>'数据-汇总表'!I17</f>
        <v>按面积比例</v>
      </c>
      <c r="U4" s="275" t="s">
        <v>671</v>
      </c>
      <c r="V4" s="276"/>
      <c r="W4" s="276"/>
      <c r="X4" s="276"/>
      <c r="Y4" s="277"/>
      <c r="Z4" s="34" t="s">
        <v>672</v>
      </c>
      <c r="AA4" s="34"/>
      <c r="AB4" s="34"/>
      <c r="AC4" s="34"/>
      <c r="AD4" s="34"/>
      <c r="AE4" s="29" t="s">
        <v>673</v>
      </c>
      <c r="AF4" s="34"/>
      <c r="AG4" s="63"/>
      <c r="AH4" s="275"/>
      <c r="AI4" s="276"/>
      <c r="AJ4" s="276"/>
      <c r="AK4" s="276"/>
      <c r="AL4" s="276"/>
      <c r="AM4" s="27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row>
    <row r="5" spans="1:67" s="1203" customFormat="1" ht="54">
      <c r="A5" s="47" t="s">
        <v>2393</v>
      </c>
      <c r="B5" s="48" t="s">
        <v>674</v>
      </c>
      <c r="C5" s="49" t="s">
        <v>675</v>
      </c>
      <c r="D5" s="50" t="s">
        <v>676</v>
      </c>
      <c r="E5" s="51" t="s">
        <v>677</v>
      </c>
      <c r="F5" s="52" t="s">
        <v>678</v>
      </c>
      <c r="G5" s="51" t="s">
        <v>679</v>
      </c>
      <c r="H5" s="51" t="s">
        <v>680</v>
      </c>
      <c r="I5" s="51" t="s">
        <v>681</v>
      </c>
      <c r="J5" s="53" t="s">
        <v>682</v>
      </c>
      <c r="K5" s="54" t="s">
        <v>683</v>
      </c>
      <c r="L5" s="55" t="s">
        <v>684</v>
      </c>
      <c r="M5" s="56" t="s">
        <v>685</v>
      </c>
      <c r="N5" s="1202" t="s">
        <v>76</v>
      </c>
      <c r="O5" s="55" t="s">
        <v>686</v>
      </c>
      <c r="P5" s="57" t="s">
        <v>687</v>
      </c>
      <c r="Q5" s="58" t="s">
        <v>688</v>
      </c>
      <c r="R5" s="273" t="s">
        <v>689</v>
      </c>
      <c r="S5" s="59" t="s">
        <v>2684</v>
      </c>
      <c r="T5" s="274" t="s">
        <v>690</v>
      </c>
      <c r="U5" s="2515" t="s">
        <v>2399</v>
      </c>
      <c r="V5" s="51" t="s">
        <v>691</v>
      </c>
      <c r="W5" s="2516" t="s">
        <v>2400</v>
      </c>
      <c r="X5" s="62"/>
      <c r="Y5" s="60" t="s">
        <v>692</v>
      </c>
      <c r="Z5" s="61" t="s">
        <v>693</v>
      </c>
      <c r="AA5" s="51" t="s">
        <v>691</v>
      </c>
      <c r="AB5" s="2516" t="s">
        <v>2400</v>
      </c>
      <c r="AC5" s="62"/>
      <c r="AD5" s="62" t="s">
        <v>692</v>
      </c>
      <c r="AE5" s="14" t="s">
        <v>534</v>
      </c>
      <c r="AF5" s="51" t="s">
        <v>694</v>
      </c>
      <c r="AG5" s="60" t="s">
        <v>695</v>
      </c>
      <c r="AH5" s="14" t="s">
        <v>2404</v>
      </c>
      <c r="AI5" s="61" t="s">
        <v>2321</v>
      </c>
      <c r="AJ5" s="61" t="s">
        <v>696</v>
      </c>
      <c r="AK5" s="2516" t="s">
        <v>2401</v>
      </c>
      <c r="AL5" s="2516" t="s">
        <v>2402</v>
      </c>
      <c r="AM5" s="360" t="s">
        <v>2403</v>
      </c>
      <c r="AN5" s="2573" t="s">
        <v>2443</v>
      </c>
      <c r="AO5" s="2011" t="s">
        <v>2675</v>
      </c>
      <c r="AP5" s="2892" t="s">
        <v>2685</v>
      </c>
      <c r="AQ5" s="2893" t="s">
        <v>2796</v>
      </c>
      <c r="AR5" s="2893" t="s">
        <v>2797</v>
      </c>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row>
    <row r="6" spans="1:67" s="1196" customFormat="1" ht="14.25">
      <c r="A6" s="2513" t="str">
        <f>'数据-汇总表'!C19</f>
        <v>1、2、3号楼1层商业</v>
      </c>
      <c r="B6" s="2491" t="str">
        <f>IF(A6=0,"","经营性")</f>
        <v>经营性</v>
      </c>
      <c r="C6" s="39" t="s">
        <v>3044</v>
      </c>
      <c r="D6" s="2054">
        <f>SUMIF(项目基本情况!D$12:I$12,C6,项目基本情况!D$14:I$14)</f>
        <v>40</v>
      </c>
      <c r="E6" s="2048">
        <f>IF(B6="","",SUMIF(项目基本情况!D$12:I$12,C6,项目基本情况!D$13:I$13))</f>
        <v>55369</v>
      </c>
      <c r="F6" s="362">
        <f>SUMIF(项目基本情况!D$12:I$12,C6,项目基本情况!D$15:I$15)</f>
        <v>34</v>
      </c>
      <c r="G6" s="363">
        <f>IF(ISERROR(ROUND(POWER(1+H6,D6-F6)*(POWER(1+H6,F6)-1)/(POWER(1+H6,D6)-1),3)),0,ROUND(POWER(1+H6,D6-F6)*(POWER(1+H6,F6)-1)/(POWER(1+H6,D6)-1),3))</f>
        <v>0.93700000000000006</v>
      </c>
      <c r="H6" s="1476">
        <v>4.4999999999999998E-2</v>
      </c>
      <c r="I6" s="1476">
        <v>0.05</v>
      </c>
      <c r="J6" s="364">
        <v>8.5000000000000006E-2</v>
      </c>
      <c r="K6" s="2494">
        <f>SUMIF('数据-汇总表'!C$19:C$33,A6,'数据-汇总表'!E$19:E$33)</f>
        <v>4387.92</v>
      </c>
      <c r="L6" s="1477">
        <v>3000</v>
      </c>
      <c r="M6" s="365">
        <f t="shared" ref="M6:M14" si="0">ROUND(K6*L6/10000,0)</f>
        <v>1316</v>
      </c>
      <c r="N6" s="1475">
        <f>ROUND(1-(2017-2016)/60,2)</f>
        <v>0.98</v>
      </c>
      <c r="O6" s="365" t="str">
        <f>IF($N$5="成新度","——",ROUND(M6*N6,0))</f>
        <v>——</v>
      </c>
      <c r="P6" s="366" t="str">
        <f>IF($N$5="成新度","——",M6-O6)</f>
        <v>——</v>
      </c>
      <c r="Q6" s="1478">
        <v>0.2</v>
      </c>
      <c r="R6" s="367">
        <f ca="1">SUMIF('数据-汇总表'!C$19:C$33,A6,'数据-汇总表'!R$19:R$27)</f>
        <v>1048.05</v>
      </c>
      <c r="S6" s="343">
        <f>IF('数据-汇总表'!$I$17="按面积比例",SUMIF('数据-汇总表'!C$19:C$33,A6,'数据-汇总表'!K$19:K$33),SUMIF('数据-汇总表'!C$19:C$33,A6,'数据-汇总表'!N$19:N$33))</f>
        <v>0</v>
      </c>
      <c r="T6" s="2891">
        <f>ROUND($L$14*S6/10000,0)</f>
        <v>0</v>
      </c>
      <c r="U6" s="368">
        <f>'比较法-商业 （租金）'!B3</f>
        <v>8</v>
      </c>
      <c r="V6" s="369">
        <v>2.5000000000000001E-2</v>
      </c>
      <c r="W6" s="369">
        <v>0.15</v>
      </c>
      <c r="X6" s="2504"/>
      <c r="Y6" s="370">
        <f>N6</f>
        <v>0.98</v>
      </c>
      <c r="Z6" s="371"/>
      <c r="AA6" s="364"/>
      <c r="AB6" s="364"/>
      <c r="AC6" s="2504"/>
      <c r="AD6" s="372"/>
      <c r="AE6" s="2505">
        <f ca="1">IF(AN6="",0,SUMIF(INDIRECT("'"&amp;AN6&amp;"'"&amp;"!E:E"),$AE$5,INDIRECT("'"&amp;AN6&amp;"'"&amp;"!F:F")))</f>
        <v>34</v>
      </c>
      <c r="AF6" s="352"/>
      <c r="AG6" s="478">
        <f>IF(AF6="",0,AE6-AF6)</f>
        <v>0</v>
      </c>
      <c r="AH6" s="373"/>
      <c r="AI6" s="375">
        <v>365</v>
      </c>
      <c r="AJ6" s="376"/>
      <c r="AK6" s="377">
        <v>1.4999999999999999E-2</v>
      </c>
      <c r="AL6" s="378">
        <v>1.5E-3</v>
      </c>
      <c r="AM6" s="379">
        <v>2E-3</v>
      </c>
      <c r="AN6" s="2574" t="s">
        <v>3550</v>
      </c>
      <c r="AO6" s="344">
        <f ca="1">SUMIF(INDIRECT("'"&amp;AN6&amp;"'"&amp;"!A:A"),"总价",INDIRECT("'"&amp;AN6&amp;"'"&amp;"!B:B"))</f>
        <v>21976</v>
      </c>
      <c r="AP6" s="2894">
        <f>IF(C6="住宅",K6*L6,0)</f>
        <v>0</v>
      </c>
      <c r="AQ6" s="344">
        <f>ROUND($L$14*$N$14*S6/10000,0)</f>
        <v>0</v>
      </c>
      <c r="AR6" s="344">
        <f>ROUND($L$14*(1-$N$14)*S6/10000,0)</f>
        <v>0</v>
      </c>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row>
    <row r="7" spans="1:67" s="1196" customFormat="1" ht="14.25">
      <c r="A7" s="2513" t="str">
        <f>'数据-汇总表'!C20</f>
        <v>1、2、3号楼2层商业</v>
      </c>
      <c r="B7" s="2491" t="str">
        <f t="shared" ref="B7:B13" si="1">IF(A7=0,"","经营性")</f>
        <v>经营性</v>
      </c>
      <c r="C7" s="39" t="s">
        <v>3044</v>
      </c>
      <c r="D7" s="2054">
        <f>SUMIF(项目基本情况!D$12:I$12,C7,项目基本情况!D$14:I$14)</f>
        <v>40</v>
      </c>
      <c r="E7" s="2048">
        <f>IF(B7="","",SUMIF(项目基本情况!D$12:I$12,C7,项目基本情况!D$13:I$13))</f>
        <v>55369</v>
      </c>
      <c r="F7" s="362">
        <f>SUMIF(项目基本情况!D$12:I$12,C7,项目基本情况!D$15:I$15)</f>
        <v>34</v>
      </c>
      <c r="G7" s="363">
        <f t="shared" ref="G7:G11" si="2">IF(ISERROR(ROUND(POWER(1+H7,D7-F7)*(POWER(1+H7,F7)-1)/(POWER(1+H7,D7)-1),3)),0,ROUND(POWER(1+H7,D7-F7)*(POWER(1+H7,F7)-1)/(POWER(1+H7,D7)-1),3))</f>
        <v>0.93700000000000006</v>
      </c>
      <c r="H7" s="1476">
        <v>4.4999999999999998E-2</v>
      </c>
      <c r="I7" s="1476">
        <v>0.05</v>
      </c>
      <c r="J7" s="364">
        <v>8.5000000000000006E-2</v>
      </c>
      <c r="K7" s="2494">
        <f>SUMIF('数据-汇总表'!C$19:C$33,A7,'数据-汇总表'!E$19:E$33)</f>
        <v>6126.51</v>
      </c>
      <c r="L7" s="1477">
        <v>3000</v>
      </c>
      <c r="M7" s="365">
        <f t="shared" si="0"/>
        <v>1838</v>
      </c>
      <c r="N7" s="1475">
        <f>ROUND(1-(2017-2016)/60,2)</f>
        <v>0.98</v>
      </c>
      <c r="O7" s="365" t="str">
        <f t="shared" ref="O7:O14" si="3">IF($N$5="成新度","——",ROUND(M7*N7,0))</f>
        <v>——</v>
      </c>
      <c r="P7" s="366" t="str">
        <f t="shared" ref="P7:P14" si="4">IF($N$5="成新度","——",M7-O7)</f>
        <v>——</v>
      </c>
      <c r="Q7" s="1478">
        <v>0.2</v>
      </c>
      <c r="R7" s="367">
        <f ca="1">SUMIF('数据-汇总表'!C$19:C$33,A7,'数据-汇总表'!R$19:R$27)</f>
        <v>1463.32</v>
      </c>
      <c r="S7" s="343">
        <f>IF('数据-汇总表'!$I$17="按面积比例",SUMIF('数据-汇总表'!C$19:C$33,A7,'数据-汇总表'!K$19:K$33),SUMIF('数据-汇总表'!C$19:C$33,A7,'数据-汇总表'!N$19:N$33))</f>
        <v>0</v>
      </c>
      <c r="T7" s="2891">
        <f t="shared" ref="T7:T13" si="5">ROUND($L$14*S7/10000,0)</f>
        <v>0</v>
      </c>
      <c r="U7" s="368"/>
      <c r="V7" s="369"/>
      <c r="W7" s="369"/>
      <c r="X7" s="2504"/>
      <c r="Y7" s="370">
        <f t="shared" ref="Y7:Y8" si="6">N7</f>
        <v>0.98</v>
      </c>
      <c r="Z7" s="371"/>
      <c r="AA7" s="364"/>
      <c r="AB7" s="364"/>
      <c r="AC7" s="2504"/>
      <c r="AD7" s="372"/>
      <c r="AE7" s="2505">
        <f t="shared" ref="AE7:AE13" ca="1" si="7">IF(AN7="",0,SUMIF(INDIRECT("'"&amp;AN7&amp;"'"&amp;"!E:E"),$AE$5,INDIRECT("'"&amp;AN7&amp;"'"&amp;"!F:F")))</f>
        <v>0</v>
      </c>
      <c r="AF7" s="352"/>
      <c r="AG7" s="478">
        <f t="shared" ref="AG7:AG13" si="8">IF(AF7="",0,AE7-AF7)</f>
        <v>0</v>
      </c>
      <c r="AH7" s="373"/>
      <c r="AI7" s="375">
        <v>365</v>
      </c>
      <c r="AJ7" s="376"/>
      <c r="AK7" s="377">
        <v>1.4999999999999999E-2</v>
      </c>
      <c r="AL7" s="378">
        <v>1.5E-3</v>
      </c>
      <c r="AM7" s="379">
        <v>2E-3</v>
      </c>
      <c r="AN7" s="2574"/>
      <c r="AO7" s="344" t="e">
        <f t="shared" ref="AO7:AO13" ca="1" si="9">SUMIF(INDIRECT("'"&amp;AN7&amp;"'"&amp;"!A:A"),"总价",INDIRECT("'"&amp;AN7&amp;"'"&amp;"!B:B"))</f>
        <v>#REF!</v>
      </c>
      <c r="AP7" s="2894">
        <f t="shared" ref="AP7:AP13" si="10">IF(C7="住宅",K7*L7,0)</f>
        <v>0</v>
      </c>
      <c r="AQ7" s="344">
        <f t="shared" ref="AQ7:AQ13" si="11">ROUND($L$14*$N$14*S7/10000,0)</f>
        <v>0</v>
      </c>
      <c r="AR7" s="344">
        <f t="shared" ref="AR7:AR13" si="12">ROUND($L$14*(1-$N$14)*S7/10000,0)</f>
        <v>0</v>
      </c>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row>
    <row r="8" spans="1:67" s="1196" customFormat="1" ht="14.25">
      <c r="A8" s="2513" t="str">
        <f>'数据-汇总表'!C21</f>
        <v>1、2、3号楼办公</v>
      </c>
      <c r="B8" s="2491" t="str">
        <f t="shared" si="1"/>
        <v>经营性</v>
      </c>
      <c r="C8" s="39" t="s">
        <v>137</v>
      </c>
      <c r="D8" s="2054">
        <f>SUMIF(项目基本情况!D$12:I$12,C8,项目基本情况!D$14:I$14)</f>
        <v>50</v>
      </c>
      <c r="E8" s="2048">
        <f>IF(B8="","",SUMIF(项目基本情况!D$12:I$12,C8,项目基本情况!D$13:I$13))</f>
        <v>59022</v>
      </c>
      <c r="F8" s="362">
        <f>SUMIF(项目基本情况!D$12:I$12,C8,项目基本情况!D$15:I$15)</f>
        <v>44.01</v>
      </c>
      <c r="G8" s="363">
        <f t="shared" si="2"/>
        <v>0.96199999999999997</v>
      </c>
      <c r="H8" s="1476">
        <v>4.4999999999999998E-2</v>
      </c>
      <c r="I8" s="1476">
        <v>0.05</v>
      </c>
      <c r="J8" s="364">
        <v>8.5000000000000006E-2</v>
      </c>
      <c r="K8" s="2494">
        <f>SUMIF('数据-汇总表'!C$19:C$33,A8,'数据-汇总表'!E$19:E$33)</f>
        <v>56450.890000000058</v>
      </c>
      <c r="L8" s="1477">
        <v>3000</v>
      </c>
      <c r="M8" s="365">
        <f>ROUND(K8*L8/10000,0)</f>
        <v>16935</v>
      </c>
      <c r="N8" s="1475">
        <f>ROUND(1-(2017-2016)/60,2)</f>
        <v>0.98</v>
      </c>
      <c r="O8" s="365" t="str">
        <f t="shared" si="3"/>
        <v>——</v>
      </c>
      <c r="P8" s="366" t="str">
        <f t="shared" si="4"/>
        <v>——</v>
      </c>
      <c r="Q8" s="1478">
        <v>0.15</v>
      </c>
      <c r="R8" s="367">
        <f ca="1">SUMIF('数据-汇总表'!C$19:C$33,A8,'数据-汇总表'!R$19:R$27)</f>
        <v>13483.3</v>
      </c>
      <c r="S8" s="343">
        <f>IF('数据-汇总表'!$I$17="按面积比例",SUMIF('数据-汇总表'!C$19:C$33,A8,'数据-汇总表'!K$19:K$33),SUMIF('数据-汇总表'!C$19:C$33,A8,'数据-汇总表'!N$19:N$33))</f>
        <v>0</v>
      </c>
      <c r="T8" s="2891">
        <f t="shared" si="5"/>
        <v>0</v>
      </c>
      <c r="U8" s="1479">
        <f>'比较法-办公 (租金)'!B3</f>
        <v>6</v>
      </c>
      <c r="V8" s="1480">
        <v>0.03</v>
      </c>
      <c r="W8" s="1480">
        <v>0.15</v>
      </c>
      <c r="X8" s="2504"/>
      <c r="Y8" s="370">
        <f t="shared" si="6"/>
        <v>0.98</v>
      </c>
      <c r="Z8" s="371"/>
      <c r="AA8" s="364"/>
      <c r="AB8" s="364"/>
      <c r="AC8" s="2504"/>
      <c r="AD8" s="372"/>
      <c r="AE8" s="2505">
        <f t="shared" ca="1" si="7"/>
        <v>44.01</v>
      </c>
      <c r="AF8" s="352"/>
      <c r="AG8" s="478">
        <f t="shared" si="8"/>
        <v>0</v>
      </c>
      <c r="AH8" s="1481"/>
      <c r="AI8" s="375">
        <v>365</v>
      </c>
      <c r="AJ8" s="376"/>
      <c r="AK8" s="377">
        <v>1.4999999999999999E-2</v>
      </c>
      <c r="AL8" s="378">
        <v>1.5E-3</v>
      </c>
      <c r="AM8" s="379">
        <v>2E-3</v>
      </c>
      <c r="AN8" s="2574" t="s">
        <v>3551</v>
      </c>
      <c r="AO8" s="344">
        <f t="shared" ca="1" si="9"/>
        <v>266290</v>
      </c>
      <c r="AP8" s="2894">
        <f t="shared" si="10"/>
        <v>0</v>
      </c>
      <c r="AQ8" s="344">
        <f t="shared" si="11"/>
        <v>0</v>
      </c>
      <c r="AR8" s="344">
        <f t="shared" si="12"/>
        <v>0</v>
      </c>
      <c r="AS8" s="2237"/>
      <c r="AT8" s="2237"/>
      <c r="AU8" s="2237"/>
      <c r="AV8" s="2237"/>
      <c r="AW8" s="2237"/>
      <c r="AX8" s="2237"/>
      <c r="AY8" s="2237"/>
      <c r="AZ8" s="2237"/>
      <c r="BA8" s="2237"/>
      <c r="BB8" s="2237"/>
      <c r="BC8" s="2237"/>
      <c r="BD8" s="2237"/>
      <c r="BE8" s="2237"/>
      <c r="BF8" s="2237"/>
      <c r="BG8" s="2237"/>
      <c r="BH8" s="2237"/>
      <c r="BI8" s="2237"/>
      <c r="BJ8" s="2237"/>
      <c r="BK8" s="2237"/>
      <c r="BL8" s="2237"/>
      <c r="BM8" s="2237"/>
      <c r="BN8" s="2237"/>
      <c r="BO8" s="2237"/>
    </row>
    <row r="9" spans="1:67" s="1196" customFormat="1" ht="14.25">
      <c r="A9" s="2513">
        <f>'数据-汇总表'!C22</f>
        <v>0</v>
      </c>
      <c r="B9" s="2491" t="str">
        <f t="shared" si="1"/>
        <v/>
      </c>
      <c r="C9" s="39"/>
      <c r="D9" s="2054">
        <f>SUMIF(项目基本情况!D$12:I$12,C9,项目基本情况!D$14:I$14)</f>
        <v>0</v>
      </c>
      <c r="E9" s="2048" t="str">
        <f>IF(B9="","",SUMIF(项目基本情况!D$12:I$12,C9,项目基本情况!D$13:I$13))</f>
        <v/>
      </c>
      <c r="F9" s="362">
        <f>SUMIF(项目基本情况!D$12:I$12,C9,项目基本情况!D$15:I$15)</f>
        <v>0</v>
      </c>
      <c r="G9" s="363">
        <f t="shared" si="2"/>
        <v>0</v>
      </c>
      <c r="H9" s="364"/>
      <c r="I9" s="364"/>
      <c r="J9" s="364"/>
      <c r="K9" s="2494">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4"/>
      <c r="Y9" s="370"/>
      <c r="Z9" s="371"/>
      <c r="AA9" s="364"/>
      <c r="AB9" s="364"/>
      <c r="AC9" s="2504"/>
      <c r="AD9" s="372"/>
      <c r="AE9" s="2505">
        <f t="shared" ca="1" si="7"/>
        <v>0</v>
      </c>
      <c r="AF9" s="352"/>
      <c r="AG9" s="478">
        <f t="shared" si="8"/>
        <v>0</v>
      </c>
      <c r="AH9" s="373"/>
      <c r="AI9" s="375"/>
      <c r="AJ9" s="376"/>
      <c r="AK9" s="377"/>
      <c r="AL9" s="378"/>
      <c r="AM9" s="379"/>
      <c r="AN9" s="2574"/>
      <c r="AO9" s="344" t="e">
        <f t="shared" ca="1" si="9"/>
        <v>#REF!</v>
      </c>
      <c r="AP9" s="2894">
        <f t="shared" si="10"/>
        <v>0</v>
      </c>
      <c r="AQ9" s="344">
        <f t="shared" si="11"/>
        <v>0</v>
      </c>
      <c r="AR9" s="344">
        <f t="shared" si="12"/>
        <v>0</v>
      </c>
      <c r="AS9" s="2237"/>
      <c r="AT9" s="2237"/>
      <c r="AU9" s="2237"/>
      <c r="AV9" s="2237"/>
      <c r="AW9" s="2237"/>
      <c r="AX9" s="2237"/>
      <c r="AY9" s="2237"/>
      <c r="AZ9" s="2237"/>
      <c r="BA9" s="2237"/>
      <c r="BB9" s="2237"/>
      <c r="BC9" s="2237"/>
      <c r="BD9" s="2237"/>
      <c r="BE9" s="2237"/>
      <c r="BF9" s="2237"/>
      <c r="BG9" s="2237"/>
      <c r="BH9" s="2237"/>
      <c r="BI9" s="2237"/>
      <c r="BJ9" s="2237"/>
      <c r="BK9" s="2237"/>
      <c r="BL9" s="2237"/>
      <c r="BM9" s="2237"/>
      <c r="BN9" s="2237"/>
      <c r="BO9" s="2237"/>
    </row>
    <row r="10" spans="1:67" s="1196" customFormat="1" ht="14.25">
      <c r="A10" s="2513">
        <f>'数据-汇总表'!C23</f>
        <v>0</v>
      </c>
      <c r="B10" s="2491" t="str">
        <f t="shared" si="1"/>
        <v/>
      </c>
      <c r="C10" s="39"/>
      <c r="D10" s="2054">
        <f>SUMIF(项目基本情况!D$12:I$12,C10,项目基本情况!D$14:I$14)</f>
        <v>0</v>
      </c>
      <c r="E10" s="2048" t="str">
        <f>IF(B10="","",SUMIF(项目基本情况!D$12:I$12,C10,项目基本情况!D$13:I$13))</f>
        <v/>
      </c>
      <c r="F10" s="362">
        <f>SUMIF(项目基本情况!D$12:I$12,C10,项目基本情况!D$15:I$15)</f>
        <v>0</v>
      </c>
      <c r="G10" s="363">
        <f t="shared" si="2"/>
        <v>0</v>
      </c>
      <c r="H10" s="364"/>
      <c r="I10" s="364"/>
      <c r="J10" s="364"/>
      <c r="K10" s="2494">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4"/>
      <c r="Y10" s="370"/>
      <c r="Z10" s="371"/>
      <c r="AA10" s="364"/>
      <c r="AB10" s="364"/>
      <c r="AC10" s="2504"/>
      <c r="AD10" s="372"/>
      <c r="AE10" s="2505">
        <f t="shared" ca="1" si="7"/>
        <v>0</v>
      </c>
      <c r="AF10" s="352"/>
      <c r="AG10" s="478">
        <f t="shared" si="8"/>
        <v>0</v>
      </c>
      <c r="AH10" s="373"/>
      <c r="AI10" s="375"/>
      <c r="AJ10" s="376"/>
      <c r="AK10" s="377"/>
      <c r="AL10" s="378"/>
      <c r="AM10" s="379"/>
      <c r="AN10" s="2574"/>
      <c r="AO10" s="344" t="e">
        <f t="shared" ca="1" si="9"/>
        <v>#REF!</v>
      </c>
      <c r="AP10" s="2894">
        <f t="shared" si="10"/>
        <v>0</v>
      </c>
      <c r="AQ10" s="344">
        <f t="shared" si="11"/>
        <v>0</v>
      </c>
      <c r="AR10" s="344">
        <f t="shared" si="12"/>
        <v>0</v>
      </c>
      <c r="AS10" s="2237"/>
      <c r="AT10" s="2237"/>
      <c r="AU10" s="2237"/>
      <c r="AV10" s="2237"/>
      <c r="AW10" s="2237"/>
      <c r="AX10" s="2237"/>
      <c r="AY10" s="2237"/>
      <c r="AZ10" s="2237"/>
      <c r="BA10" s="2237"/>
      <c r="BB10" s="2237"/>
      <c r="BC10" s="2237"/>
      <c r="BD10" s="2237"/>
      <c r="BE10" s="2237"/>
      <c r="BF10" s="2237"/>
      <c r="BG10" s="2237"/>
      <c r="BH10" s="2237"/>
      <c r="BI10" s="2237"/>
      <c r="BJ10" s="2237"/>
      <c r="BK10" s="2237"/>
      <c r="BL10" s="2237"/>
      <c r="BM10" s="2237"/>
      <c r="BN10" s="2237"/>
      <c r="BO10" s="2237"/>
    </row>
    <row r="11" spans="1:67" s="1196" customFormat="1" ht="14.25">
      <c r="A11" s="2513">
        <f>'数据-汇总表'!C24</f>
        <v>0</v>
      </c>
      <c r="B11" s="2491" t="str">
        <f t="shared" si="1"/>
        <v/>
      </c>
      <c r="C11" s="39"/>
      <c r="D11" s="2054">
        <f>SUMIF(项目基本情况!D$12:I$12,C11,项目基本情况!D$14:I$14)</f>
        <v>0</v>
      </c>
      <c r="E11" s="2048" t="str">
        <f>IF(B11="","",SUMIF(项目基本情况!D$12:I$12,C11,项目基本情况!D$13:I$13))</f>
        <v/>
      </c>
      <c r="F11" s="362">
        <f>SUMIF(项目基本情况!D$12:I$12,C11,项目基本情况!D$15:I$15)</f>
        <v>0</v>
      </c>
      <c r="G11" s="363">
        <f t="shared" si="2"/>
        <v>0</v>
      </c>
      <c r="H11" s="364"/>
      <c r="I11" s="364"/>
      <c r="J11" s="364"/>
      <c r="K11" s="2494">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4"/>
      <c r="Y11" s="370"/>
      <c r="Z11" s="383"/>
      <c r="AA11" s="364"/>
      <c r="AB11" s="364"/>
      <c r="AC11" s="2504"/>
      <c r="AD11" s="372"/>
      <c r="AE11" s="2505">
        <f t="shared" ca="1" si="7"/>
        <v>0</v>
      </c>
      <c r="AF11" s="352"/>
      <c r="AG11" s="478">
        <f t="shared" si="8"/>
        <v>0</v>
      </c>
      <c r="AH11" s="373"/>
      <c r="AI11" s="375"/>
      <c r="AJ11" s="376"/>
      <c r="AK11" s="384"/>
      <c r="AL11" s="385"/>
      <c r="AM11" s="386"/>
      <c r="AN11" s="2574"/>
      <c r="AO11" s="344" t="e">
        <f t="shared" ca="1" si="9"/>
        <v>#REF!</v>
      </c>
      <c r="AP11" s="2894">
        <f t="shared" si="10"/>
        <v>0</v>
      </c>
      <c r="AQ11" s="344">
        <f t="shared" si="11"/>
        <v>0</v>
      </c>
      <c r="AR11" s="344">
        <f t="shared" si="12"/>
        <v>0</v>
      </c>
      <c r="AS11" s="2237"/>
      <c r="AT11" s="2237"/>
      <c r="AU11" s="2237"/>
      <c r="AV11" s="2237"/>
      <c r="AW11" s="2237"/>
      <c r="AX11" s="2237"/>
      <c r="AY11" s="2237"/>
      <c r="AZ11" s="2237"/>
      <c r="BA11" s="2237"/>
      <c r="BB11" s="2237"/>
      <c r="BC11" s="2237"/>
      <c r="BD11" s="2237"/>
      <c r="BE11" s="2237"/>
      <c r="BF11" s="2237"/>
      <c r="BG11" s="2237"/>
      <c r="BH11" s="2237"/>
      <c r="BI11" s="2237"/>
      <c r="BJ11" s="2237"/>
      <c r="BK11" s="2237"/>
      <c r="BL11" s="2237"/>
      <c r="BM11" s="2237"/>
      <c r="BN11" s="2237"/>
      <c r="BO11" s="2237"/>
    </row>
    <row r="12" spans="1:67" s="1196" customFormat="1" ht="14.25">
      <c r="A12" s="2513">
        <f>'数据-汇总表'!C25</f>
        <v>0</v>
      </c>
      <c r="B12" s="2491" t="str">
        <f t="shared" si="1"/>
        <v/>
      </c>
      <c r="C12" s="39"/>
      <c r="D12" s="2054">
        <f>SUMIF(项目基本情况!D$12:I$12,C12,项目基本情况!D$14:I$14)</f>
        <v>0</v>
      </c>
      <c r="E12" s="2048"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4">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4"/>
      <c r="Y12" s="370"/>
      <c r="Z12" s="383"/>
      <c r="AA12" s="364"/>
      <c r="AB12" s="364"/>
      <c r="AC12" s="2504"/>
      <c r="AD12" s="372"/>
      <c r="AE12" s="2505">
        <f t="shared" ca="1" si="7"/>
        <v>0</v>
      </c>
      <c r="AF12" s="352"/>
      <c r="AG12" s="478">
        <f t="shared" si="8"/>
        <v>0</v>
      </c>
      <c r="AH12" s="373"/>
      <c r="AI12" s="375"/>
      <c r="AJ12" s="376"/>
      <c r="AK12" s="384"/>
      <c r="AL12" s="385"/>
      <c r="AM12" s="386"/>
      <c r="AN12" s="2574"/>
      <c r="AO12" s="344" t="e">
        <f t="shared" ca="1" si="9"/>
        <v>#REF!</v>
      </c>
      <c r="AP12" s="2894">
        <f t="shared" si="10"/>
        <v>0</v>
      </c>
      <c r="AQ12" s="344">
        <f t="shared" si="11"/>
        <v>0</v>
      </c>
      <c r="AR12" s="344">
        <f t="shared" si="12"/>
        <v>0</v>
      </c>
      <c r="AS12" s="2237"/>
      <c r="AT12" s="2237"/>
      <c r="AU12" s="2237"/>
      <c r="AV12" s="2237"/>
      <c r="AW12" s="2237"/>
      <c r="AX12" s="2237"/>
      <c r="AY12" s="2237"/>
      <c r="AZ12" s="2237"/>
      <c r="BA12" s="2237"/>
      <c r="BB12" s="2237"/>
      <c r="BC12" s="2237"/>
      <c r="BD12" s="2237"/>
      <c r="BE12" s="2237"/>
      <c r="BF12" s="2237"/>
      <c r="BG12" s="2237"/>
      <c r="BH12" s="2237"/>
      <c r="BI12" s="2237"/>
      <c r="BJ12" s="2237"/>
      <c r="BK12" s="2237"/>
      <c r="BL12" s="2237"/>
      <c r="BM12" s="2237"/>
      <c r="BN12" s="2237"/>
      <c r="BO12" s="2237"/>
    </row>
    <row r="13" spans="1:67" s="1196" customFormat="1" ht="14.25">
      <c r="A13" s="2513">
        <f>'数据-汇总表'!C26</f>
        <v>0</v>
      </c>
      <c r="B13" s="2491" t="str">
        <f t="shared" si="1"/>
        <v/>
      </c>
      <c r="C13" s="39"/>
      <c r="D13" s="2054">
        <f>SUMIF(项目基本情况!D$12:I$12,C13,项目基本情况!D$14:I$14)</f>
        <v>0</v>
      </c>
      <c r="E13" s="2048"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4">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4"/>
      <c r="Y13" s="370"/>
      <c r="Z13" s="371"/>
      <c r="AA13" s="364"/>
      <c r="AB13" s="364"/>
      <c r="AC13" s="2504"/>
      <c r="AD13" s="372"/>
      <c r="AE13" s="2505">
        <f t="shared" ca="1" si="7"/>
        <v>0</v>
      </c>
      <c r="AF13" s="352"/>
      <c r="AG13" s="478">
        <f t="shared" si="8"/>
        <v>0</v>
      </c>
      <c r="AH13" s="373"/>
      <c r="AI13" s="375"/>
      <c r="AJ13" s="376"/>
      <c r="AK13" s="377"/>
      <c r="AL13" s="378"/>
      <c r="AM13" s="379"/>
      <c r="AN13" s="2574"/>
      <c r="AO13" s="344" t="e">
        <f t="shared" ca="1" si="9"/>
        <v>#REF!</v>
      </c>
      <c r="AP13" s="2894">
        <f t="shared" si="10"/>
        <v>0</v>
      </c>
      <c r="AQ13" s="344">
        <f t="shared" si="11"/>
        <v>0</v>
      </c>
      <c r="AR13" s="344">
        <f t="shared" si="12"/>
        <v>0</v>
      </c>
      <c r="AS13" s="2237"/>
      <c r="AT13" s="2237"/>
      <c r="AU13" s="2237"/>
      <c r="AV13" s="2237"/>
      <c r="AW13" s="2237"/>
      <c r="AX13" s="2237"/>
      <c r="AY13" s="2237"/>
      <c r="AZ13" s="2237"/>
      <c r="BA13" s="2237"/>
      <c r="BB13" s="2237"/>
      <c r="BC13" s="2237"/>
      <c r="BD13" s="2237"/>
      <c r="BE13" s="2237"/>
      <c r="BF13" s="2237"/>
      <c r="BG13" s="2237"/>
      <c r="BH13" s="2237"/>
      <c r="BI13" s="2237"/>
      <c r="BJ13" s="2237"/>
      <c r="BK13" s="2237"/>
      <c r="BL13" s="2237"/>
      <c r="BM13" s="2237"/>
      <c r="BN13" s="2237"/>
      <c r="BO13" s="2237"/>
    </row>
    <row r="14" spans="1:67" s="1196" customFormat="1" ht="14.25">
      <c r="A14" s="2488" t="s">
        <v>531</v>
      </c>
      <c r="B14" s="2491" t="s">
        <v>530</v>
      </c>
      <c r="C14" s="2492" t="s">
        <v>531</v>
      </c>
      <c r="D14" s="2054"/>
      <c r="E14" s="2048"/>
      <c r="F14" s="362"/>
      <c r="G14" s="363"/>
      <c r="H14" s="2493"/>
      <c r="I14" s="2493"/>
      <c r="J14" s="2493"/>
      <c r="K14" s="2494">
        <f>SUMIF('数据-汇总表'!C$19:C$33,A14,'数据-汇总表'!E$19:E$33)</f>
        <v>0</v>
      </c>
      <c r="L14" s="381"/>
      <c r="M14" s="365">
        <f t="shared" si="0"/>
        <v>0</v>
      </c>
      <c r="N14" s="382"/>
      <c r="O14" s="365" t="str">
        <f t="shared" si="3"/>
        <v>——</v>
      </c>
      <c r="P14" s="366" t="str">
        <f t="shared" si="4"/>
        <v>——</v>
      </c>
      <c r="Q14" s="2497"/>
      <c r="R14" s="367"/>
      <c r="S14" s="343"/>
      <c r="T14" s="2891"/>
      <c r="U14" s="1133"/>
      <c r="V14" s="2499"/>
      <c r="W14" s="2499"/>
      <c r="X14" s="2500"/>
      <c r="Y14" s="2501"/>
      <c r="Z14" s="2502"/>
      <c r="AA14" s="2503"/>
      <c r="AB14" s="2503"/>
      <c r="AC14" s="2504"/>
      <c r="AD14" s="2500"/>
      <c r="AE14" s="2505"/>
      <c r="AF14" s="344"/>
      <c r="AG14" s="478"/>
      <c r="AH14" s="2505"/>
      <c r="AI14" s="2509"/>
      <c r="AJ14" s="1322"/>
      <c r="AK14" s="2506"/>
      <c r="AL14" s="2507"/>
      <c r="AM14" s="2508"/>
      <c r="AN14" s="2236"/>
      <c r="AO14" s="2237"/>
      <c r="AP14" s="2237"/>
      <c r="AQ14" s="2237"/>
      <c r="AR14" s="2237"/>
      <c r="AS14" s="2237"/>
      <c r="AT14" s="2237"/>
      <c r="AU14" s="2237"/>
      <c r="AV14" s="2237"/>
      <c r="AW14" s="2237"/>
      <c r="AX14" s="2237"/>
      <c r="AY14" s="2237"/>
      <c r="AZ14" s="2237"/>
      <c r="BA14" s="2237"/>
      <c r="BB14" s="2237"/>
      <c r="BC14" s="2237"/>
      <c r="BD14" s="2237"/>
      <c r="BE14" s="2237"/>
      <c r="BF14" s="2237"/>
      <c r="BG14" s="2237"/>
      <c r="BH14" s="2237"/>
      <c r="BI14" s="2237"/>
      <c r="BJ14" s="2237"/>
      <c r="BK14" s="2237"/>
      <c r="BL14" s="2237"/>
      <c r="BM14" s="2237"/>
      <c r="BN14" s="2237"/>
      <c r="BO14" s="2237"/>
    </row>
    <row r="15" spans="1:67" s="1196" customFormat="1" ht="27">
      <c r="A15" s="2488" t="s">
        <v>2392</v>
      </c>
      <c r="B15" s="2491" t="s">
        <v>530</v>
      </c>
      <c r="C15" s="2492" t="s">
        <v>2096</v>
      </c>
      <c r="D15" s="2054"/>
      <c r="E15" s="2048"/>
      <c r="F15" s="362"/>
      <c r="G15" s="363"/>
      <c r="H15" s="2493"/>
      <c r="I15" s="2493"/>
      <c r="J15" s="2493"/>
      <c r="K15" s="2494">
        <f>SUMIF('数据-汇总表'!C$19:C$33,A15,'数据-汇总表'!E$19:E$33)</f>
        <v>0</v>
      </c>
      <c r="L15" s="2495"/>
      <c r="M15" s="365"/>
      <c r="N15" s="2496"/>
      <c r="O15" s="365"/>
      <c r="P15" s="366"/>
      <c r="Q15" s="2497"/>
      <c r="R15" s="367"/>
      <c r="S15" s="343"/>
      <c r="T15" s="2891"/>
      <c r="U15" s="1133"/>
      <c r="V15" s="2499"/>
      <c r="W15" s="2499"/>
      <c r="X15" s="2500"/>
      <c r="Y15" s="2501"/>
      <c r="Z15" s="2502"/>
      <c r="AA15" s="2503"/>
      <c r="AB15" s="2503"/>
      <c r="AC15" s="2504"/>
      <c r="AD15" s="2500"/>
      <c r="AE15" s="2505"/>
      <c r="AF15" s="344"/>
      <c r="AG15" s="478"/>
      <c r="AH15" s="2505"/>
      <c r="AI15" s="2509"/>
      <c r="AJ15" s="1322"/>
      <c r="AK15" s="2506"/>
      <c r="AL15" s="2507"/>
      <c r="AM15" s="2508"/>
      <c r="AN15" s="2236"/>
      <c r="AO15" s="2237"/>
      <c r="AP15" s="2237"/>
      <c r="AQ15" s="2237"/>
      <c r="AR15" s="2237"/>
      <c r="AS15" s="2237"/>
      <c r="AT15" s="2237"/>
      <c r="AU15" s="2237"/>
      <c r="AV15" s="2237"/>
      <c r="AW15" s="2237"/>
      <c r="AX15" s="2237"/>
      <c r="AY15" s="2237"/>
      <c r="AZ15" s="2237"/>
      <c r="BA15" s="2237"/>
      <c r="BB15" s="2237"/>
      <c r="BC15" s="2237"/>
      <c r="BD15" s="2237"/>
      <c r="BE15" s="2237"/>
      <c r="BF15" s="2237"/>
      <c r="BG15" s="2237"/>
      <c r="BH15" s="2237"/>
      <c r="BI15" s="2237"/>
      <c r="BJ15" s="2237"/>
      <c r="BK15" s="2237"/>
      <c r="BL15" s="2237"/>
      <c r="BM15" s="2237"/>
      <c r="BN15" s="2237"/>
      <c r="BO15" s="2237"/>
    </row>
    <row r="16" spans="1:67" s="1196" customFormat="1" ht="15.75" thickBot="1">
      <c r="A16" s="64" t="s">
        <v>4</v>
      </c>
      <c r="B16" s="65"/>
      <c r="C16" s="66"/>
      <c r="D16" s="67"/>
      <c r="E16" s="65"/>
      <c r="F16" s="387"/>
      <c r="G16" s="388">
        <f>ROUND(SUMPRODUCT(G6:G13,K6:K13)/SUMPRODUCT((G6:G13&gt;0)*(K6:K13)),3)</f>
        <v>0.95799999999999996</v>
      </c>
      <c r="H16" s="389">
        <f>ROUND(SUMPRODUCT(H6:H13,K6:K13)/SUMPRODUCT((H6:H13&gt;0)*(K6:K13)),3)</f>
        <v>4.4999999999999998E-2</v>
      </c>
      <c r="I16" s="390"/>
      <c r="J16" s="390"/>
      <c r="K16" s="391">
        <f>SUM(K6:K15)</f>
        <v>66965.320000000065</v>
      </c>
      <c r="L16" s="392">
        <f>ROUND(M16*10000/SUM(K6:K14),0)</f>
        <v>3000</v>
      </c>
      <c r="M16" s="392">
        <f>SUM(M6:M14)</f>
        <v>20089</v>
      </c>
      <c r="N16" s="393">
        <f>ROUND(SUMPRODUCT(M6:M14,N6:N14)/M16,3)</f>
        <v>0.98</v>
      </c>
      <c r="O16" s="392">
        <f>SUM(O6:O14)</f>
        <v>0</v>
      </c>
      <c r="P16" s="392">
        <f>SUM(P6:P14)</f>
        <v>0</v>
      </c>
      <c r="Q16" s="394">
        <f>ROUND(SUMPRODUCT(Q6:Q13,K6:K13)/SUMPRODUCT((Q6:Q13&gt;0)*(K6:K13)),2)</f>
        <v>0.16</v>
      </c>
      <c r="R16" s="2498">
        <f ca="1">SUM(R6:R13)</f>
        <v>15994.669999999998</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6"/>
      <c r="AO16" s="2237"/>
      <c r="AP16" s="2237"/>
      <c r="AQ16" s="2237"/>
      <c r="AR16" s="2237"/>
      <c r="AS16" s="2237"/>
      <c r="AT16" s="2237"/>
      <c r="AU16" s="2237"/>
      <c r="AV16" s="2237"/>
      <c r="AW16" s="2237"/>
      <c r="AX16" s="2237"/>
      <c r="AY16" s="2237"/>
      <c r="AZ16" s="2237"/>
      <c r="BA16" s="2237"/>
      <c r="BB16" s="2237"/>
      <c r="BC16" s="2237"/>
      <c r="BD16" s="2237"/>
      <c r="BE16" s="2237"/>
      <c r="BF16" s="2237"/>
      <c r="BG16" s="2237"/>
      <c r="BH16" s="2237"/>
      <c r="BI16" s="2237"/>
      <c r="BJ16" s="2237"/>
      <c r="BK16" s="2237"/>
      <c r="BL16" s="2237"/>
      <c r="BM16" s="2237"/>
      <c r="BN16" s="2237"/>
      <c r="BO16" s="2237"/>
    </row>
    <row r="17" spans="1:67" ht="12.75" thickBot="1">
      <c r="A17" s="1204"/>
      <c r="B17" s="1193"/>
      <c r="C17" s="2227"/>
      <c r="D17" s="2228"/>
      <c r="E17" s="2228"/>
      <c r="F17" s="2227"/>
      <c r="G17" s="2227"/>
      <c r="H17" s="2227"/>
      <c r="I17" s="2227"/>
      <c r="J17" s="2227"/>
      <c r="K17" s="2229"/>
      <c r="L17" s="2229"/>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row>
    <row r="18" spans="1:67" ht="14.25" thickBot="1">
      <c r="A18" s="46" t="s">
        <v>24</v>
      </c>
      <c r="B18" s="1195"/>
      <c r="C18" s="2230"/>
      <c r="D18" s="2231"/>
      <c r="E18" s="2230"/>
      <c r="F18" s="2230"/>
      <c r="G18" s="2230"/>
      <c r="H18" s="2230"/>
      <c r="I18" s="2230"/>
      <c r="J18" s="2230"/>
      <c r="K18" s="2229"/>
      <c r="L18" s="2229"/>
      <c r="M18" s="2227"/>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row>
    <row r="19" spans="1:67" ht="14.25">
      <c r="A19" s="68" t="s">
        <v>0</v>
      </c>
      <c r="B19" s="402">
        <v>0</v>
      </c>
      <c r="C19" s="2230" t="s">
        <v>2408</v>
      </c>
      <c r="D19" s="2231"/>
      <c r="E19" s="2230"/>
      <c r="F19" s="2230"/>
      <c r="G19" s="2230"/>
      <c r="H19" s="2230"/>
      <c r="I19" s="2230"/>
      <c r="J19" s="2230"/>
      <c r="K19" s="2229"/>
      <c r="L19" s="2229"/>
      <c r="M19" s="2227"/>
      <c r="N19" s="2227"/>
      <c r="O19" s="2227"/>
      <c r="P19" s="2227"/>
      <c r="Q19" s="2227"/>
      <c r="R19" s="2227"/>
      <c r="S19" s="2227"/>
      <c r="T19" s="2227"/>
      <c r="U19" s="2227"/>
      <c r="V19" s="2227"/>
      <c r="W19" s="2227"/>
      <c r="X19" s="2227"/>
      <c r="Y19" s="2227"/>
      <c r="Z19" s="2227"/>
      <c r="AA19" s="2227"/>
      <c r="AB19" s="2227"/>
      <c r="AC19" s="2227"/>
      <c r="AD19" s="2227"/>
      <c r="AE19" s="2227"/>
      <c r="AF19" s="2227"/>
      <c r="AG19" s="2227"/>
      <c r="AH19" s="2227"/>
      <c r="AI19" s="2227"/>
      <c r="AJ19" s="2227"/>
      <c r="AK19" s="2227"/>
      <c r="AL19" s="2227"/>
      <c r="AM19" s="2227"/>
    </row>
    <row r="20" spans="1:67" ht="14.25">
      <c r="A20" s="69" t="s">
        <v>697</v>
      </c>
      <c r="B20" s="403">
        <v>2</v>
      </c>
      <c r="C20" s="2230" t="s">
        <v>2409</v>
      </c>
      <c r="D20" s="2231"/>
      <c r="E20" s="2230"/>
      <c r="F20" s="2230"/>
      <c r="G20" s="2230"/>
      <c r="H20" s="2230"/>
      <c r="I20" s="2230"/>
      <c r="J20" s="2230"/>
      <c r="K20" s="2229"/>
      <c r="L20" s="2229"/>
      <c r="M20" s="2227"/>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row>
    <row r="21" spans="1:67" ht="14.25">
      <c r="A21" s="70" t="s">
        <v>698</v>
      </c>
      <c r="B21" s="403">
        <v>2</v>
      </c>
      <c r="C21" s="2230"/>
      <c r="D21" s="2231"/>
      <c r="E21" s="2230"/>
      <c r="F21" s="2230"/>
      <c r="G21" s="2230"/>
      <c r="H21" s="2230"/>
      <c r="I21" s="2230"/>
      <c r="J21" s="2230"/>
      <c r="K21" s="2229"/>
      <c r="L21" s="2229"/>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row>
    <row r="22" spans="1:67" ht="14.25">
      <c r="A22" s="69" t="s">
        <v>699</v>
      </c>
      <c r="B22" s="404">
        <f>B19+B20</f>
        <v>2</v>
      </c>
      <c r="C22" s="2230"/>
      <c r="D22" s="2231"/>
      <c r="E22" s="2230"/>
      <c r="F22" s="2230"/>
      <c r="G22" s="2230"/>
      <c r="H22" s="2230"/>
      <c r="I22" s="2230"/>
      <c r="J22" s="2230"/>
      <c r="K22" s="2229"/>
      <c r="L22" s="2229"/>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row>
    <row r="23" spans="1:67" ht="14.25">
      <c r="A23" s="70" t="s">
        <v>700</v>
      </c>
      <c r="B23" s="404">
        <f>B19+B21</f>
        <v>2</v>
      </c>
      <c r="C23" s="2230"/>
      <c r="D23" s="2231"/>
      <c r="E23" s="2230"/>
      <c r="F23" s="2230"/>
      <c r="G23" s="2230"/>
      <c r="H23" s="2230"/>
      <c r="I23" s="2230"/>
      <c r="J23" s="2230"/>
      <c r="K23" s="2229"/>
      <c r="L23" s="2229"/>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row>
    <row r="24" spans="1:67" ht="15" thickBot="1">
      <c r="A24" s="71" t="s">
        <v>701</v>
      </c>
      <c r="B24" s="405">
        <f>B20-B21</f>
        <v>0</v>
      </c>
      <c r="C24" s="2230"/>
      <c r="D24" s="2231"/>
      <c r="E24" s="2230"/>
      <c r="F24" s="2230"/>
      <c r="G24" s="2230"/>
      <c r="H24" s="2230"/>
      <c r="I24" s="2230"/>
      <c r="J24" s="2230"/>
      <c r="K24" s="2229"/>
      <c r="L24" s="2229"/>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row>
    <row r="25" spans="1:67" ht="14.25" thickBot="1">
      <c r="A25" s="1197"/>
      <c r="B25" s="1195"/>
      <c r="C25" s="2230"/>
      <c r="D25" s="2231"/>
      <c r="E25" s="2230"/>
      <c r="F25" s="2230"/>
      <c r="G25" s="2230"/>
      <c r="H25" s="2230"/>
      <c r="I25" s="2230"/>
      <c r="J25" s="2230"/>
      <c r="K25" s="2229"/>
      <c r="L25" s="2229"/>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row>
    <row r="26" spans="1:67" ht="14.25" thickBot="1">
      <c r="A26" s="45" t="s">
        <v>702</v>
      </c>
      <c r="B26" s="72" t="s">
        <v>703</v>
      </c>
      <c r="C26" s="2233" t="s">
        <v>704</v>
      </c>
      <c r="D26" s="2231"/>
      <c r="E26" s="2230"/>
      <c r="F26" s="2230"/>
      <c r="G26" s="2230"/>
      <c r="H26" s="2230"/>
      <c r="I26" s="2230"/>
      <c r="J26" s="2230"/>
      <c r="K26" s="2229"/>
      <c r="L26" s="2229"/>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row>
    <row r="27" spans="1:67" s="1205" customFormat="1" ht="27">
      <c r="A27" s="73" t="s">
        <v>705</v>
      </c>
      <c r="B27" s="406"/>
      <c r="C27" s="2526" t="s">
        <v>706</v>
      </c>
      <c r="D27" s="2234"/>
      <c r="E27" s="2232"/>
      <c r="F27" s="2232"/>
      <c r="G27" s="2230"/>
      <c r="H27" s="2230"/>
      <c r="I27" s="2230"/>
      <c r="J27" s="2230"/>
      <c r="K27" s="2229"/>
      <c r="L27" s="2229"/>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39"/>
      <c r="AO27" s="2239"/>
      <c r="AP27" s="2239"/>
      <c r="AQ27" s="2239"/>
      <c r="AR27" s="2239"/>
      <c r="AS27" s="2239"/>
      <c r="AT27" s="2239"/>
      <c r="AU27" s="2239"/>
      <c r="AV27" s="2239"/>
      <c r="AW27" s="2239"/>
      <c r="AX27" s="2239"/>
      <c r="AY27" s="2239"/>
      <c r="AZ27" s="2239"/>
      <c r="BA27" s="2239"/>
      <c r="BB27" s="2239"/>
      <c r="BC27" s="2239"/>
      <c r="BD27" s="2239"/>
      <c r="BE27" s="2239"/>
      <c r="BF27" s="2239"/>
      <c r="BG27" s="2239"/>
      <c r="BH27" s="2239"/>
      <c r="BI27" s="2239"/>
      <c r="BJ27" s="2239"/>
      <c r="BK27" s="2239"/>
      <c r="BL27" s="2239"/>
      <c r="BM27" s="2239"/>
      <c r="BN27" s="2239"/>
      <c r="BO27" s="2239"/>
    </row>
    <row r="28" spans="1:67" s="1205" customFormat="1" ht="27">
      <c r="A28" s="74" t="s">
        <v>707</v>
      </c>
      <c r="B28" s="409">
        <v>200</v>
      </c>
      <c r="C28" s="2527"/>
      <c r="D28" s="2234"/>
      <c r="E28" s="2232"/>
      <c r="F28" s="2232"/>
      <c r="G28" s="2230"/>
      <c r="H28" s="2230"/>
      <c r="I28" s="2230"/>
      <c r="J28" s="2230"/>
      <c r="K28" s="2229"/>
      <c r="L28" s="2229"/>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39"/>
      <c r="AO28" s="2239"/>
      <c r="AP28" s="2239"/>
      <c r="AQ28" s="2239"/>
      <c r="AR28" s="2239"/>
      <c r="AS28" s="2239"/>
      <c r="AT28" s="2239"/>
      <c r="AU28" s="2239"/>
      <c r="AV28" s="2239"/>
      <c r="AW28" s="2239"/>
      <c r="AX28" s="2239"/>
      <c r="AY28" s="2239"/>
      <c r="AZ28" s="2239"/>
      <c r="BA28" s="2239"/>
      <c r="BB28" s="2239"/>
      <c r="BC28" s="2239"/>
      <c r="BD28" s="2239"/>
      <c r="BE28" s="2239"/>
      <c r="BF28" s="2239"/>
      <c r="BG28" s="2239"/>
      <c r="BH28" s="2239"/>
      <c r="BI28" s="2239"/>
      <c r="BJ28" s="2239"/>
      <c r="BK28" s="2239"/>
      <c r="BL28" s="2239"/>
      <c r="BM28" s="2239"/>
      <c r="BN28" s="2239"/>
      <c r="BO28" s="2239"/>
    </row>
    <row r="29" spans="1:67" s="1205" customFormat="1" ht="27.75" thickBot="1">
      <c r="A29" s="280" t="s">
        <v>2687</v>
      </c>
      <c r="B29" s="411"/>
      <c r="C29" s="2526" t="s">
        <v>2688</v>
      </c>
      <c r="D29" s="2234"/>
      <c r="E29" s="2232"/>
      <c r="F29" s="2232"/>
      <c r="G29" s="2230"/>
      <c r="H29" s="2230"/>
      <c r="I29" s="2230"/>
      <c r="J29" s="2230"/>
      <c r="K29" s="2229"/>
      <c r="L29" s="2229"/>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39"/>
      <c r="AO29" s="2239"/>
      <c r="AP29" s="2239"/>
      <c r="AQ29" s="2239"/>
      <c r="AR29" s="2239"/>
      <c r="AS29" s="2239"/>
      <c r="AT29" s="2239"/>
      <c r="AU29" s="2239"/>
      <c r="AV29" s="2239"/>
      <c r="AW29" s="2239"/>
      <c r="AX29" s="2239"/>
      <c r="AY29" s="2239"/>
      <c r="AZ29" s="2239"/>
      <c r="BA29" s="2239"/>
      <c r="BB29" s="2239"/>
      <c r="BC29" s="2239"/>
      <c r="BD29" s="2239"/>
      <c r="BE29" s="2239"/>
      <c r="BF29" s="2239"/>
      <c r="BG29" s="2239"/>
      <c r="BH29" s="2239"/>
      <c r="BI29" s="2239"/>
      <c r="BJ29" s="2239"/>
      <c r="BK29" s="2239"/>
      <c r="BL29" s="2239"/>
      <c r="BM29" s="2239"/>
      <c r="BN29" s="2239"/>
      <c r="BO29" s="2239"/>
    </row>
    <row r="30" spans="1:67" s="1205" customFormat="1" ht="27">
      <c r="A30" s="279" t="s">
        <v>708</v>
      </c>
      <c r="B30" s="1134">
        <v>200</v>
      </c>
      <c r="C30" s="2527"/>
      <c r="D30" s="2234"/>
      <c r="E30" s="2232"/>
      <c r="F30" s="2232"/>
      <c r="G30" s="2230"/>
      <c r="H30" s="2230"/>
      <c r="I30" s="2230"/>
      <c r="J30" s="2230"/>
      <c r="K30" s="2229"/>
      <c r="L30" s="2229"/>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39"/>
      <c r="AO30" s="2239"/>
      <c r="AP30" s="2239"/>
      <c r="AQ30" s="2239"/>
      <c r="AR30" s="2239"/>
      <c r="AS30" s="2239"/>
      <c r="AT30" s="2239"/>
      <c r="AU30" s="2239"/>
      <c r="AV30" s="2239"/>
      <c r="AW30" s="2239"/>
      <c r="AX30" s="2239"/>
      <c r="AY30" s="2239"/>
      <c r="AZ30" s="2239"/>
      <c r="BA30" s="2239"/>
      <c r="BB30" s="2239"/>
      <c r="BC30" s="2239"/>
      <c r="BD30" s="2239"/>
      <c r="BE30" s="2239"/>
      <c r="BF30" s="2239"/>
      <c r="BG30" s="2239"/>
      <c r="BH30" s="2239"/>
      <c r="BI30" s="2239"/>
      <c r="BJ30" s="2239"/>
      <c r="BK30" s="2239"/>
      <c r="BL30" s="2239"/>
      <c r="BM30" s="2239"/>
      <c r="BN30" s="2239"/>
      <c r="BO30" s="2239"/>
    </row>
    <row r="31" spans="1:67" s="1205" customFormat="1" ht="27">
      <c r="A31" s="74" t="s">
        <v>709</v>
      </c>
      <c r="B31" s="410">
        <f>B30-B32</f>
        <v>200</v>
      </c>
      <c r="C31" s="2526"/>
      <c r="D31" s="2234"/>
      <c r="E31" s="2232"/>
      <c r="F31" s="2232"/>
      <c r="G31" s="2230"/>
      <c r="H31" s="2230"/>
      <c r="I31" s="2230"/>
      <c r="J31" s="2230"/>
      <c r="K31" s="2229"/>
      <c r="L31" s="2229"/>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39"/>
      <c r="AO31" s="2239"/>
      <c r="AP31" s="2239"/>
      <c r="AQ31" s="2239"/>
      <c r="AR31" s="2239"/>
      <c r="AS31" s="2239"/>
      <c r="AT31" s="2239"/>
      <c r="AU31" s="2239"/>
      <c r="AV31" s="2239"/>
      <c r="AW31" s="2239"/>
      <c r="AX31" s="2239"/>
      <c r="AY31" s="2239"/>
      <c r="AZ31" s="2239"/>
      <c r="BA31" s="2239"/>
      <c r="BB31" s="2239"/>
      <c r="BC31" s="2239"/>
      <c r="BD31" s="2239"/>
      <c r="BE31" s="2239"/>
      <c r="BF31" s="2239"/>
      <c r="BG31" s="2239"/>
      <c r="BH31" s="2239"/>
      <c r="BI31" s="2239"/>
      <c r="BJ31" s="2239"/>
      <c r="BK31" s="2239"/>
      <c r="BL31" s="2239"/>
      <c r="BM31" s="2239"/>
      <c r="BN31" s="2239"/>
      <c r="BO31" s="2239"/>
    </row>
    <row r="32" spans="1:67" s="1205" customFormat="1" ht="27.75" thickBot="1">
      <c r="A32" s="76" t="s">
        <v>710</v>
      </c>
      <c r="B32" s="1135">
        <v>0</v>
      </c>
      <c r="C32" s="2527"/>
      <c r="D32" s="2231"/>
      <c r="E32" s="2230"/>
      <c r="F32" s="2230"/>
      <c r="G32" s="2230"/>
      <c r="H32" s="2230"/>
      <c r="I32" s="2230"/>
      <c r="J32" s="2230"/>
      <c r="K32" s="2229"/>
      <c r="L32" s="2229"/>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39"/>
      <c r="AO32" s="2239"/>
      <c r="AP32" s="2239"/>
      <c r="AQ32" s="2239"/>
      <c r="AR32" s="2239"/>
      <c r="AS32" s="2239"/>
      <c r="AT32" s="2239"/>
      <c r="AU32" s="2239"/>
      <c r="AV32" s="2239"/>
      <c r="AW32" s="2239"/>
      <c r="AX32" s="2239"/>
      <c r="AY32" s="2239"/>
      <c r="AZ32" s="2239"/>
      <c r="BA32" s="2239"/>
      <c r="BB32" s="2239"/>
      <c r="BC32" s="2239"/>
      <c r="BD32" s="2239"/>
      <c r="BE32" s="2239"/>
      <c r="BF32" s="2239"/>
      <c r="BG32" s="2239"/>
      <c r="BH32" s="2239"/>
      <c r="BI32" s="2239"/>
      <c r="BJ32" s="2239"/>
      <c r="BK32" s="2239"/>
      <c r="BL32" s="2239"/>
      <c r="BM32" s="2239"/>
      <c r="BN32" s="2239"/>
      <c r="BO32" s="2239"/>
    </row>
    <row r="33" spans="1:67" s="1205" customFormat="1" ht="13.5">
      <c r="A33" s="73" t="s">
        <v>711</v>
      </c>
      <c r="B33" s="1136">
        <v>0.03</v>
      </c>
      <c r="C33" s="3290" t="s">
        <v>3001</v>
      </c>
      <c r="D33" s="2231"/>
      <c r="E33" s="2230"/>
      <c r="F33" s="2230"/>
      <c r="G33" s="2230"/>
      <c r="H33" s="2230"/>
      <c r="I33" s="2230"/>
      <c r="J33" s="2230"/>
      <c r="K33" s="2229"/>
      <c r="L33" s="2229"/>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39"/>
      <c r="AO33" s="2239"/>
      <c r="AP33" s="2239"/>
      <c r="AQ33" s="2239"/>
      <c r="AR33" s="2239"/>
      <c r="AS33" s="2239"/>
      <c r="AT33" s="2239"/>
      <c r="AU33" s="2239"/>
      <c r="AV33" s="2239"/>
      <c r="AW33" s="2239"/>
      <c r="AX33" s="2239"/>
      <c r="AY33" s="2239"/>
      <c r="AZ33" s="2239"/>
      <c r="BA33" s="2239"/>
      <c r="BB33" s="2239"/>
      <c r="BC33" s="2239"/>
      <c r="BD33" s="2239"/>
      <c r="BE33" s="2239"/>
      <c r="BF33" s="2239"/>
      <c r="BG33" s="2239"/>
      <c r="BH33" s="2239"/>
      <c r="BI33" s="2239"/>
      <c r="BJ33" s="2239"/>
      <c r="BK33" s="2239"/>
      <c r="BL33" s="2239"/>
      <c r="BM33" s="2239"/>
      <c r="BN33" s="2239"/>
      <c r="BO33" s="2239"/>
    </row>
    <row r="34" spans="1:67" s="1205" customFormat="1" ht="13.5">
      <c r="A34" s="74" t="s">
        <v>712</v>
      </c>
      <c r="B34" s="412">
        <v>0</v>
      </c>
      <c r="C34" s="3290" t="s">
        <v>3002</v>
      </c>
      <c r="D34" s="2231" t="s">
        <v>713</v>
      </c>
      <c r="E34" s="1193"/>
      <c r="F34" s="2230"/>
      <c r="G34" s="2230"/>
      <c r="H34" s="2230"/>
      <c r="I34" s="2230"/>
      <c r="J34" s="2230"/>
      <c r="K34" s="2229"/>
      <c r="L34" s="2229"/>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39"/>
      <c r="AO34" s="2239"/>
      <c r="AP34" s="2239"/>
      <c r="AQ34" s="2239"/>
      <c r="AR34" s="2239"/>
      <c r="AS34" s="2239"/>
      <c r="AT34" s="2239"/>
      <c r="AU34" s="2239"/>
      <c r="AV34" s="2239"/>
      <c r="AW34" s="2239"/>
      <c r="AX34" s="2239"/>
      <c r="AY34" s="2239"/>
      <c r="AZ34" s="2239"/>
      <c r="BA34" s="2239"/>
      <c r="BB34" s="2239"/>
      <c r="BC34" s="2239"/>
      <c r="BD34" s="2239"/>
      <c r="BE34" s="2239"/>
      <c r="BF34" s="2239"/>
      <c r="BG34" s="2239"/>
      <c r="BH34" s="2239"/>
      <c r="BI34" s="2239"/>
      <c r="BJ34" s="2239"/>
      <c r="BK34" s="2239"/>
      <c r="BL34" s="2239"/>
      <c r="BM34" s="2239"/>
      <c r="BN34" s="2239"/>
      <c r="BO34" s="2239"/>
    </row>
    <row r="35" spans="1:67" s="1205" customFormat="1" ht="13.5">
      <c r="A35" s="74" t="s">
        <v>714</v>
      </c>
      <c r="B35" s="409">
        <v>200</v>
      </c>
      <c r="C35" s="3290" t="s">
        <v>3003</v>
      </c>
      <c r="D35" s="2234"/>
      <c r="E35" s="2232"/>
      <c r="F35" s="2232"/>
      <c r="G35" s="2230"/>
      <c r="H35" s="2230"/>
      <c r="I35" s="2230"/>
      <c r="J35" s="2230"/>
      <c r="K35" s="2229"/>
      <c r="L35" s="2229"/>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39"/>
      <c r="AO35" s="2239"/>
      <c r="AP35" s="2239"/>
      <c r="AQ35" s="2239"/>
      <c r="AR35" s="2239"/>
      <c r="AS35" s="2239"/>
      <c r="AT35" s="2239"/>
      <c r="AU35" s="2239"/>
      <c r="AV35" s="2239"/>
      <c r="AW35" s="2239"/>
      <c r="AX35" s="2239"/>
      <c r="AY35" s="2239"/>
      <c r="AZ35" s="2239"/>
      <c r="BA35" s="2239"/>
      <c r="BB35" s="2239"/>
      <c r="BC35" s="2239"/>
      <c r="BD35" s="2239"/>
      <c r="BE35" s="2239"/>
      <c r="BF35" s="2239"/>
      <c r="BG35" s="2239"/>
      <c r="BH35" s="2239"/>
      <c r="BI35" s="2239"/>
      <c r="BJ35" s="2239"/>
      <c r="BK35" s="2239"/>
      <c r="BL35" s="2239"/>
      <c r="BM35" s="2239"/>
      <c r="BN35" s="2239"/>
      <c r="BO35" s="2239"/>
    </row>
    <row r="36" spans="1:67" ht="14.25" thickBot="1">
      <c r="A36" s="280" t="s">
        <v>715</v>
      </c>
      <c r="B36" s="413">
        <v>1.4999999999999999E-2</v>
      </c>
      <c r="C36" s="3290" t="s">
        <v>3004</v>
      </c>
      <c r="D36" s="2231"/>
      <c r="E36" s="2230"/>
      <c r="F36" s="2230"/>
      <c r="G36" s="2230"/>
      <c r="H36" s="2230"/>
      <c r="I36" s="2230"/>
      <c r="J36" s="2230"/>
      <c r="K36" s="2229"/>
      <c r="L36" s="2229"/>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row>
    <row r="37" spans="1:67" ht="13.5">
      <c r="A37" s="279" t="s">
        <v>716</v>
      </c>
      <c r="B37" s="414">
        <v>0.02</v>
      </c>
      <c r="C37" s="3290" t="s">
        <v>3005</v>
      </c>
      <c r="D37" s="2231"/>
      <c r="E37" s="2230"/>
      <c r="F37" s="2230"/>
      <c r="G37" s="2230"/>
      <c r="H37" s="2230"/>
      <c r="I37" s="2230"/>
      <c r="J37" s="2230"/>
      <c r="K37" s="2229"/>
      <c r="L37" s="2229"/>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row>
    <row r="38" spans="1:67" ht="13.5">
      <c r="A38" s="74" t="s">
        <v>717</v>
      </c>
      <c r="B38" s="412">
        <v>0.02</v>
      </c>
      <c r="C38" s="3290" t="s">
        <v>3005</v>
      </c>
      <c r="D38" s="2231"/>
      <c r="E38" s="2230"/>
      <c r="F38" s="2230"/>
      <c r="G38" s="2230"/>
      <c r="H38" s="2230"/>
      <c r="I38" s="2230"/>
      <c r="J38" s="2230"/>
      <c r="K38" s="2229"/>
      <c r="L38" s="2229"/>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row>
    <row r="39" spans="1:67" ht="13.5">
      <c r="A39" s="76" t="s">
        <v>2537</v>
      </c>
      <c r="B39" s="699">
        <f ca="1">存贷款利率!I1</f>
        <v>1.4999999999999999E-2</v>
      </c>
      <c r="C39" s="2528"/>
      <c r="D39" s="2231"/>
      <c r="E39" s="2230"/>
      <c r="F39" s="2230"/>
      <c r="G39" s="2230"/>
      <c r="H39" s="2230"/>
      <c r="I39" s="2230"/>
      <c r="J39" s="2230"/>
      <c r="K39" s="2229"/>
      <c r="L39" s="2229"/>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row>
    <row r="40" spans="1:67" ht="14.25" thickBot="1">
      <c r="A40" s="76" t="s">
        <v>2613</v>
      </c>
      <c r="B40" s="2634">
        <f ca="1">存贷款利率!G1</f>
        <v>4.7500000000000001E-2</v>
      </c>
      <c r="C40" s="2528" t="s">
        <v>535</v>
      </c>
      <c r="D40" s="2227"/>
      <c r="E40" s="2231"/>
      <c r="F40" s="2230"/>
      <c r="G40" s="2230"/>
      <c r="H40" s="2230"/>
      <c r="I40" s="2230"/>
      <c r="J40" s="2230"/>
      <c r="K40" s="2229"/>
      <c r="L40" s="2229"/>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row>
    <row r="41" spans="1:67" ht="14.25">
      <c r="A41" s="73" t="s">
        <v>718</v>
      </c>
      <c r="B41" s="415">
        <f>B42+B43</f>
        <v>5.6000000000000001E-2</v>
      </c>
      <c r="C41" s="2526"/>
      <c r="D41" s="2227"/>
      <c r="E41" s="2231"/>
      <c r="F41" s="2230"/>
      <c r="G41" s="2230"/>
      <c r="H41" s="2230"/>
      <c r="I41" s="2230"/>
      <c r="J41" s="2230"/>
      <c r="K41" s="2229"/>
      <c r="L41" s="2229"/>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row>
    <row r="42" spans="1:67" ht="14.25">
      <c r="A42" s="1206" t="s">
        <v>719</v>
      </c>
      <c r="B42" s="416">
        <v>0.05</v>
      </c>
      <c r="C42" s="3315">
        <f>IF(B2&lt;DATE(2016,5,1),0,B42)</f>
        <v>0.05</v>
      </c>
      <c r="D42" s="2231"/>
      <c r="E42" s="2230"/>
      <c r="F42" s="2230"/>
      <c r="G42" s="2230"/>
      <c r="H42" s="2230"/>
      <c r="I42" s="2230"/>
      <c r="J42" s="2230"/>
      <c r="K42" s="2229"/>
      <c r="L42" s="2229"/>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row>
    <row r="43" spans="1:67" ht="14.25">
      <c r="A43" s="1206" t="s">
        <v>720</v>
      </c>
      <c r="B43" s="417">
        <f>B42*(B44+B45+B46)+B47</f>
        <v>6.000000000000001E-3</v>
      </c>
      <c r="C43" s="2526"/>
      <c r="D43" s="2231"/>
      <c r="E43" s="2230"/>
      <c r="F43" s="2230"/>
      <c r="G43" s="2230"/>
      <c r="H43" s="2230"/>
      <c r="I43" s="2230"/>
      <c r="J43" s="2230"/>
      <c r="K43" s="2229"/>
      <c r="L43" s="2229"/>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row>
    <row r="44" spans="1:67" ht="14.25">
      <c r="A44" s="75" t="s">
        <v>721</v>
      </c>
      <c r="B44" s="418">
        <v>7.0000000000000007E-2</v>
      </c>
      <c r="C44" s="3290" t="s">
        <v>3007</v>
      </c>
      <c r="D44" s="2231"/>
      <c r="E44" s="2230"/>
      <c r="F44" s="2230"/>
      <c r="G44" s="2230"/>
      <c r="H44" s="2230"/>
      <c r="I44" s="2230"/>
      <c r="J44" s="2230"/>
      <c r="K44" s="2229"/>
      <c r="L44" s="2229"/>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row>
    <row r="45" spans="1:67" ht="14.25">
      <c r="A45" s="75" t="s">
        <v>722</v>
      </c>
      <c r="B45" s="416">
        <v>0.03</v>
      </c>
      <c r="C45" s="3291" t="s">
        <v>3006</v>
      </c>
      <c r="D45" s="2231"/>
      <c r="E45" s="2230"/>
      <c r="F45" s="2230"/>
      <c r="G45" s="2230"/>
      <c r="H45" s="2230"/>
      <c r="I45" s="2230"/>
      <c r="J45" s="2230"/>
      <c r="K45" s="2229"/>
      <c r="L45" s="2229"/>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row>
    <row r="46" spans="1:67" ht="14.25">
      <c r="A46" s="75" t="s">
        <v>723</v>
      </c>
      <c r="B46" s="416">
        <v>0.02</v>
      </c>
      <c r="C46" s="3291" t="s">
        <v>3034</v>
      </c>
      <c r="D46" s="2231"/>
      <c r="E46" s="2230"/>
      <c r="F46" s="2230"/>
      <c r="G46" s="2230"/>
      <c r="H46" s="2230"/>
      <c r="I46" s="2230"/>
      <c r="J46" s="2230"/>
      <c r="K46" s="2229"/>
      <c r="L46" s="2229"/>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row>
    <row r="47" spans="1:67" ht="15" thickBot="1">
      <c r="A47" s="282" t="s">
        <v>724</v>
      </c>
      <c r="B47" s="419"/>
      <c r="C47" s="2526" t="s">
        <v>725</v>
      </c>
      <c r="D47" s="2231"/>
      <c r="E47" s="2230"/>
      <c r="F47" s="2230"/>
      <c r="G47" s="2230"/>
      <c r="H47" s="2230"/>
      <c r="I47" s="2230"/>
      <c r="J47" s="2230"/>
      <c r="K47" s="2229"/>
      <c r="L47" s="2229"/>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row>
    <row r="48" spans="1:67" ht="14.25">
      <c r="A48" s="281" t="s">
        <v>726</v>
      </c>
      <c r="B48" s="420">
        <v>0.03</v>
      </c>
      <c r="C48" s="3313" t="s">
        <v>3035</v>
      </c>
      <c r="D48" s="2231"/>
      <c r="E48" s="2230"/>
      <c r="F48" s="2230"/>
      <c r="G48" s="2230"/>
      <c r="H48" s="2230"/>
      <c r="I48" s="2230"/>
      <c r="J48" s="2230"/>
      <c r="K48" s="2229"/>
      <c r="L48" s="2229"/>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row>
    <row r="49" spans="1:39" ht="15" thickBot="1">
      <c r="A49" s="76" t="s">
        <v>727</v>
      </c>
      <c r="B49" s="416">
        <v>5.0000000000000001E-4</v>
      </c>
      <c r="C49" s="3313" t="s">
        <v>3036</v>
      </c>
      <c r="D49" s="2231"/>
      <c r="E49" s="2230"/>
      <c r="F49" s="2230"/>
      <c r="G49" s="2230"/>
      <c r="H49" s="2230"/>
      <c r="I49" s="2230"/>
      <c r="J49" s="2230"/>
      <c r="K49" s="2229"/>
      <c r="L49" s="2229"/>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row>
    <row r="50" spans="1:39" ht="14.25">
      <c r="A50" s="278" t="s">
        <v>728</v>
      </c>
      <c r="B50" s="421">
        <v>1.2E-2</v>
      </c>
      <c r="C50" s="2232"/>
      <c r="D50" s="2231"/>
      <c r="E50" s="2230"/>
      <c r="F50" s="2230"/>
      <c r="G50" s="2230"/>
      <c r="H50" s="2230"/>
      <c r="I50" s="2230"/>
      <c r="J50" s="2230"/>
      <c r="K50" s="2229"/>
      <c r="L50" s="2229"/>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row>
    <row r="51" spans="1:39" ht="15" thickBot="1">
      <c r="A51" s="280" t="s">
        <v>729</v>
      </c>
      <c r="B51" s="422">
        <v>0.12</v>
      </c>
      <c r="C51" s="2232"/>
      <c r="D51" s="2231"/>
      <c r="E51" s="2230"/>
      <c r="F51" s="2230"/>
      <c r="G51" s="2230"/>
      <c r="H51" s="2230"/>
      <c r="I51" s="2230"/>
      <c r="J51" s="2230"/>
      <c r="K51" s="2229"/>
      <c r="L51" s="2229"/>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row>
    <row r="52" spans="1:39" ht="14.25">
      <c r="A52" s="278" t="s">
        <v>730</v>
      </c>
      <c r="B52" s="423">
        <f>SUMIF(A54:A63,B53,B54:B63)</f>
        <v>3</v>
      </c>
      <c r="C52" s="2232"/>
      <c r="D52" s="2231"/>
      <c r="E52" s="2230"/>
      <c r="F52" s="2230"/>
      <c r="G52" s="2230"/>
      <c r="H52" s="2230"/>
      <c r="I52" s="2230"/>
      <c r="J52" s="2230"/>
      <c r="K52" s="2229"/>
      <c r="L52" s="2229"/>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row>
    <row r="53" spans="1:39" ht="27">
      <c r="A53" s="74" t="s">
        <v>731</v>
      </c>
      <c r="B53" s="41" t="s">
        <v>1531</v>
      </c>
      <c r="C53" s="2232" t="s">
        <v>3008</v>
      </c>
      <c r="D53" s="2235" t="s">
        <v>3012</v>
      </c>
      <c r="E53" s="2230"/>
      <c r="F53" s="2230"/>
      <c r="G53" s="2230"/>
      <c r="H53" s="2230"/>
      <c r="I53" s="2230"/>
      <c r="J53" s="2230"/>
      <c r="K53" s="2229"/>
      <c r="L53" s="2229"/>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row>
    <row r="54" spans="1:39" ht="14.25">
      <c r="A54" s="42" t="s">
        <v>161</v>
      </c>
      <c r="B54" s="374"/>
      <c r="C54" s="2853">
        <v>30</v>
      </c>
      <c r="D54" s="2231"/>
      <c r="E54" s="2230"/>
      <c r="F54" s="2230"/>
      <c r="G54" s="2230"/>
      <c r="H54" s="2230"/>
      <c r="I54" s="2230"/>
      <c r="J54" s="2230"/>
      <c r="K54" s="2229"/>
      <c r="L54" s="2229"/>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row>
    <row r="55" spans="1:39" ht="14.25">
      <c r="A55" s="42" t="s">
        <v>162</v>
      </c>
      <c r="B55" s="374"/>
      <c r="C55" s="2853">
        <v>24</v>
      </c>
      <c r="D55" s="2231"/>
      <c r="E55" s="2230"/>
      <c r="F55" s="2230"/>
      <c r="G55" s="2230"/>
      <c r="H55" s="2230"/>
      <c r="I55" s="2225"/>
      <c r="J55" s="2230"/>
      <c r="K55" s="2229"/>
      <c r="L55" s="2229"/>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row>
    <row r="56" spans="1:39" ht="14.25">
      <c r="A56" s="42" t="s">
        <v>157</v>
      </c>
      <c r="B56" s="374"/>
      <c r="C56" s="2853">
        <v>18</v>
      </c>
      <c r="D56" s="2231"/>
      <c r="E56" s="2230"/>
      <c r="F56" s="2230"/>
      <c r="G56" s="2230"/>
      <c r="H56" s="2230"/>
      <c r="I56" s="2230"/>
      <c r="J56" s="2230"/>
      <c r="K56" s="2229"/>
      <c r="L56" s="2229"/>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row>
    <row r="57" spans="1:39" ht="14.25">
      <c r="A57" s="42" t="s">
        <v>158</v>
      </c>
      <c r="B57" s="374"/>
      <c r="C57" s="2853">
        <v>12</v>
      </c>
      <c r="D57" s="2231"/>
      <c r="E57" s="2230"/>
      <c r="F57" s="2230"/>
      <c r="G57" s="2230"/>
      <c r="H57" s="2230"/>
      <c r="I57" s="2230"/>
      <c r="J57" s="2230"/>
      <c r="K57" s="2229"/>
      <c r="L57" s="2229"/>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row>
    <row r="58" spans="1:39" ht="14.25">
      <c r="A58" s="42" t="s">
        <v>159</v>
      </c>
      <c r="B58" s="374">
        <v>3</v>
      </c>
      <c r="C58" s="2853">
        <v>3</v>
      </c>
      <c r="D58" s="2231"/>
      <c r="E58" s="2230"/>
      <c r="F58" s="2230"/>
      <c r="G58" s="2230"/>
      <c r="H58" s="2230"/>
      <c r="I58" s="2230"/>
      <c r="J58" s="2230"/>
      <c r="K58" s="2229"/>
      <c r="L58" s="2229"/>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row>
    <row r="59" spans="1:39" ht="14.25">
      <c r="A59" s="42" t="s">
        <v>160</v>
      </c>
      <c r="B59" s="374"/>
      <c r="C59" s="2853">
        <v>1.5</v>
      </c>
      <c r="D59" s="2231"/>
      <c r="E59" s="2230"/>
      <c r="F59" s="2230"/>
      <c r="G59" s="2230"/>
      <c r="H59" s="2230"/>
      <c r="I59" s="2230"/>
      <c r="J59" s="2230"/>
      <c r="K59" s="2229"/>
      <c r="L59" s="2229"/>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row>
    <row r="60" spans="1:39" ht="14.25">
      <c r="A60" s="42" t="s">
        <v>1171</v>
      </c>
      <c r="B60" s="374"/>
      <c r="C60" s="2230"/>
      <c r="D60" s="2231"/>
      <c r="E60" s="2230"/>
      <c r="F60" s="2230"/>
      <c r="G60" s="2230"/>
      <c r="H60" s="2230"/>
      <c r="I60" s="2230"/>
      <c r="J60" s="2230"/>
      <c r="K60" s="2229"/>
      <c r="L60" s="2229"/>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row>
    <row r="61" spans="1:39" ht="14.25">
      <c r="A61" s="42" t="s">
        <v>3009</v>
      </c>
      <c r="B61" s="374"/>
      <c r="C61" s="2230"/>
      <c r="D61" s="2231"/>
      <c r="E61" s="2230"/>
      <c r="F61" s="2230"/>
      <c r="G61" s="2230"/>
      <c r="H61" s="2230"/>
      <c r="I61" s="2230"/>
      <c r="J61" s="2230"/>
      <c r="K61" s="2229"/>
      <c r="L61" s="2229"/>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row>
    <row r="62" spans="1:39" ht="14.25">
      <c r="A62" s="42" t="s">
        <v>3010</v>
      </c>
      <c r="B62" s="374"/>
      <c r="C62" s="2230"/>
      <c r="D62" s="2231"/>
      <c r="E62" s="2230"/>
      <c r="F62" s="2230"/>
      <c r="G62" s="2230"/>
      <c r="H62" s="2230"/>
      <c r="I62" s="2230"/>
      <c r="J62" s="2230"/>
      <c r="K62" s="2229"/>
      <c r="L62" s="2229"/>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row>
    <row r="63" spans="1:39" ht="15" thickBot="1">
      <c r="A63" s="43" t="s">
        <v>3011</v>
      </c>
      <c r="B63" s="424"/>
      <c r="C63" s="2230"/>
      <c r="D63" s="2231"/>
      <c r="E63" s="2230"/>
      <c r="F63" s="2230"/>
      <c r="G63" s="2230"/>
      <c r="H63" s="2230"/>
      <c r="I63" s="2230"/>
      <c r="J63" s="2230"/>
      <c r="K63" s="2229"/>
      <c r="L63" s="2229"/>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row>
    <row r="64" spans="1:39" s="2240" customFormat="1">
      <c r="A64" s="1453"/>
      <c r="D64" s="2241"/>
      <c r="K64" s="2242"/>
      <c r="L64" s="2242"/>
    </row>
    <row r="65" spans="1:12" s="2240" customFormat="1">
      <c r="A65" s="1453"/>
      <c r="D65" s="2241"/>
      <c r="K65" s="2242"/>
      <c r="L65" s="2242"/>
    </row>
    <row r="66" spans="1:12" s="2240" customFormat="1">
      <c r="A66" s="1453"/>
      <c r="D66" s="2241"/>
      <c r="K66" s="2242"/>
      <c r="L66" s="2242"/>
    </row>
    <row r="67" spans="1:12" s="2240" customFormat="1">
      <c r="A67" s="1453"/>
      <c r="D67" s="2241"/>
      <c r="K67" s="2242"/>
      <c r="L67" s="2242"/>
    </row>
    <row r="68" spans="1:12" s="2240" customFormat="1">
      <c r="A68" s="1453"/>
      <c r="D68" s="2241"/>
      <c r="K68" s="2242"/>
      <c r="L68" s="2242"/>
    </row>
    <row r="69" spans="1:12" s="2240" customFormat="1">
      <c r="A69" s="1453"/>
      <c r="D69" s="2241"/>
      <c r="K69" s="2242"/>
      <c r="L69" s="2242"/>
    </row>
    <row r="70" spans="1:12" s="2240" customFormat="1">
      <c r="A70" s="1453"/>
      <c r="D70" s="2241"/>
      <c r="K70" s="2242"/>
      <c r="L70" s="2242"/>
    </row>
    <row r="71" spans="1:12" s="2240" customFormat="1">
      <c r="A71" s="1453"/>
      <c r="D71" s="2241"/>
      <c r="K71" s="2242"/>
      <c r="L71" s="2242"/>
    </row>
    <row r="72" spans="1:12" s="2240" customFormat="1">
      <c r="A72" s="1453"/>
      <c r="D72" s="2241"/>
      <c r="K72" s="2242"/>
      <c r="L72" s="2242"/>
    </row>
    <row r="73" spans="1:12" s="2240" customFormat="1">
      <c r="A73" s="1453"/>
      <c r="D73" s="2241"/>
      <c r="K73" s="2242"/>
      <c r="L73" s="2242"/>
    </row>
    <row r="74" spans="1:12" s="2240" customFormat="1">
      <c r="A74" s="1453"/>
      <c r="D74" s="2241"/>
      <c r="K74" s="2242"/>
      <c r="L74" s="2242"/>
    </row>
    <row r="75" spans="1:12" s="2240" customFormat="1">
      <c r="A75" s="1453"/>
      <c r="D75" s="2241"/>
      <c r="K75" s="2242"/>
      <c r="L75" s="2242"/>
    </row>
    <row r="76" spans="1:12" s="2240" customFormat="1">
      <c r="A76" s="1453"/>
      <c r="D76" s="2241"/>
      <c r="K76" s="2242"/>
      <c r="L76" s="2242"/>
    </row>
    <row r="77" spans="1:12" s="2240" customFormat="1">
      <c r="A77" s="1453"/>
      <c r="D77" s="2241"/>
      <c r="K77" s="2242"/>
      <c r="L77" s="2242"/>
    </row>
    <row r="78" spans="1:12" s="2240" customFormat="1">
      <c r="A78" s="1453"/>
      <c r="D78" s="2241"/>
      <c r="K78" s="2242"/>
      <c r="L78" s="2242"/>
    </row>
    <row r="79" spans="1:12" s="2240" customFormat="1">
      <c r="A79" s="1453"/>
      <c r="D79" s="2241"/>
      <c r="K79" s="2242"/>
      <c r="L79" s="2242"/>
    </row>
    <row r="80" spans="1:12" s="2240" customFormat="1">
      <c r="A80" s="1453"/>
      <c r="D80" s="2241"/>
      <c r="K80" s="2242"/>
      <c r="L80" s="2242"/>
    </row>
    <row r="81" spans="1:12" s="2240" customFormat="1">
      <c r="A81" s="1453"/>
      <c r="D81" s="2241"/>
      <c r="K81" s="2242"/>
      <c r="L81" s="2242"/>
    </row>
    <row r="82" spans="1:12" s="2240" customFormat="1">
      <c r="A82" s="1453"/>
      <c r="D82" s="2241"/>
      <c r="K82" s="2242"/>
      <c r="L82" s="2242"/>
    </row>
    <row r="83" spans="1:12" s="2240" customFormat="1">
      <c r="A83" s="1453"/>
      <c r="D83" s="2241"/>
      <c r="K83" s="2242"/>
      <c r="L83" s="2242"/>
    </row>
    <row r="84" spans="1:12" s="2240" customFormat="1">
      <c r="A84" s="1453"/>
      <c r="D84" s="2241"/>
      <c r="K84" s="2242"/>
      <c r="L84" s="2242"/>
    </row>
    <row r="85" spans="1:12" s="2240" customFormat="1">
      <c r="A85" s="1453"/>
      <c r="D85" s="2241"/>
      <c r="K85" s="2242"/>
      <c r="L85" s="2242"/>
    </row>
    <row r="86" spans="1:12" s="2240" customFormat="1">
      <c r="A86" s="1453"/>
      <c r="D86" s="2241"/>
      <c r="K86" s="2242"/>
      <c r="L86" s="2242"/>
    </row>
    <row r="87" spans="1:12" s="2240" customFormat="1">
      <c r="A87" s="1453"/>
      <c r="D87" s="2241"/>
      <c r="K87" s="2242"/>
      <c r="L87" s="2242"/>
    </row>
    <row r="88" spans="1:12" s="2240" customFormat="1">
      <c r="A88" s="1453"/>
      <c r="D88" s="2241"/>
      <c r="K88" s="2242"/>
      <c r="L88" s="2242"/>
    </row>
    <row r="89" spans="1:12" s="2240" customFormat="1">
      <c r="A89" s="1453"/>
      <c r="D89" s="2241"/>
      <c r="K89" s="2242"/>
      <c r="L89" s="2242"/>
    </row>
    <row r="90" spans="1:12" s="2240" customFormat="1">
      <c r="A90" s="1453"/>
      <c r="D90" s="2241"/>
      <c r="K90" s="2242"/>
      <c r="L90" s="2242"/>
    </row>
    <row r="91" spans="1:12" s="2240" customFormat="1">
      <c r="A91" s="1453"/>
      <c r="D91" s="2241"/>
      <c r="K91" s="2242"/>
      <c r="L91" s="2242"/>
    </row>
    <row r="92" spans="1:12" s="2240" customFormat="1">
      <c r="A92" s="1453"/>
      <c r="D92" s="2241"/>
      <c r="K92" s="2242"/>
      <c r="L92" s="2242"/>
    </row>
    <row r="93" spans="1:12" s="2240" customFormat="1">
      <c r="A93" s="1453"/>
      <c r="D93" s="2241"/>
      <c r="K93" s="2242"/>
      <c r="L93" s="2242"/>
    </row>
    <row r="94" spans="1:12" s="2240" customFormat="1">
      <c r="A94" s="1453"/>
      <c r="D94" s="2241"/>
      <c r="K94" s="2242"/>
      <c r="L94" s="2242"/>
    </row>
    <row r="95" spans="1:12" s="2240" customFormat="1">
      <c r="A95" s="1453"/>
      <c r="D95" s="2241"/>
      <c r="K95" s="2242"/>
      <c r="L95" s="2242"/>
    </row>
    <row r="96" spans="1:12" s="2240" customFormat="1">
      <c r="A96" s="1453"/>
      <c r="D96" s="2241"/>
      <c r="K96" s="2242"/>
      <c r="L96" s="2242"/>
    </row>
    <row r="97" spans="1:12" s="2240" customFormat="1">
      <c r="A97" s="1453"/>
      <c r="D97" s="2241"/>
      <c r="K97" s="2242"/>
      <c r="L97" s="2242"/>
    </row>
    <row r="98" spans="1:12" s="2240" customFormat="1">
      <c r="A98" s="1453"/>
      <c r="D98" s="2241"/>
      <c r="K98" s="2242"/>
      <c r="L98" s="2242"/>
    </row>
    <row r="99" spans="1:12" s="2240" customFormat="1">
      <c r="A99" s="1453"/>
      <c r="D99" s="2241"/>
      <c r="K99" s="2242"/>
      <c r="L99" s="2242"/>
    </row>
    <row r="100" spans="1:12" s="2240" customFormat="1">
      <c r="A100" s="1453"/>
      <c r="D100" s="2241"/>
      <c r="K100" s="2242"/>
      <c r="L100" s="2242"/>
    </row>
    <row r="101" spans="1:12" s="2240" customFormat="1">
      <c r="A101" s="1453"/>
      <c r="D101" s="2241"/>
      <c r="K101" s="2242"/>
      <c r="L101" s="2242"/>
    </row>
    <row r="102" spans="1:12" s="2240" customFormat="1">
      <c r="A102" s="1453"/>
      <c r="D102" s="2241"/>
      <c r="K102" s="2242"/>
      <c r="L102" s="2242"/>
    </row>
    <row r="103" spans="1:12" s="2240" customFormat="1">
      <c r="A103" s="1453"/>
      <c r="D103" s="2241"/>
      <c r="K103" s="2242"/>
      <c r="L103" s="2242"/>
    </row>
    <row r="104" spans="1:12" s="2240" customFormat="1">
      <c r="A104" s="1453"/>
      <c r="D104" s="2241"/>
      <c r="K104" s="2242"/>
      <c r="L104" s="2242"/>
    </row>
    <row r="105" spans="1:12" s="2240" customFormat="1">
      <c r="A105" s="1453"/>
      <c r="D105" s="2241"/>
      <c r="K105" s="2242"/>
      <c r="L105" s="2242"/>
    </row>
    <row r="106" spans="1:12" s="2240" customFormat="1">
      <c r="A106" s="1453"/>
      <c r="D106" s="2241"/>
      <c r="K106" s="2242"/>
      <c r="L106" s="2242"/>
    </row>
    <row r="107" spans="1:12" s="2240" customFormat="1">
      <c r="A107" s="1453"/>
      <c r="D107" s="2241"/>
      <c r="K107" s="2242"/>
      <c r="L107" s="2242"/>
    </row>
    <row r="108" spans="1:12" s="2240" customFormat="1">
      <c r="A108" s="1453"/>
      <c r="D108" s="2241"/>
      <c r="K108" s="2242"/>
      <c r="L108" s="2242"/>
    </row>
    <row r="109" spans="1:12" s="2240" customFormat="1">
      <c r="A109" s="1453"/>
      <c r="D109" s="2241"/>
      <c r="K109" s="2242"/>
      <c r="L109" s="2242"/>
    </row>
    <row r="110" spans="1:12" s="2240" customFormat="1">
      <c r="A110" s="1453"/>
      <c r="D110" s="2241"/>
      <c r="K110" s="2242"/>
      <c r="L110" s="2242"/>
    </row>
    <row r="111" spans="1:12" s="2240" customFormat="1">
      <c r="A111" s="1453"/>
      <c r="D111" s="2241"/>
      <c r="K111" s="2242"/>
      <c r="L111" s="2242"/>
    </row>
    <row r="112" spans="1:12" s="2240" customFormat="1">
      <c r="A112" s="1453"/>
      <c r="D112" s="2241"/>
      <c r="K112" s="2242"/>
      <c r="L112" s="2242"/>
    </row>
    <row r="113" spans="1:12" s="2240" customFormat="1">
      <c r="A113" s="1453"/>
      <c r="D113" s="2241"/>
      <c r="K113" s="2242"/>
      <c r="L113" s="2242"/>
    </row>
    <row r="114" spans="1:12" s="2240" customFormat="1">
      <c r="A114" s="1453"/>
      <c r="D114" s="2241"/>
      <c r="K114" s="2242"/>
      <c r="L114" s="2242"/>
    </row>
    <row r="115" spans="1:12" s="2240" customFormat="1">
      <c r="A115" s="1453"/>
      <c r="D115" s="2241"/>
      <c r="K115" s="2242"/>
      <c r="L115" s="2242"/>
    </row>
    <row r="116" spans="1:12" s="2240" customFormat="1">
      <c r="A116" s="1453"/>
      <c r="D116" s="2241"/>
      <c r="K116" s="2242"/>
      <c r="L116" s="2242"/>
    </row>
    <row r="117" spans="1:12" s="2240" customFormat="1">
      <c r="A117" s="1453"/>
      <c r="D117" s="2241"/>
      <c r="K117" s="2242"/>
      <c r="L117" s="2242"/>
    </row>
    <row r="118" spans="1:12" s="2240" customFormat="1">
      <c r="A118" s="1453"/>
      <c r="D118" s="2241"/>
      <c r="K118" s="2242"/>
      <c r="L118" s="2242"/>
    </row>
    <row r="119" spans="1:12" s="2240" customFormat="1">
      <c r="A119" s="1453"/>
      <c r="D119" s="2241"/>
      <c r="K119" s="2242"/>
      <c r="L119" s="2242"/>
    </row>
    <row r="120" spans="1:12" s="2240" customFormat="1">
      <c r="A120" s="1453"/>
      <c r="D120" s="2241"/>
      <c r="K120" s="2242"/>
      <c r="L120" s="2242"/>
    </row>
    <row r="121" spans="1:12" s="2240" customFormat="1">
      <c r="A121" s="1453"/>
      <c r="D121" s="2241"/>
      <c r="K121" s="2242"/>
      <c r="L121" s="2242"/>
    </row>
    <row r="122" spans="1:12" s="2240" customFormat="1">
      <c r="A122" s="1453"/>
      <c r="D122" s="2241"/>
      <c r="K122" s="2242"/>
      <c r="L122" s="2242"/>
    </row>
    <row r="123" spans="1:12" s="2240" customFormat="1">
      <c r="A123" s="1453"/>
      <c r="D123" s="2241"/>
      <c r="K123" s="2242"/>
      <c r="L123" s="2242"/>
    </row>
    <row r="124" spans="1:12" s="2240" customFormat="1">
      <c r="A124" s="1453"/>
      <c r="D124" s="2241"/>
      <c r="K124" s="2242"/>
      <c r="L124" s="2242"/>
    </row>
    <row r="125" spans="1:12" s="2240" customFormat="1">
      <c r="A125" s="1453"/>
      <c r="D125" s="2241"/>
      <c r="K125" s="2242"/>
      <c r="L125" s="2242"/>
    </row>
    <row r="126" spans="1:12" s="2240" customFormat="1">
      <c r="A126" s="1453"/>
      <c r="D126" s="2241"/>
      <c r="K126" s="2242"/>
      <c r="L126" s="2242"/>
    </row>
    <row r="127" spans="1:12" s="2240" customFormat="1">
      <c r="A127" s="1453"/>
      <c r="D127" s="2241"/>
      <c r="K127" s="2242"/>
      <c r="L127" s="2242"/>
    </row>
    <row r="128" spans="1:12" s="2240" customFormat="1">
      <c r="A128" s="1453"/>
      <c r="D128" s="2241"/>
      <c r="K128" s="2242"/>
      <c r="L128" s="2242"/>
    </row>
    <row r="129" spans="1:12" s="2240" customFormat="1">
      <c r="A129" s="1453"/>
      <c r="D129" s="2241"/>
      <c r="K129" s="2242"/>
      <c r="L129" s="2242"/>
    </row>
    <row r="130" spans="1:12" s="2240" customFormat="1">
      <c r="A130" s="1453"/>
      <c r="D130" s="2241"/>
      <c r="K130" s="2242"/>
      <c r="L130" s="2242"/>
    </row>
    <row r="131" spans="1:12" s="2240" customFormat="1">
      <c r="A131" s="1453"/>
      <c r="D131" s="2241"/>
      <c r="K131" s="2242"/>
      <c r="L131" s="2242"/>
    </row>
    <row r="132" spans="1:12" s="2240" customFormat="1">
      <c r="A132" s="1453"/>
      <c r="D132" s="2241"/>
      <c r="K132" s="2242"/>
      <c r="L132" s="2242"/>
    </row>
    <row r="133" spans="1:12" s="2240" customFormat="1">
      <c r="A133" s="1453"/>
      <c r="D133" s="2241"/>
      <c r="K133" s="2242"/>
      <c r="L133" s="2242"/>
    </row>
    <row r="134" spans="1:12" s="2236" customFormat="1">
      <c r="A134" s="2243"/>
      <c r="D134" s="2244"/>
      <c r="K134" s="2245"/>
      <c r="L134" s="2245"/>
    </row>
    <row r="135" spans="1:12" s="2236" customFormat="1">
      <c r="A135" s="2243"/>
      <c r="D135" s="2244"/>
      <c r="K135" s="2245"/>
      <c r="L135" s="2245"/>
    </row>
    <row r="136" spans="1:12" s="2236" customFormat="1">
      <c r="A136" s="2243"/>
      <c r="D136" s="2244"/>
      <c r="K136" s="2245"/>
      <c r="L136" s="2245"/>
    </row>
    <row r="137" spans="1:12" s="2236" customFormat="1">
      <c r="A137" s="2243"/>
      <c r="D137" s="2244"/>
      <c r="K137" s="2245"/>
      <c r="L137" s="2245"/>
    </row>
    <row r="138" spans="1:12" s="2236" customFormat="1">
      <c r="A138" s="2243"/>
      <c r="D138" s="2244"/>
      <c r="K138" s="2245"/>
      <c r="L138" s="2245"/>
    </row>
    <row r="139" spans="1:12" s="2236" customFormat="1">
      <c r="A139" s="2243"/>
      <c r="D139" s="2244"/>
      <c r="K139" s="2245"/>
      <c r="L139" s="2245"/>
    </row>
    <row r="140" spans="1:12" s="2236" customFormat="1">
      <c r="A140" s="2243"/>
      <c r="D140" s="2244"/>
      <c r="K140" s="2245"/>
      <c r="L140" s="2245"/>
    </row>
    <row r="141" spans="1:12" s="2236" customFormat="1">
      <c r="A141" s="2243"/>
      <c r="D141" s="2244"/>
      <c r="K141" s="2245"/>
      <c r="L141" s="2245"/>
    </row>
    <row r="142" spans="1:12" s="2236" customFormat="1">
      <c r="A142" s="2243"/>
      <c r="D142" s="2244"/>
      <c r="K142" s="2245"/>
      <c r="L142" s="2245"/>
    </row>
    <row r="143" spans="1:12" s="2236" customFormat="1">
      <c r="A143" s="2243"/>
      <c r="D143" s="2244"/>
      <c r="K143" s="2245"/>
      <c r="L143" s="2245"/>
    </row>
    <row r="144" spans="1:12" s="2236" customFormat="1">
      <c r="A144" s="2243"/>
      <c r="D144" s="2244"/>
      <c r="K144" s="2245"/>
      <c r="L144" s="2245"/>
    </row>
    <row r="145" spans="1:12" s="2236" customFormat="1">
      <c r="A145" s="2243"/>
      <c r="D145" s="2244"/>
      <c r="K145" s="2245"/>
      <c r="L145" s="2245"/>
    </row>
    <row r="146" spans="1:12" s="2236" customFormat="1">
      <c r="A146" s="2243"/>
      <c r="D146" s="2244"/>
      <c r="K146" s="2245"/>
      <c r="L146" s="2245"/>
    </row>
    <row r="147" spans="1:12" s="2236" customFormat="1">
      <c r="A147" s="2243"/>
      <c r="D147" s="2244"/>
      <c r="K147" s="2245"/>
      <c r="L147" s="2245"/>
    </row>
    <row r="148" spans="1:12" s="2236" customFormat="1">
      <c r="A148" s="2243"/>
      <c r="D148" s="2244"/>
      <c r="K148" s="2245"/>
      <c r="L148" s="2245"/>
    </row>
    <row r="149" spans="1:12" s="2236" customFormat="1">
      <c r="A149" s="2243"/>
      <c r="D149" s="2244"/>
      <c r="K149" s="2245"/>
      <c r="L149" s="2245"/>
    </row>
    <row r="150" spans="1:12" s="2236" customFormat="1">
      <c r="A150" s="2243"/>
      <c r="D150" s="2244"/>
      <c r="K150" s="2245"/>
      <c r="L150" s="2245"/>
    </row>
    <row r="151" spans="1:12" s="2236" customFormat="1">
      <c r="A151" s="2243"/>
      <c r="D151" s="2244"/>
      <c r="K151" s="2245"/>
      <c r="L151" s="2245"/>
    </row>
    <row r="152" spans="1:12" s="2236" customFormat="1">
      <c r="A152" s="2243"/>
      <c r="D152" s="2244"/>
      <c r="K152" s="2245"/>
      <c r="L152" s="2245"/>
    </row>
    <row r="153" spans="1:12" s="2236" customFormat="1">
      <c r="A153" s="2243"/>
      <c r="D153" s="2244"/>
      <c r="K153" s="2245"/>
      <c r="L153" s="2245"/>
    </row>
    <row r="154" spans="1:12" s="2236" customFormat="1">
      <c r="A154" s="2243"/>
      <c r="D154" s="2244"/>
      <c r="K154" s="2245"/>
      <c r="L154" s="2245"/>
    </row>
    <row r="155" spans="1:12" s="2236" customFormat="1">
      <c r="A155" s="2243"/>
      <c r="D155" s="2244"/>
      <c r="K155" s="2245"/>
      <c r="L155" s="2245"/>
    </row>
    <row r="156" spans="1:12" s="2236" customFormat="1">
      <c r="A156" s="2243"/>
      <c r="D156" s="2244"/>
      <c r="K156" s="2245"/>
      <c r="L156" s="2245"/>
    </row>
    <row r="157" spans="1:12" s="2236" customFormat="1">
      <c r="A157" s="2243"/>
      <c r="D157" s="2244"/>
      <c r="K157" s="2245"/>
      <c r="L157" s="2245"/>
    </row>
    <row r="158" spans="1:12" s="2236" customFormat="1">
      <c r="A158" s="2243"/>
      <c r="D158" s="2244"/>
      <c r="K158" s="2245"/>
      <c r="L158" s="2245"/>
    </row>
    <row r="159" spans="1:12" s="2236" customFormat="1">
      <c r="A159" s="2243"/>
      <c r="D159" s="2244"/>
      <c r="K159" s="2245"/>
      <c r="L159" s="2245"/>
    </row>
    <row r="160" spans="1:12" s="2236" customFormat="1">
      <c r="A160" s="2243"/>
      <c r="D160" s="2244"/>
      <c r="K160" s="2245"/>
      <c r="L160" s="2245"/>
    </row>
    <row r="161" spans="1:12" s="2236" customFormat="1">
      <c r="A161" s="2243"/>
      <c r="D161" s="2244"/>
      <c r="K161" s="2245"/>
      <c r="L161" s="2245"/>
    </row>
    <row r="162" spans="1:12" s="2236" customFormat="1">
      <c r="A162" s="2243"/>
      <c r="D162" s="2244"/>
      <c r="K162" s="2245"/>
      <c r="L162" s="2245"/>
    </row>
    <row r="163" spans="1:12" s="2236" customFormat="1">
      <c r="A163" s="2243"/>
      <c r="D163" s="2244"/>
      <c r="K163" s="2245"/>
      <c r="L163" s="2245"/>
    </row>
    <row r="164" spans="1:12" s="2236" customFormat="1">
      <c r="A164" s="2243"/>
      <c r="D164" s="2244"/>
      <c r="K164" s="2245"/>
      <c r="L164" s="2245"/>
    </row>
    <row r="165" spans="1:12" s="2236" customFormat="1">
      <c r="A165" s="2243"/>
      <c r="D165" s="2244"/>
      <c r="K165" s="2245"/>
      <c r="L165" s="2245"/>
    </row>
    <row r="166" spans="1:12" s="2236" customFormat="1">
      <c r="A166" s="2243"/>
      <c r="D166" s="2244"/>
      <c r="K166" s="2245"/>
      <c r="L166" s="2245"/>
    </row>
    <row r="167" spans="1:12" s="2236" customFormat="1">
      <c r="A167" s="2243"/>
      <c r="D167" s="2244"/>
      <c r="K167" s="2245"/>
      <c r="L167" s="2245"/>
    </row>
    <row r="168" spans="1:12" s="2236" customFormat="1">
      <c r="A168" s="2243"/>
      <c r="D168" s="2244"/>
      <c r="K168" s="2245"/>
      <c r="L168" s="2245"/>
    </row>
    <row r="169" spans="1:12" s="2236" customFormat="1">
      <c r="A169" s="2243"/>
      <c r="D169" s="2244"/>
      <c r="K169" s="2245"/>
      <c r="L169" s="2245"/>
    </row>
    <row r="170" spans="1:12" s="2236" customFormat="1">
      <c r="A170" s="2243"/>
      <c r="D170" s="2244"/>
      <c r="K170" s="2245"/>
      <c r="L170" s="2245"/>
    </row>
    <row r="171" spans="1:12" s="2236" customFormat="1">
      <c r="A171" s="2243"/>
      <c r="D171" s="2244"/>
      <c r="K171" s="2245"/>
      <c r="L171" s="2245"/>
    </row>
    <row r="172" spans="1:12" s="2236" customFormat="1">
      <c r="A172" s="2243"/>
      <c r="D172" s="2244"/>
      <c r="K172" s="2245"/>
      <c r="L172" s="2245"/>
    </row>
    <row r="173" spans="1:12" s="2236" customFormat="1">
      <c r="A173" s="2243"/>
      <c r="D173" s="2244"/>
      <c r="K173" s="2245"/>
      <c r="L173" s="2245"/>
    </row>
    <row r="174" spans="1:12" s="2236" customFormat="1">
      <c r="A174" s="2243"/>
      <c r="D174" s="2244"/>
      <c r="K174" s="2245"/>
      <c r="L174" s="2245"/>
    </row>
  </sheetData>
  <sheetProtection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E36" sqref="E36"/>
      <selection pane="topRight" activeCell="E36" sqref="E36"/>
      <selection pane="bottomLeft" activeCell="E36" sqref="E36"/>
      <selection pane="bottomRight" activeCell="H19" sqref="H19"/>
    </sheetView>
  </sheetViews>
  <sheetFormatPr defaultRowHeight="13.5"/>
  <cols>
    <col min="1" max="1" width="9.5" style="2222" customWidth="1"/>
    <col min="2" max="2" width="24.5" style="2271" customWidth="1"/>
    <col min="3" max="3" width="24.5" style="2272" customWidth="1"/>
    <col min="4" max="4" width="2.625" style="2272" customWidth="1"/>
    <col min="5" max="5" width="5.875" style="2272" customWidth="1"/>
    <col min="6" max="6" width="27" style="2271" customWidth="1"/>
    <col min="7" max="7" width="27" style="2273"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53"/>
    <col min="30" max="16384" width="9" style="2222"/>
  </cols>
  <sheetData>
    <row r="1" spans="1:29" s="2251" customFormat="1" ht="19.5" thickBot="1">
      <c r="A1" s="3459" t="s">
        <v>748</v>
      </c>
      <c r="B1" s="3460"/>
      <c r="C1" s="3460"/>
      <c r="D1" s="3460"/>
      <c r="E1" s="3460"/>
      <c r="F1" s="3460"/>
      <c r="G1" s="3460"/>
      <c r="H1" s="2246"/>
      <c r="I1" s="2247"/>
      <c r="J1" s="2246"/>
      <c r="K1" s="2246"/>
      <c r="L1" s="2247"/>
      <c r="M1" s="2246"/>
      <c r="N1" s="2246"/>
      <c r="O1" s="2247"/>
      <c r="P1" s="2246"/>
      <c r="Q1" s="2248"/>
      <c r="R1" s="2249"/>
      <c r="S1" s="2250"/>
      <c r="T1" s="2250"/>
      <c r="U1" s="2250"/>
      <c r="V1" s="2250"/>
      <c r="W1" s="2250"/>
      <c r="X1" s="2250"/>
      <c r="Y1" s="2250"/>
      <c r="Z1" s="2250"/>
      <c r="AA1" s="2250"/>
      <c r="AB1" s="2250"/>
      <c r="AC1" s="2250"/>
    </row>
    <row r="2" spans="1:29" ht="14.25" thickBot="1">
      <c r="A2" s="1209"/>
      <c r="B2" s="1210"/>
      <c r="C2" s="1211" t="s">
        <v>749</v>
      </c>
      <c r="D2" s="1212"/>
      <c r="E2" s="1213"/>
      <c r="F2" s="1200"/>
      <c r="G2" s="1211" t="s">
        <v>750</v>
      </c>
      <c r="H2" s="2253"/>
      <c r="I2" s="2253"/>
      <c r="J2" s="2253"/>
      <c r="K2" s="2253"/>
      <c r="L2" s="2253"/>
      <c r="M2" s="2253"/>
      <c r="N2" s="2253"/>
      <c r="O2" s="2253"/>
      <c r="P2" s="2253"/>
      <c r="Q2" s="2253"/>
      <c r="R2" s="2253"/>
    </row>
    <row r="3" spans="1:29" ht="54">
      <c r="A3" s="1021" t="s">
        <v>751</v>
      </c>
      <c r="B3" s="51" t="s">
        <v>52</v>
      </c>
      <c r="C3" s="3292" t="s">
        <v>752</v>
      </c>
      <c r="D3" s="2254"/>
      <c r="E3" s="1030" t="s">
        <v>751</v>
      </c>
      <c r="F3" s="1214" t="s">
        <v>95</v>
      </c>
      <c r="G3" s="3296" t="s">
        <v>3014</v>
      </c>
      <c r="H3" s="2253"/>
      <c r="I3" s="2253"/>
      <c r="J3" s="2253"/>
      <c r="K3" s="2253"/>
      <c r="L3" s="2253"/>
      <c r="M3" s="2253"/>
      <c r="N3" s="2253"/>
      <c r="O3" s="2253"/>
      <c r="P3" s="2253"/>
      <c r="Q3" s="2253"/>
      <c r="R3" s="2253"/>
    </row>
    <row r="4" spans="1:29" ht="54">
      <c r="A4" s="1030"/>
      <c r="B4" s="2209" t="s">
        <v>753</v>
      </c>
      <c r="C4" s="3293" t="s">
        <v>3501</v>
      </c>
      <c r="D4" s="2254"/>
      <c r="E4" s="1215"/>
      <c r="F4" s="2213" t="s">
        <v>754</v>
      </c>
      <c r="G4" s="3294" t="s">
        <v>755</v>
      </c>
      <c r="H4" s="2253"/>
      <c r="I4" s="2253"/>
      <c r="J4" s="2253"/>
      <c r="K4" s="2253"/>
      <c r="L4" s="2253"/>
      <c r="M4" s="2253"/>
      <c r="N4" s="2253"/>
      <c r="O4" s="2253"/>
      <c r="P4" s="2253"/>
      <c r="Q4" s="2253"/>
      <c r="R4" s="2253"/>
    </row>
    <row r="5" spans="1:29" ht="54">
      <c r="A5" s="1030"/>
      <c r="B5" s="2209" t="s">
        <v>756</v>
      </c>
      <c r="C5" s="3293" t="s">
        <v>3451</v>
      </c>
      <c r="D5" s="2254"/>
      <c r="E5" s="1215"/>
      <c r="F5" s="2742" t="s">
        <v>2630</v>
      </c>
      <c r="G5" s="3294" t="s">
        <v>2632</v>
      </c>
      <c r="H5" s="2253"/>
      <c r="I5" s="2253"/>
      <c r="J5" s="2253"/>
      <c r="K5" s="2253"/>
      <c r="L5" s="2253"/>
      <c r="M5" s="2253"/>
      <c r="N5" s="2253"/>
      <c r="O5" s="2253"/>
      <c r="P5" s="2253"/>
      <c r="Q5" s="2253"/>
      <c r="R5" s="2253"/>
    </row>
    <row r="6" spans="1:29" ht="54">
      <c r="A6" s="1030"/>
      <c r="B6" s="2209" t="s">
        <v>68</v>
      </c>
      <c r="C6" s="3294" t="s">
        <v>732</v>
      </c>
      <c r="D6" s="2254"/>
      <c r="E6" s="1215"/>
      <c r="F6" s="2742" t="s">
        <v>2629</v>
      </c>
      <c r="G6" s="3294" t="s">
        <v>2631</v>
      </c>
      <c r="H6" s="2253"/>
      <c r="I6" s="2253"/>
      <c r="J6" s="2253"/>
      <c r="K6" s="2253"/>
      <c r="L6" s="2253"/>
      <c r="M6" s="2253"/>
      <c r="N6" s="2253"/>
      <c r="O6" s="2253"/>
      <c r="P6" s="2253"/>
      <c r="Q6" s="2253"/>
      <c r="R6" s="2253"/>
    </row>
    <row r="7" spans="1:29" ht="41.25" thickBot="1">
      <c r="A7" s="1030"/>
      <c r="B7" s="2209" t="s">
        <v>2630</v>
      </c>
      <c r="C7" s="3294" t="s">
        <v>2632</v>
      </c>
      <c r="D7" s="2255"/>
      <c r="E7" s="1216"/>
      <c r="F7" s="1217" t="s">
        <v>733</v>
      </c>
      <c r="G7" s="3297" t="s">
        <v>3015</v>
      </c>
      <c r="H7" s="2253"/>
      <c r="I7" s="2253"/>
      <c r="J7" s="2253"/>
      <c r="K7" s="2253"/>
      <c r="L7" s="2253"/>
      <c r="M7" s="2253"/>
      <c r="N7" s="2253"/>
      <c r="O7" s="2253"/>
      <c r="P7" s="2253"/>
      <c r="Q7" s="2253"/>
      <c r="R7" s="2253"/>
    </row>
    <row r="8" spans="1:29" ht="27">
      <c r="A8" s="1030"/>
      <c r="B8" s="2742" t="s">
        <v>2629</v>
      </c>
      <c r="C8" s="3294" t="s">
        <v>2631</v>
      </c>
      <c r="D8" s="2255"/>
      <c r="E8" s="2255"/>
      <c r="F8" s="2256"/>
      <c r="G8" s="2256"/>
      <c r="H8" s="2253"/>
      <c r="I8" s="2253"/>
      <c r="J8" s="2253"/>
      <c r="K8" s="2253"/>
      <c r="L8" s="2253"/>
      <c r="M8" s="2253"/>
      <c r="N8" s="2253"/>
      <c r="O8" s="2253"/>
      <c r="P8" s="2253"/>
      <c r="Q8" s="2253"/>
      <c r="R8" s="2253"/>
    </row>
    <row r="9" spans="1:29" ht="40.5">
      <c r="A9" s="1030"/>
      <c r="B9" s="2209" t="s">
        <v>69</v>
      </c>
      <c r="C9" s="3293" t="s">
        <v>734</v>
      </c>
      <c r="D9" s="2254"/>
      <c r="E9" s="2255"/>
      <c r="F9" s="2256"/>
      <c r="G9" s="2256"/>
      <c r="H9" s="2253"/>
      <c r="I9" s="2253"/>
      <c r="J9" s="2253"/>
      <c r="K9" s="2253"/>
      <c r="L9" s="2253"/>
      <c r="M9" s="2253"/>
      <c r="N9" s="2253"/>
      <c r="O9" s="2253"/>
      <c r="P9" s="2253"/>
      <c r="Q9" s="2253"/>
      <c r="R9" s="2253"/>
    </row>
    <row r="10" spans="1:29" s="40" customFormat="1" ht="14.25" thickBot="1">
      <c r="A10" s="1219"/>
      <c r="B10" s="1220" t="s">
        <v>735</v>
      </c>
      <c r="C10" s="3295"/>
      <c r="D10" s="2254"/>
      <c r="E10" s="2254"/>
      <c r="F10" s="2256"/>
      <c r="G10" s="2256"/>
      <c r="H10" s="2258"/>
      <c r="I10" s="2259"/>
      <c r="J10" s="2260"/>
      <c r="K10" s="2258"/>
      <c r="L10" s="2259"/>
      <c r="M10" s="2260"/>
      <c r="N10" s="2258"/>
      <c r="O10" s="2259"/>
      <c r="P10" s="2260"/>
      <c r="Q10" s="2258"/>
      <c r="R10" s="2259"/>
      <c r="S10" s="2253"/>
      <c r="T10" s="2253"/>
      <c r="U10" s="2253"/>
      <c r="V10" s="2253"/>
      <c r="W10" s="2253"/>
      <c r="X10" s="2253"/>
      <c r="Y10" s="2253"/>
      <c r="Z10" s="2253"/>
      <c r="AA10" s="2253"/>
      <c r="AB10" s="2253"/>
      <c r="AC10" s="2253"/>
    </row>
    <row r="11" spans="1:29" s="40" customFormat="1">
      <c r="A11" s="2257"/>
      <c r="B11" s="2255"/>
      <c r="C11" s="2254"/>
      <c r="D11" s="2254"/>
      <c r="E11" s="2254"/>
      <c r="F11" s="2255"/>
      <c r="G11" s="1388"/>
      <c r="H11" s="2258"/>
      <c r="I11" s="2259"/>
      <c r="J11" s="2260"/>
      <c r="K11" s="2258"/>
      <c r="L11" s="2259"/>
      <c r="M11" s="2260"/>
      <c r="N11" s="2258"/>
      <c r="O11" s="2259"/>
      <c r="P11" s="2260"/>
      <c r="Q11" s="2258"/>
      <c r="R11" s="2259"/>
      <c r="S11" s="2253"/>
      <c r="T11" s="2253"/>
      <c r="U11" s="2253"/>
      <c r="V11" s="2253"/>
      <c r="W11" s="2253"/>
      <c r="X11" s="2253"/>
      <c r="Y11" s="2253"/>
      <c r="Z11" s="2253"/>
      <c r="AA11" s="2253"/>
      <c r="AB11" s="2253"/>
      <c r="AC11" s="2253"/>
    </row>
    <row r="12" spans="1:29" s="2251" customFormat="1" ht="18.75">
      <c r="A12" s="2257"/>
      <c r="B12" s="2255"/>
      <c r="C12" s="2254"/>
      <c r="D12" s="2740"/>
      <c r="E12" s="2254"/>
      <c r="F12" s="2255"/>
      <c r="G12" s="1388"/>
      <c r="H12" s="2261"/>
      <c r="I12" s="2262"/>
      <c r="J12" s="2261"/>
      <c r="K12" s="2261"/>
      <c r="L12" s="2263"/>
      <c r="M12" s="2261"/>
      <c r="N12" s="2264"/>
      <c r="O12" s="2265"/>
      <c r="P12" s="2264"/>
      <c r="Q12" s="2264"/>
      <c r="R12" s="2249"/>
      <c r="S12" s="2250"/>
      <c r="T12" s="2250"/>
      <c r="U12" s="2250"/>
      <c r="V12" s="2250"/>
      <c r="W12" s="2250"/>
      <c r="X12" s="2250"/>
      <c r="Y12" s="2250"/>
      <c r="Z12" s="2250"/>
      <c r="AA12" s="2250"/>
      <c r="AB12" s="2250"/>
      <c r="AC12" s="2250"/>
    </row>
    <row r="13" spans="1:29" ht="19.5" thickBot="1">
      <c r="A13" s="2739" t="s">
        <v>736</v>
      </c>
      <c r="B13" s="2740"/>
      <c r="C13" s="2740"/>
      <c r="D13" s="2252"/>
      <c r="E13" s="2740"/>
      <c r="F13" s="2740"/>
      <c r="G13" s="2740"/>
    </row>
    <row r="14" spans="1:29" ht="14.25" thickBot="1">
      <c r="A14" s="1221"/>
      <c r="B14" s="1222"/>
      <c r="C14" s="1223" t="s">
        <v>737</v>
      </c>
      <c r="D14" s="2254"/>
      <c r="E14" s="1224"/>
      <c r="F14" s="1224"/>
      <c r="G14" s="1211" t="s">
        <v>738</v>
      </c>
    </row>
    <row r="15" spans="1:29" ht="54">
      <c r="A15" s="46" t="s">
        <v>739</v>
      </c>
      <c r="B15" s="14" t="s">
        <v>52</v>
      </c>
      <c r="C15" s="1225" t="str">
        <f>C3</f>
        <v>估价对象周边居住用地比例、居住小区规模和社区发展完善程度，综合评价居住社区成熟度一般</v>
      </c>
      <c r="D15" s="2254"/>
      <c r="E15" s="2755" t="s">
        <v>740</v>
      </c>
      <c r="F15" s="14" t="s">
        <v>741</v>
      </c>
      <c r="G15" s="1023" t="str">
        <f>G3</f>
        <v>估价对象位于XX开发区，园区建设成熟度XX，产业集聚程度XX</v>
      </c>
    </row>
    <row r="16" spans="1:29" ht="54">
      <c r="A16" s="2758"/>
      <c r="B16" s="1226" t="s">
        <v>742</v>
      </c>
      <c r="C16" s="1227" t="str">
        <f>C4</f>
        <v>估价对象位于科技园商圈，周边商业氛围一般，人流量一般，商业繁华度一般</v>
      </c>
      <c r="D16" s="2254"/>
      <c r="E16" s="2756"/>
      <c r="F16" s="1228" t="s">
        <v>743</v>
      </c>
      <c r="G16" s="1025" t="str">
        <f>G4</f>
        <v>估价对象周边道路状况、公共交通通达情况、停车便捷程度，综合评价交通便捷度较好</v>
      </c>
    </row>
    <row r="17" spans="1:18" ht="54">
      <c r="A17" s="2758"/>
      <c r="B17" s="1226" t="s">
        <v>744</v>
      </c>
      <c r="C17" s="1227" t="str">
        <f>C5</f>
        <v>估价对象位于丰台科技园商圈，周边办公楼项目较多，入驻率高，办公集聚程度较好</v>
      </c>
      <c r="D17" s="2255"/>
      <c r="E17" s="2756"/>
      <c r="F17" s="1228" t="s">
        <v>745</v>
      </c>
      <c r="G17" s="271"/>
    </row>
    <row r="18" spans="1:18" ht="54">
      <c r="A18" s="2758"/>
      <c r="B18" s="1228" t="s">
        <v>68</v>
      </c>
      <c r="C18" s="1025" t="str">
        <f>C6</f>
        <v>估价对象周边道路状况、公共交通通达情况、停车便捷程度，综合评价交通便捷度较好</v>
      </c>
      <c r="D18" s="2255"/>
      <c r="E18" s="2756"/>
      <c r="F18" s="1228" t="s">
        <v>733</v>
      </c>
      <c r="G18" s="1025" t="str">
        <f>G7</f>
        <v>该园区内是否有污染型企业，绿化情况，卫生条件，整体环境状况判断</v>
      </c>
    </row>
    <row r="19" spans="1:18" ht="27">
      <c r="A19" s="2758"/>
      <c r="B19" s="1228" t="s">
        <v>87</v>
      </c>
      <c r="C19" s="271"/>
      <c r="D19" s="2254"/>
      <c r="E19" s="2756"/>
      <c r="F19" s="2742" t="s">
        <v>2630</v>
      </c>
      <c r="G19" s="1025" t="str">
        <f>G5</f>
        <v>估价对象所在区域公共配套设施齐备情况</v>
      </c>
    </row>
    <row r="20" spans="1:18" ht="40.5">
      <c r="A20" s="2758"/>
      <c r="B20" s="1228" t="s">
        <v>86</v>
      </c>
      <c r="C20" s="1227" t="str">
        <f>C9</f>
        <v>区域自然环境：；人文环境；综合评价环境状况一般</v>
      </c>
      <c r="D20" s="2255"/>
      <c r="E20" s="2756"/>
      <c r="F20" s="2742" t="s">
        <v>2629</v>
      </c>
      <c r="G20" s="1025" t="str">
        <f>G6</f>
        <v>估价对象所在区域基础设施水平</v>
      </c>
    </row>
    <row r="21" spans="1:18" ht="27">
      <c r="A21" s="2758"/>
      <c r="B21" s="2742" t="s">
        <v>2630</v>
      </c>
      <c r="C21" s="1025" t="str">
        <f>C7</f>
        <v>估价对象所在区域公共配套设施齐备情况</v>
      </c>
      <c r="D21" s="2254"/>
      <c r="E21" s="2756"/>
      <c r="F21" s="1228" t="s">
        <v>85</v>
      </c>
      <c r="G21" s="283"/>
    </row>
    <row r="22" spans="1:18" ht="13.5" customHeight="1">
      <c r="A22" s="2758"/>
      <c r="B22" s="2742" t="s">
        <v>2629</v>
      </c>
      <c r="C22" s="1025" t="str">
        <f>C8</f>
        <v>估价对象所在区域基础设施水平</v>
      </c>
      <c r="D22" s="2254"/>
      <c r="E22" s="2756"/>
      <c r="F22" s="1228" t="s">
        <v>746</v>
      </c>
      <c r="G22" s="271"/>
    </row>
    <row r="23" spans="1:18" s="2253" customFormat="1" ht="14.25" thickBot="1">
      <c r="A23" s="2758"/>
      <c r="B23" s="1228" t="s">
        <v>85</v>
      </c>
      <c r="C23" s="283"/>
      <c r="D23" s="2266"/>
      <c r="E23" s="2757"/>
      <c r="F23" s="1229" t="s">
        <v>747</v>
      </c>
      <c r="G23" s="284"/>
      <c r="H23" s="2266"/>
      <c r="I23" s="2267"/>
      <c r="J23" s="2266"/>
      <c r="K23" s="2266"/>
      <c r="L23" s="2267"/>
      <c r="M23" s="2266"/>
      <c r="N23" s="2266"/>
      <c r="O23" s="2267"/>
      <c r="P23" s="2266"/>
      <c r="Q23" s="2266"/>
      <c r="R23" s="2268"/>
    </row>
    <row r="24" spans="1:18" s="2253" customFormat="1" ht="14.25" thickBot="1">
      <c r="A24" s="2759"/>
      <c r="B24" s="1229" t="s">
        <v>84</v>
      </c>
      <c r="C24" s="1230">
        <f>C10</f>
        <v>0</v>
      </c>
      <c r="D24" s="2266"/>
      <c r="E24" s="2269"/>
      <c r="F24" s="2269"/>
      <c r="G24" s="2270"/>
      <c r="H24" s="2266"/>
      <c r="I24" s="2267"/>
      <c r="J24" s="2266"/>
      <c r="K24" s="2266"/>
      <c r="L24" s="2267"/>
      <c r="M24" s="2266"/>
      <c r="N24" s="2266"/>
      <c r="O24" s="2267"/>
      <c r="P24" s="2266"/>
      <c r="Q24" s="2266"/>
      <c r="R24" s="2268"/>
    </row>
    <row r="25" spans="1:18" s="2253" customFormat="1">
      <c r="B25" s="2266"/>
      <c r="C25" s="2266"/>
      <c r="D25" s="2266"/>
      <c r="H25" s="2266"/>
      <c r="I25" s="2267"/>
      <c r="J25" s="2266"/>
      <c r="K25" s="2266"/>
      <c r="L25" s="2267"/>
      <c r="M25" s="2266"/>
      <c r="N25" s="2266"/>
      <c r="O25" s="2267"/>
      <c r="P25" s="2266"/>
      <c r="Q25" s="2266"/>
      <c r="R25" s="2268"/>
    </row>
    <row r="26" spans="1:18" s="2253" customFormat="1">
      <c r="B26" s="2266"/>
      <c r="C26" s="2266"/>
      <c r="D26" s="2266"/>
      <c r="H26" s="2266"/>
      <c r="I26" s="2267"/>
      <c r="J26" s="2266"/>
      <c r="K26" s="2266"/>
      <c r="L26" s="2267"/>
      <c r="M26" s="2266"/>
      <c r="N26" s="2266"/>
      <c r="O26" s="2267"/>
      <c r="P26" s="2266"/>
      <c r="Q26" s="2266"/>
      <c r="R26" s="2268"/>
    </row>
    <row r="27" spans="1:18" s="2253" customFormat="1">
      <c r="B27" s="2266"/>
      <c r="C27" s="2266"/>
      <c r="D27" s="2266"/>
      <c r="H27" s="2266"/>
      <c r="I27" s="2267"/>
      <c r="J27" s="2266"/>
      <c r="K27" s="2266"/>
      <c r="L27" s="2267"/>
      <c r="M27" s="2266"/>
      <c r="N27" s="2266"/>
      <c r="O27" s="2267"/>
      <c r="P27" s="2266"/>
      <c r="Q27" s="2266"/>
      <c r="R27" s="2268"/>
    </row>
    <row r="28" spans="1:18" s="2253" customFormat="1">
      <c r="B28" s="2266"/>
      <c r="C28" s="2266"/>
      <c r="D28" s="2266"/>
      <c r="H28" s="2266"/>
      <c r="I28" s="2267"/>
      <c r="J28" s="2266"/>
      <c r="K28" s="2266"/>
      <c r="L28" s="2267"/>
      <c r="M28" s="2266"/>
      <c r="N28" s="2266"/>
      <c r="O28" s="2267"/>
      <c r="P28" s="2266"/>
      <c r="Q28" s="2266"/>
      <c r="R28" s="2268"/>
    </row>
    <row r="29" spans="1:18" s="2253" customFormat="1">
      <c r="B29" s="2266"/>
      <c r="C29" s="2266"/>
      <c r="D29" s="2266"/>
      <c r="H29" s="2266"/>
      <c r="I29" s="2267"/>
      <c r="J29" s="2266"/>
      <c r="K29" s="2266"/>
      <c r="L29" s="2267"/>
      <c r="M29" s="2266"/>
      <c r="N29" s="2266"/>
      <c r="O29" s="2267"/>
      <c r="P29" s="2266"/>
      <c r="Q29" s="2266"/>
      <c r="R29" s="2268"/>
    </row>
    <row r="30" spans="1:18" s="2253" customFormat="1">
      <c r="B30" s="2266"/>
      <c r="C30" s="2266"/>
      <c r="D30" s="2266"/>
      <c r="H30" s="2266"/>
      <c r="I30" s="2267"/>
      <c r="J30" s="2266"/>
      <c r="K30" s="2266"/>
      <c r="L30" s="2267"/>
      <c r="M30" s="2266"/>
      <c r="N30" s="2266"/>
      <c r="O30" s="2267"/>
      <c r="P30" s="2266"/>
      <c r="Q30" s="2266"/>
      <c r="R30" s="2268"/>
    </row>
    <row r="31" spans="1:18" s="2253" customFormat="1">
      <c r="B31" s="2266"/>
      <c r="C31" s="2266"/>
      <c r="D31" s="2266"/>
      <c r="H31" s="2266"/>
      <c r="I31" s="2267"/>
      <c r="J31" s="2266"/>
      <c r="K31" s="2266"/>
      <c r="L31" s="2267"/>
      <c r="M31" s="2266"/>
      <c r="N31" s="2266"/>
      <c r="O31" s="2267"/>
      <c r="P31" s="2266"/>
      <c r="Q31" s="2266"/>
      <c r="R31" s="2268"/>
    </row>
    <row r="32" spans="1:18" s="2253" customFormat="1">
      <c r="B32" s="2266"/>
      <c r="C32" s="2266"/>
      <c r="D32" s="2266"/>
      <c r="H32" s="2266"/>
      <c r="I32" s="2267"/>
      <c r="J32" s="2266"/>
      <c r="K32" s="2266"/>
      <c r="L32" s="2267"/>
      <c r="M32" s="2266"/>
      <c r="N32" s="2266"/>
      <c r="O32" s="2267"/>
      <c r="P32" s="2266"/>
      <c r="Q32" s="2266"/>
      <c r="R32" s="2268"/>
    </row>
    <row r="33" spans="2:18" s="2253" customFormat="1">
      <c r="B33" s="2266"/>
      <c r="C33" s="2266"/>
      <c r="D33" s="2266"/>
      <c r="H33" s="2266"/>
      <c r="I33" s="2267"/>
      <c r="J33" s="2266"/>
      <c r="K33" s="2266"/>
      <c r="L33" s="2267"/>
      <c r="M33" s="2266"/>
      <c r="N33" s="2266"/>
      <c r="O33" s="2267"/>
      <c r="P33" s="2266"/>
      <c r="Q33" s="2266"/>
      <c r="R33" s="2268"/>
    </row>
    <row r="34" spans="2:18" s="2253" customFormat="1">
      <c r="B34" s="2266"/>
      <c r="C34" s="2266"/>
      <c r="D34" s="2266"/>
      <c r="H34" s="2266"/>
      <c r="I34" s="2267"/>
      <c r="J34" s="2266"/>
      <c r="K34" s="2266"/>
      <c r="L34" s="2267"/>
      <c r="M34" s="2266"/>
      <c r="N34" s="2266"/>
      <c r="O34" s="2267"/>
      <c r="P34" s="2266"/>
      <c r="Q34" s="2266"/>
      <c r="R34" s="2268"/>
    </row>
    <row r="35" spans="2:18" s="2253" customFormat="1">
      <c r="B35" s="2266"/>
      <c r="C35" s="2266"/>
      <c r="D35" s="2266"/>
      <c r="H35" s="2266"/>
      <c r="I35" s="2267"/>
      <c r="J35" s="2266"/>
      <c r="K35" s="2266"/>
      <c r="L35" s="2267"/>
      <c r="M35" s="2266"/>
      <c r="N35" s="2266"/>
      <c r="O35" s="2267"/>
      <c r="P35" s="2266"/>
      <c r="Q35" s="2266"/>
      <c r="R35" s="2268"/>
    </row>
    <row r="36" spans="2:18" s="2253" customFormat="1">
      <c r="B36" s="2266"/>
      <c r="C36" s="2266"/>
      <c r="D36" s="2266"/>
      <c r="H36" s="2266"/>
      <c r="I36" s="2267"/>
      <c r="J36" s="2266"/>
      <c r="K36" s="2266"/>
      <c r="L36" s="2267"/>
      <c r="M36" s="2266"/>
      <c r="N36" s="2266"/>
      <c r="O36" s="2267"/>
      <c r="P36" s="2266"/>
      <c r="Q36" s="2266"/>
      <c r="R36" s="2268"/>
    </row>
    <row r="37" spans="2:18" s="2253" customFormat="1">
      <c r="B37" s="2266"/>
      <c r="C37" s="2266"/>
      <c r="D37" s="2266"/>
      <c r="H37" s="2266"/>
      <c r="I37" s="2267"/>
      <c r="J37" s="2266"/>
      <c r="K37" s="2266"/>
      <c r="L37" s="2267"/>
      <c r="M37" s="2266"/>
      <c r="N37" s="2266"/>
      <c r="O37" s="2267"/>
      <c r="P37" s="2266"/>
      <c r="Q37" s="2266"/>
      <c r="R37" s="2268"/>
    </row>
    <row r="38" spans="2:18" s="2253" customFormat="1">
      <c r="B38" s="2266"/>
      <c r="C38" s="2266"/>
      <c r="D38" s="2266"/>
      <c r="E38" s="2266"/>
      <c r="F38" s="2266"/>
      <c r="G38" s="2267"/>
      <c r="H38" s="2266"/>
      <c r="I38" s="2267"/>
      <c r="J38" s="2266"/>
      <c r="K38" s="2266"/>
      <c r="L38" s="2267"/>
      <c r="M38" s="2266"/>
      <c r="N38" s="2266"/>
      <c r="O38" s="2267"/>
      <c r="P38" s="2266"/>
      <c r="Q38" s="2266"/>
      <c r="R38" s="2268"/>
    </row>
    <row r="39" spans="2:18" s="2253" customFormat="1">
      <c r="B39" s="2266"/>
      <c r="C39" s="2266"/>
      <c r="D39" s="2266"/>
      <c r="E39" s="2266"/>
      <c r="F39" s="2266"/>
      <c r="G39" s="2267"/>
      <c r="H39" s="2266"/>
      <c r="I39" s="2267"/>
      <c r="J39" s="2266"/>
      <c r="K39" s="2266"/>
      <c r="L39" s="2267"/>
      <c r="M39" s="2266"/>
      <c r="N39" s="2266"/>
      <c r="O39" s="2267"/>
      <c r="P39" s="2266"/>
      <c r="Q39" s="2266"/>
      <c r="R39" s="2268"/>
    </row>
    <row r="40" spans="2:18" s="2253" customFormat="1">
      <c r="B40" s="2266"/>
      <c r="C40" s="2266"/>
      <c r="D40" s="2266"/>
      <c r="E40" s="2266"/>
      <c r="F40" s="2266"/>
      <c r="G40" s="2267"/>
      <c r="H40" s="2266"/>
      <c r="I40" s="2267"/>
      <c r="J40" s="2266"/>
      <c r="K40" s="2266"/>
      <c r="L40" s="2267"/>
      <c r="M40" s="2266"/>
      <c r="N40" s="2266"/>
      <c r="O40" s="2267"/>
      <c r="P40" s="2266"/>
      <c r="Q40" s="2266"/>
      <c r="R40" s="2268"/>
    </row>
    <row r="41" spans="2:18" s="2253" customFormat="1">
      <c r="B41" s="2266"/>
      <c r="C41" s="2266"/>
      <c r="D41" s="2266"/>
      <c r="E41" s="2266"/>
      <c r="F41" s="2266"/>
      <c r="G41" s="2267"/>
      <c r="H41" s="2266"/>
      <c r="I41" s="2267"/>
      <c r="J41" s="2266"/>
      <c r="K41" s="2266"/>
      <c r="L41" s="2267"/>
      <c r="M41" s="2266"/>
      <c r="N41" s="2266"/>
      <c r="O41" s="2267"/>
      <c r="P41" s="2266"/>
      <c r="Q41" s="2266"/>
      <c r="R41" s="2268"/>
    </row>
    <row r="42" spans="2:18" s="2253" customFormat="1">
      <c r="B42" s="2266"/>
      <c r="C42" s="2266"/>
      <c r="D42" s="2266"/>
      <c r="E42" s="2266"/>
      <c r="F42" s="2266"/>
      <c r="G42" s="2267"/>
      <c r="H42" s="2266"/>
      <c r="I42" s="2267"/>
      <c r="J42" s="2266"/>
      <c r="K42" s="2266"/>
      <c r="L42" s="2267"/>
      <c r="M42" s="2266"/>
      <c r="N42" s="2266"/>
      <c r="O42" s="2267"/>
      <c r="P42" s="2266"/>
      <c r="Q42" s="2266"/>
      <c r="R42" s="2268"/>
    </row>
    <row r="43" spans="2:18" s="2253" customFormat="1">
      <c r="B43" s="2266"/>
      <c r="C43" s="2266"/>
      <c r="D43" s="2266"/>
      <c r="E43" s="2266"/>
      <c r="F43" s="2266"/>
      <c r="G43" s="2267"/>
      <c r="H43" s="2266"/>
      <c r="I43" s="2267"/>
      <c r="J43" s="2266"/>
      <c r="K43" s="2266"/>
      <c r="L43" s="2267"/>
      <c r="M43" s="2266"/>
      <c r="N43" s="2266"/>
      <c r="O43" s="2267"/>
      <c r="P43" s="2266"/>
      <c r="Q43" s="2266"/>
      <c r="R43" s="2268"/>
    </row>
    <row r="44" spans="2:18" s="2253" customFormat="1">
      <c r="B44" s="2266"/>
      <c r="C44" s="2266"/>
      <c r="D44" s="2266"/>
      <c r="E44" s="2266"/>
      <c r="F44" s="2266"/>
      <c r="G44" s="2267"/>
      <c r="H44" s="2266"/>
      <c r="I44" s="2267"/>
      <c r="J44" s="2266"/>
      <c r="K44" s="2266"/>
      <c r="L44" s="2267"/>
      <c r="M44" s="2266"/>
      <c r="N44" s="2266"/>
      <c r="O44" s="2267"/>
      <c r="P44" s="2266"/>
      <c r="Q44" s="2266"/>
      <c r="R44" s="2268"/>
    </row>
    <row r="45" spans="2:18" s="2253" customFormat="1">
      <c r="B45" s="2266"/>
      <c r="C45" s="2266"/>
      <c r="D45" s="2266"/>
      <c r="E45" s="2266"/>
      <c r="F45" s="2266"/>
      <c r="G45" s="2267"/>
      <c r="H45" s="2266"/>
      <c r="I45" s="2267"/>
      <c r="J45" s="2266"/>
      <c r="K45" s="2266"/>
      <c r="L45" s="2267"/>
      <c r="M45" s="2266"/>
      <c r="N45" s="2266"/>
      <c r="O45" s="2267"/>
      <c r="P45" s="2266"/>
      <c r="Q45" s="2266"/>
      <c r="R45" s="2268"/>
    </row>
    <row r="46" spans="2:18" s="2253" customFormat="1">
      <c r="B46" s="2266"/>
      <c r="C46" s="2266"/>
      <c r="D46" s="2266"/>
      <c r="E46" s="2266"/>
      <c r="F46" s="2266"/>
      <c r="G46" s="2267"/>
      <c r="H46" s="2266"/>
      <c r="I46" s="2267"/>
      <c r="J46" s="2266"/>
      <c r="K46" s="2266"/>
      <c r="L46" s="2267"/>
      <c r="M46" s="2266"/>
      <c r="N46" s="2266"/>
      <c r="O46" s="2267"/>
      <c r="P46" s="2266"/>
      <c r="Q46" s="2266"/>
      <c r="R46" s="2268"/>
    </row>
    <row r="47" spans="2:18" s="2253" customFormat="1">
      <c r="B47" s="2266"/>
      <c r="C47" s="2266"/>
      <c r="D47" s="2266"/>
      <c r="E47" s="2266"/>
      <c r="F47" s="2266"/>
      <c r="G47" s="2267"/>
      <c r="H47" s="2266"/>
      <c r="I47" s="2267"/>
      <c r="J47" s="2266"/>
      <c r="K47" s="2266"/>
      <c r="L47" s="2267"/>
      <c r="M47" s="2266"/>
      <c r="N47" s="2266"/>
      <c r="O47" s="2267"/>
      <c r="P47" s="2266"/>
      <c r="Q47" s="2266"/>
      <c r="R47" s="2268"/>
    </row>
    <row r="48" spans="2:18" s="2253" customFormat="1">
      <c r="B48" s="2266"/>
      <c r="C48" s="2266"/>
      <c r="D48" s="2266"/>
      <c r="E48" s="2266"/>
      <c r="F48" s="2266"/>
      <c r="G48" s="2267"/>
      <c r="H48" s="2266"/>
      <c r="I48" s="2267"/>
      <c r="J48" s="2266"/>
      <c r="K48" s="2266"/>
      <c r="L48" s="2267"/>
      <c r="M48" s="2266"/>
      <c r="N48" s="2266"/>
      <c r="O48" s="2267"/>
      <c r="P48" s="2266"/>
      <c r="Q48" s="2266"/>
      <c r="R48" s="2268"/>
    </row>
    <row r="49" spans="2:18" s="2253" customFormat="1">
      <c r="B49" s="2266"/>
      <c r="C49" s="2266"/>
      <c r="D49" s="2266"/>
      <c r="E49" s="2266"/>
      <c r="F49" s="2266"/>
      <c r="G49" s="2267"/>
      <c r="H49" s="2266"/>
      <c r="I49" s="2267"/>
      <c r="J49" s="2266"/>
      <c r="K49" s="2266"/>
      <c r="L49" s="2267"/>
      <c r="M49" s="2266"/>
      <c r="N49" s="2266"/>
      <c r="O49" s="2267"/>
      <c r="P49" s="2266"/>
      <c r="Q49" s="2266"/>
      <c r="R49" s="2268"/>
    </row>
    <row r="50" spans="2:18" s="2253" customFormat="1">
      <c r="B50" s="2266"/>
      <c r="C50" s="2266"/>
      <c r="D50" s="2266"/>
      <c r="E50" s="2266"/>
      <c r="F50" s="2266"/>
      <c r="G50" s="2267"/>
      <c r="H50" s="2266"/>
      <c r="I50" s="2267"/>
      <c r="J50" s="2266"/>
      <c r="K50" s="2266"/>
      <c r="L50" s="2267"/>
      <c r="M50" s="2266"/>
      <c r="N50" s="2266"/>
      <c r="O50" s="2267"/>
      <c r="P50" s="2266"/>
      <c r="Q50" s="2266"/>
      <c r="R50" s="2268"/>
    </row>
    <row r="51" spans="2:18" s="2253" customFormat="1">
      <c r="B51" s="2266"/>
      <c r="C51" s="2266"/>
      <c r="D51" s="2266"/>
      <c r="E51" s="2266"/>
      <c r="F51" s="2266"/>
      <c r="G51" s="2267"/>
      <c r="H51" s="2266"/>
      <c r="I51" s="2267"/>
      <c r="J51" s="2266"/>
      <c r="K51" s="2266"/>
      <c r="L51" s="2267"/>
      <c r="M51" s="2266"/>
      <c r="N51" s="2266"/>
      <c r="O51" s="2267"/>
      <c r="P51" s="2266"/>
      <c r="Q51" s="2266"/>
      <c r="R51" s="2268"/>
    </row>
    <row r="52" spans="2:18" s="2253" customFormat="1">
      <c r="B52" s="2266"/>
      <c r="C52" s="2266"/>
      <c r="D52" s="2266"/>
      <c r="E52" s="2266"/>
      <c r="F52" s="2266"/>
      <c r="G52" s="2267"/>
      <c r="H52" s="2266"/>
      <c r="I52" s="2267"/>
      <c r="J52" s="2266"/>
      <c r="K52" s="2266"/>
      <c r="L52" s="2267"/>
      <c r="M52" s="2266"/>
      <c r="N52" s="2266"/>
      <c r="O52" s="2267"/>
      <c r="P52" s="2266"/>
      <c r="Q52" s="2266"/>
      <c r="R52" s="2268"/>
    </row>
    <row r="53" spans="2:18" s="2253" customFormat="1">
      <c r="B53" s="2266"/>
      <c r="C53" s="2266"/>
      <c r="D53" s="2266"/>
      <c r="E53" s="2266"/>
      <c r="F53" s="2266"/>
      <c r="G53" s="2267"/>
      <c r="H53" s="2266"/>
      <c r="I53" s="2267"/>
      <c r="J53" s="2266"/>
      <c r="K53" s="2266"/>
      <c r="L53" s="2267"/>
      <c r="M53" s="2266"/>
      <c r="N53" s="2266"/>
      <c r="O53" s="2267"/>
      <c r="P53" s="2266"/>
      <c r="Q53" s="2266"/>
      <c r="R53" s="2268"/>
    </row>
    <row r="54" spans="2:18" s="2253" customFormat="1">
      <c r="B54" s="2266"/>
      <c r="C54" s="2266"/>
      <c r="D54" s="2266"/>
      <c r="E54" s="2266"/>
      <c r="F54" s="2266"/>
      <c r="G54" s="2267"/>
      <c r="H54" s="2266"/>
      <c r="I54" s="2267"/>
      <c r="J54" s="2266"/>
      <c r="K54" s="2266"/>
      <c r="L54" s="2267"/>
      <c r="M54" s="2266"/>
      <c r="N54" s="2266"/>
      <c r="O54" s="2267"/>
      <c r="P54" s="2266"/>
      <c r="Q54" s="2266"/>
      <c r="R54" s="2268"/>
    </row>
    <row r="55" spans="2:18" s="2253" customFormat="1">
      <c r="B55" s="2266"/>
      <c r="C55" s="2266"/>
      <c r="D55" s="2266"/>
      <c r="E55" s="2266"/>
      <c r="F55" s="2266"/>
      <c r="G55" s="2267"/>
      <c r="H55" s="2266"/>
      <c r="I55" s="2267"/>
      <c r="J55" s="2266"/>
      <c r="K55" s="2266"/>
      <c r="L55" s="2267"/>
      <c r="M55" s="2266"/>
      <c r="N55" s="2266"/>
      <c r="O55" s="2267"/>
      <c r="P55" s="2266"/>
      <c r="Q55" s="2266"/>
      <c r="R55" s="2268"/>
    </row>
    <row r="56" spans="2:18" s="2253" customFormat="1">
      <c r="B56" s="2266"/>
      <c r="C56" s="2266"/>
      <c r="D56" s="2266"/>
      <c r="E56" s="2266"/>
      <c r="F56" s="2266"/>
      <c r="G56" s="2267"/>
      <c r="H56" s="2266"/>
      <c r="I56" s="2267"/>
      <c r="J56" s="2266"/>
      <c r="K56" s="2266"/>
      <c r="L56" s="2267"/>
      <c r="M56" s="2266"/>
      <c r="N56" s="2266"/>
      <c r="O56" s="2267"/>
      <c r="P56" s="2266"/>
      <c r="Q56" s="2266"/>
      <c r="R56" s="2268"/>
    </row>
    <row r="57" spans="2:18" s="2253" customFormat="1">
      <c r="B57" s="2266"/>
      <c r="C57" s="2266"/>
      <c r="D57" s="2266"/>
      <c r="E57" s="2266"/>
      <c r="F57" s="2266"/>
      <c r="G57" s="2267"/>
      <c r="H57" s="2266"/>
      <c r="I57" s="2267"/>
      <c r="J57" s="2266"/>
      <c r="K57" s="2266"/>
      <c r="L57" s="2267"/>
      <c r="M57" s="2266"/>
      <c r="N57" s="2266"/>
      <c r="O57" s="2267"/>
      <c r="P57" s="2266"/>
      <c r="Q57" s="2266"/>
      <c r="R57" s="2268"/>
    </row>
    <row r="58" spans="2:18" s="2253" customFormat="1">
      <c r="B58" s="2266"/>
      <c r="C58" s="2266"/>
      <c r="D58" s="2266"/>
      <c r="E58" s="2266"/>
      <c r="F58" s="2266"/>
      <c r="G58" s="2267"/>
      <c r="H58" s="2266"/>
      <c r="I58" s="2267"/>
      <c r="J58" s="2266"/>
      <c r="K58" s="2266"/>
      <c r="L58" s="2267"/>
      <c r="M58" s="2266"/>
      <c r="N58" s="2266"/>
      <c r="O58" s="2267"/>
      <c r="P58" s="2266"/>
      <c r="Q58" s="2266"/>
      <c r="R58" s="2268"/>
    </row>
    <row r="59" spans="2:18" s="2253" customFormat="1">
      <c r="B59" s="2266"/>
      <c r="C59" s="2266"/>
      <c r="D59" s="2266"/>
      <c r="E59" s="2266"/>
      <c r="F59" s="2266"/>
      <c r="G59" s="2267"/>
      <c r="H59" s="2266"/>
      <c r="I59" s="2267"/>
      <c r="J59" s="2266"/>
      <c r="K59" s="2266"/>
      <c r="L59" s="2267"/>
      <c r="M59" s="2266"/>
      <c r="N59" s="2266"/>
      <c r="O59" s="2267"/>
      <c r="P59" s="2266"/>
      <c r="Q59" s="2266"/>
      <c r="R59" s="2268"/>
    </row>
    <row r="60" spans="2:18" s="2253" customFormat="1">
      <c r="B60" s="2266"/>
      <c r="C60" s="2266"/>
      <c r="D60" s="2266"/>
      <c r="E60" s="2266"/>
      <c r="F60" s="2266"/>
      <c r="G60" s="2267"/>
      <c r="H60" s="2266"/>
      <c r="I60" s="2267"/>
      <c r="J60" s="2266"/>
      <c r="K60" s="2266"/>
      <c r="L60" s="2267"/>
      <c r="M60" s="2266"/>
      <c r="N60" s="2266"/>
      <c r="O60" s="2267"/>
      <c r="P60" s="2266"/>
      <c r="Q60" s="2266"/>
      <c r="R60" s="2268"/>
    </row>
    <row r="61" spans="2:18" s="2253" customFormat="1">
      <c r="B61" s="2266"/>
      <c r="C61" s="2266"/>
      <c r="D61" s="2266"/>
      <c r="E61" s="2266"/>
      <c r="F61" s="2266"/>
      <c r="G61" s="2267"/>
      <c r="H61" s="2266"/>
      <c r="I61" s="2267"/>
      <c r="J61" s="2266"/>
      <c r="K61" s="2266"/>
      <c r="L61" s="2267"/>
      <c r="M61" s="2266"/>
      <c r="N61" s="2266"/>
      <c r="O61" s="2267"/>
      <c r="P61" s="2266"/>
      <c r="Q61" s="2266"/>
      <c r="R61" s="2268"/>
    </row>
    <row r="62" spans="2:18" s="2253" customFormat="1">
      <c r="B62" s="2266"/>
      <c r="C62" s="2266"/>
      <c r="D62" s="2266"/>
      <c r="E62" s="2266"/>
      <c r="F62" s="2266"/>
      <c r="G62" s="2267"/>
      <c r="H62" s="2266"/>
      <c r="I62" s="2267"/>
      <c r="J62" s="2266"/>
      <c r="K62" s="2266"/>
      <c r="L62" s="2267"/>
      <c r="M62" s="2266"/>
      <c r="N62" s="2266"/>
      <c r="O62" s="2267"/>
      <c r="P62" s="2266"/>
      <c r="Q62" s="2266"/>
      <c r="R62" s="2268"/>
    </row>
    <row r="63" spans="2:18" s="2253" customFormat="1">
      <c r="B63" s="2266"/>
      <c r="C63" s="2266"/>
      <c r="D63" s="2266"/>
      <c r="E63" s="2266"/>
      <c r="F63" s="2266"/>
      <c r="G63" s="2267"/>
      <c r="H63" s="2266"/>
      <c r="I63" s="2267"/>
      <c r="J63" s="2266"/>
      <c r="K63" s="2266"/>
      <c r="L63" s="2267"/>
      <c r="M63" s="2266"/>
      <c r="N63" s="2266"/>
      <c r="O63" s="2267"/>
      <c r="P63" s="2266"/>
      <c r="Q63" s="2266"/>
      <c r="R63" s="2268"/>
    </row>
    <row r="64" spans="2:18" s="2253" customFormat="1">
      <c r="B64" s="2266"/>
      <c r="C64" s="2266"/>
      <c r="D64" s="2266"/>
      <c r="E64" s="2266"/>
      <c r="F64" s="2266"/>
      <c r="G64" s="2267"/>
      <c r="H64" s="2266"/>
      <c r="I64" s="2267"/>
      <c r="J64" s="2266"/>
      <c r="K64" s="2266"/>
      <c r="L64" s="2267"/>
      <c r="M64" s="2266"/>
      <c r="N64" s="2266"/>
      <c r="O64" s="2267"/>
      <c r="P64" s="2266"/>
      <c r="Q64" s="2266"/>
      <c r="R64" s="2268"/>
    </row>
    <row r="65" spans="2:18" s="2253" customFormat="1">
      <c r="B65" s="2266"/>
      <c r="C65" s="2266"/>
      <c r="D65" s="2266"/>
      <c r="E65" s="2266"/>
      <c r="F65" s="2266"/>
      <c r="G65" s="2267"/>
      <c r="H65" s="2266"/>
      <c r="I65" s="2267"/>
      <c r="J65" s="2266"/>
      <c r="K65" s="2266"/>
      <c r="L65" s="2267"/>
      <c r="M65" s="2266"/>
      <c r="N65" s="2266"/>
      <c r="O65" s="2267"/>
      <c r="P65" s="2266"/>
      <c r="Q65" s="2266"/>
      <c r="R65" s="2268"/>
    </row>
    <row r="66" spans="2:18" s="2253" customFormat="1">
      <c r="B66" s="2266"/>
      <c r="C66" s="2266"/>
      <c r="D66" s="2266"/>
      <c r="E66" s="2266"/>
      <c r="F66" s="2266"/>
      <c r="G66" s="2267"/>
      <c r="H66" s="2266"/>
      <c r="I66" s="2267"/>
      <c r="J66" s="2266"/>
      <c r="K66" s="2266"/>
      <c r="L66" s="2267"/>
      <c r="M66" s="2266"/>
      <c r="N66" s="2266"/>
      <c r="O66" s="2267"/>
      <c r="P66" s="2266"/>
      <c r="Q66" s="2266"/>
      <c r="R66" s="2268"/>
    </row>
    <row r="67" spans="2:18" s="2253" customFormat="1">
      <c r="B67" s="2266"/>
      <c r="C67" s="2266"/>
      <c r="D67" s="2266"/>
      <c r="E67" s="2266"/>
      <c r="F67" s="2266"/>
      <c r="G67" s="2267"/>
      <c r="H67" s="2266"/>
      <c r="I67" s="2267"/>
      <c r="J67" s="2266"/>
      <c r="K67" s="2266"/>
      <c r="L67" s="2267"/>
      <c r="M67" s="2266"/>
      <c r="N67" s="2266"/>
      <c r="O67" s="2267"/>
      <c r="P67" s="2266"/>
      <c r="Q67" s="2266"/>
      <c r="R67" s="2268"/>
    </row>
    <row r="68" spans="2:18" s="2253" customFormat="1">
      <c r="B68" s="2266"/>
      <c r="C68" s="2266"/>
      <c r="D68" s="2266"/>
      <c r="E68" s="2266"/>
      <c r="F68" s="2266"/>
      <c r="G68" s="2267"/>
      <c r="H68" s="2266"/>
      <c r="I68" s="2267"/>
      <c r="J68" s="2266"/>
      <c r="K68" s="2266"/>
      <c r="L68" s="2267"/>
      <c r="M68" s="2266"/>
      <c r="N68" s="2266"/>
      <c r="O68" s="2267"/>
      <c r="P68" s="2266"/>
      <c r="Q68" s="2266"/>
      <c r="R68" s="2268"/>
    </row>
    <row r="69" spans="2:18" s="2253" customFormat="1">
      <c r="B69" s="2266"/>
      <c r="C69" s="2266"/>
      <c r="D69" s="2266"/>
      <c r="E69" s="2266"/>
      <c r="F69" s="2266"/>
      <c r="G69" s="2267"/>
      <c r="H69" s="2266"/>
      <c r="I69" s="2267"/>
      <c r="J69" s="2266"/>
      <c r="K69" s="2266"/>
      <c r="L69" s="2267"/>
      <c r="M69" s="2266"/>
      <c r="N69" s="2266"/>
      <c r="O69" s="2267"/>
      <c r="P69" s="2266"/>
      <c r="Q69" s="2266"/>
      <c r="R69" s="2268"/>
    </row>
    <row r="70" spans="2:18" s="2253" customFormat="1">
      <c r="B70" s="2266"/>
      <c r="C70" s="2266"/>
      <c r="D70" s="2266"/>
      <c r="E70" s="2266"/>
      <c r="F70" s="2266"/>
      <c r="G70" s="2267"/>
      <c r="H70" s="2266"/>
      <c r="I70" s="2267"/>
      <c r="J70" s="2266"/>
      <c r="K70" s="2266"/>
      <c r="L70" s="2267"/>
      <c r="M70" s="2266"/>
      <c r="N70" s="2266"/>
      <c r="O70" s="2267"/>
      <c r="P70" s="2266"/>
      <c r="Q70" s="2266"/>
      <c r="R70" s="2268"/>
    </row>
    <row r="71" spans="2:18" s="2253" customFormat="1">
      <c r="B71" s="2266"/>
      <c r="C71" s="2266"/>
      <c r="D71" s="2266"/>
      <c r="E71" s="2266"/>
      <c r="F71" s="2266"/>
      <c r="G71" s="2267"/>
      <c r="H71" s="2266"/>
      <c r="I71" s="2267"/>
      <c r="J71" s="2266"/>
      <c r="K71" s="2266"/>
      <c r="L71" s="2267"/>
      <c r="M71" s="2266"/>
      <c r="N71" s="2266"/>
      <c r="O71" s="2267"/>
      <c r="P71" s="2266"/>
      <c r="Q71" s="2266"/>
      <c r="R71" s="2268"/>
    </row>
    <row r="72" spans="2:18" s="2253" customFormat="1">
      <c r="B72" s="2266"/>
      <c r="C72" s="2266"/>
      <c r="D72" s="2266"/>
      <c r="E72" s="2266"/>
      <c r="F72" s="2266"/>
      <c r="G72" s="2267"/>
      <c r="H72" s="2266"/>
      <c r="I72" s="2267"/>
      <c r="J72" s="2266"/>
      <c r="K72" s="2266"/>
      <c r="L72" s="2267"/>
      <c r="M72" s="2266"/>
      <c r="N72" s="2266"/>
      <c r="O72" s="2267"/>
      <c r="P72" s="2266"/>
      <c r="Q72" s="2266"/>
      <c r="R72" s="2268"/>
    </row>
    <row r="73" spans="2:18" s="2253" customFormat="1">
      <c r="B73" s="2266"/>
      <c r="C73" s="2266"/>
      <c r="D73" s="2266"/>
      <c r="E73" s="2266"/>
      <c r="F73" s="2266"/>
      <c r="G73" s="2267"/>
      <c r="H73" s="2266"/>
      <c r="I73" s="2267"/>
      <c r="J73" s="2266"/>
      <c r="K73" s="2266"/>
      <c r="L73" s="2267"/>
      <c r="M73" s="2266"/>
      <c r="N73" s="2266"/>
      <c r="O73" s="2267"/>
      <c r="P73" s="2266"/>
      <c r="Q73" s="2266"/>
      <c r="R73" s="2268"/>
    </row>
    <row r="74" spans="2:18" s="2253" customFormat="1">
      <c r="B74" s="2266"/>
      <c r="C74" s="2266"/>
      <c r="D74" s="2266"/>
      <c r="E74" s="2266"/>
      <c r="F74" s="2266"/>
      <c r="G74" s="2267"/>
      <c r="H74" s="2266"/>
      <c r="I74" s="2267"/>
      <c r="J74" s="2266"/>
      <c r="K74" s="2266"/>
      <c r="L74" s="2267"/>
      <c r="M74" s="2266"/>
      <c r="N74" s="2266"/>
      <c r="O74" s="2267"/>
      <c r="P74" s="2266"/>
      <c r="Q74" s="2266"/>
      <c r="R74" s="2268"/>
    </row>
    <row r="75" spans="2:18" s="2253" customFormat="1">
      <c r="B75" s="2266"/>
      <c r="C75" s="2266"/>
      <c r="D75" s="2266"/>
      <c r="E75" s="2266"/>
      <c r="F75" s="2266"/>
      <c r="G75" s="2267"/>
      <c r="H75" s="2266"/>
      <c r="I75" s="2267"/>
      <c r="J75" s="2266"/>
      <c r="K75" s="2266"/>
      <c r="L75" s="2267"/>
      <c r="M75" s="2266"/>
      <c r="N75" s="2266"/>
      <c r="O75" s="2267"/>
      <c r="P75" s="2266"/>
      <c r="Q75" s="2266"/>
      <c r="R75" s="2268"/>
    </row>
    <row r="76" spans="2:18" s="2253" customFormat="1">
      <c r="B76" s="2266"/>
      <c r="C76" s="2266"/>
      <c r="D76" s="2266"/>
      <c r="E76" s="2266"/>
      <c r="F76" s="2266"/>
      <c r="G76" s="2267"/>
      <c r="H76" s="2266"/>
      <c r="I76" s="2267"/>
      <c r="J76" s="2266"/>
      <c r="K76" s="2266"/>
      <c r="L76" s="2267"/>
      <c r="M76" s="2266"/>
      <c r="N76" s="2266"/>
      <c r="O76" s="2267"/>
      <c r="P76" s="2266"/>
      <c r="Q76" s="2266"/>
      <c r="R76" s="2268"/>
    </row>
    <row r="77" spans="2:18" s="2253" customFormat="1">
      <c r="B77" s="2266"/>
      <c r="C77" s="2266"/>
      <c r="D77" s="2266"/>
      <c r="E77" s="2266"/>
      <c r="F77" s="2266"/>
      <c r="G77" s="2267"/>
      <c r="H77" s="2266"/>
      <c r="I77" s="2267"/>
      <c r="J77" s="2266"/>
      <c r="K77" s="2266"/>
      <c r="L77" s="2267"/>
      <c r="M77" s="2266"/>
      <c r="N77" s="2266"/>
      <c r="O77" s="2267"/>
      <c r="P77" s="2266"/>
      <c r="Q77" s="2266"/>
      <c r="R77" s="2268"/>
    </row>
    <row r="78" spans="2:18" s="2253" customFormat="1">
      <c r="B78" s="2266"/>
      <c r="C78" s="2266"/>
      <c r="D78" s="2266"/>
      <c r="E78" s="2266"/>
      <c r="F78" s="2266"/>
      <c r="G78" s="2267"/>
      <c r="H78" s="2266"/>
      <c r="I78" s="2267"/>
      <c r="J78" s="2266"/>
      <c r="K78" s="2266"/>
      <c r="L78" s="2267"/>
      <c r="M78" s="2266"/>
      <c r="N78" s="2266"/>
      <c r="O78" s="2267"/>
      <c r="P78" s="2266"/>
      <c r="Q78" s="2266"/>
      <c r="R78" s="2268"/>
    </row>
    <row r="79" spans="2:18" s="2253" customFormat="1">
      <c r="B79" s="2266"/>
      <c r="C79" s="2266"/>
      <c r="D79" s="2266"/>
      <c r="E79" s="2266"/>
      <c r="F79" s="2266"/>
      <c r="G79" s="2267"/>
      <c r="H79" s="2266"/>
      <c r="I79" s="2267"/>
      <c r="J79" s="2266"/>
      <c r="K79" s="2266"/>
      <c r="L79" s="2267"/>
      <c r="M79" s="2266"/>
      <c r="N79" s="2266"/>
      <c r="O79" s="2267"/>
      <c r="P79" s="2266"/>
      <c r="Q79" s="2266"/>
      <c r="R79" s="2268"/>
    </row>
    <row r="80" spans="2:18" s="2253" customFormat="1">
      <c r="B80" s="2266"/>
      <c r="C80" s="2266"/>
      <c r="D80" s="2266"/>
      <c r="E80" s="2266"/>
      <c r="F80" s="2266"/>
      <c r="G80" s="2267"/>
      <c r="H80" s="2266"/>
      <c r="I80" s="2267"/>
      <c r="J80" s="2266"/>
      <c r="K80" s="2266"/>
      <c r="L80" s="2267"/>
      <c r="M80" s="2266"/>
      <c r="N80" s="2266"/>
      <c r="O80" s="2267"/>
      <c r="P80" s="2266"/>
      <c r="Q80" s="2266"/>
      <c r="R80" s="2268"/>
    </row>
    <row r="81" spans="2:18" s="2253" customFormat="1">
      <c r="B81" s="2266"/>
      <c r="C81" s="2266"/>
      <c r="D81" s="2266"/>
      <c r="E81" s="2266"/>
      <c r="F81" s="2266"/>
      <c r="G81" s="2267"/>
      <c r="H81" s="2266"/>
      <c r="I81" s="2267"/>
      <c r="J81" s="2266"/>
      <c r="K81" s="2266"/>
      <c r="L81" s="2267"/>
      <c r="M81" s="2266"/>
      <c r="N81" s="2266"/>
      <c r="O81" s="2267"/>
      <c r="P81" s="2266"/>
      <c r="Q81" s="2266"/>
      <c r="R81" s="2268"/>
    </row>
    <row r="82" spans="2:18" s="2253" customFormat="1">
      <c r="B82" s="2266"/>
      <c r="C82" s="2266"/>
      <c r="D82" s="2266"/>
      <c r="E82" s="2266"/>
      <c r="F82" s="2266"/>
      <c r="G82" s="2267"/>
      <c r="H82" s="2266"/>
      <c r="I82" s="2267"/>
      <c r="J82" s="2266"/>
      <c r="K82" s="2266"/>
      <c r="L82" s="2267"/>
      <c r="M82" s="2266"/>
      <c r="N82" s="2266"/>
      <c r="O82" s="2267"/>
      <c r="P82" s="2266"/>
      <c r="Q82" s="2266"/>
      <c r="R82" s="2268"/>
    </row>
    <row r="83" spans="2:18" s="2253" customFormat="1">
      <c r="B83" s="2266"/>
      <c r="C83" s="2266"/>
      <c r="D83" s="2266"/>
      <c r="E83" s="2266"/>
      <c r="F83" s="2266"/>
      <c r="G83" s="2267"/>
      <c r="H83" s="2266"/>
      <c r="I83" s="2267"/>
      <c r="J83" s="2266"/>
      <c r="K83" s="2266"/>
      <c r="L83" s="2267"/>
      <c r="M83" s="2266"/>
      <c r="N83" s="2266"/>
      <c r="O83" s="2267"/>
      <c r="P83" s="2266"/>
      <c r="Q83" s="2266"/>
      <c r="R83" s="2268"/>
    </row>
    <row r="84" spans="2:18" s="2253" customFormat="1">
      <c r="B84" s="2266"/>
      <c r="C84" s="2266"/>
      <c r="D84" s="2266"/>
      <c r="E84" s="2266"/>
      <c r="F84" s="2266"/>
      <c r="G84" s="2267"/>
      <c r="H84" s="2266"/>
      <c r="I84" s="2267"/>
      <c r="J84" s="2266"/>
      <c r="K84" s="2266"/>
      <c r="L84" s="2267"/>
      <c r="M84" s="2266"/>
      <c r="N84" s="2266"/>
      <c r="O84" s="2267"/>
      <c r="P84" s="2266"/>
      <c r="Q84" s="2266"/>
      <c r="R84" s="2268"/>
    </row>
    <row r="85" spans="2:18" s="2253" customFormat="1">
      <c r="B85" s="2266"/>
      <c r="C85" s="2266"/>
      <c r="D85" s="2266"/>
      <c r="E85" s="2266"/>
      <c r="F85" s="2266"/>
      <c r="G85" s="2267"/>
      <c r="H85" s="2266"/>
      <c r="I85" s="2267"/>
      <c r="J85" s="2266"/>
      <c r="K85" s="2266"/>
      <c r="L85" s="2267"/>
      <c r="M85" s="2266"/>
      <c r="N85" s="2266"/>
      <c r="O85" s="2267"/>
      <c r="P85" s="2266"/>
      <c r="Q85" s="2266"/>
      <c r="R85" s="2268"/>
    </row>
    <row r="86" spans="2:18" s="2253" customFormat="1">
      <c r="B86" s="2266"/>
      <c r="C86" s="2266"/>
      <c r="D86" s="2266"/>
      <c r="E86" s="2266"/>
      <c r="F86" s="2266"/>
      <c r="G86" s="2267"/>
      <c r="H86" s="2266"/>
      <c r="I86" s="2267"/>
      <c r="J86" s="2266"/>
      <c r="K86" s="2266"/>
      <c r="L86" s="2267"/>
      <c r="M86" s="2266"/>
      <c r="N86" s="2266"/>
      <c r="O86" s="2267"/>
      <c r="P86" s="2266"/>
      <c r="Q86" s="2266"/>
      <c r="R86" s="2268"/>
    </row>
    <row r="87" spans="2:18" s="2253" customFormat="1">
      <c r="B87" s="2266"/>
      <c r="C87" s="2266"/>
      <c r="D87" s="2266"/>
      <c r="E87" s="2266"/>
      <c r="F87" s="2266"/>
      <c r="G87" s="2267"/>
      <c r="H87" s="2266"/>
      <c r="I87" s="2267"/>
      <c r="J87" s="2266"/>
      <c r="K87" s="2266"/>
      <c r="L87" s="2267"/>
      <c r="M87" s="2266"/>
      <c r="N87" s="2266"/>
      <c r="O87" s="2267"/>
      <c r="P87" s="2266"/>
      <c r="Q87" s="2266"/>
      <c r="R87" s="2268"/>
    </row>
    <row r="88" spans="2:18" s="2253" customFormat="1">
      <c r="B88" s="2266"/>
      <c r="C88" s="2266"/>
      <c r="D88" s="2266"/>
      <c r="E88" s="2266"/>
      <c r="F88" s="2266"/>
      <c r="G88" s="2267"/>
      <c r="H88" s="2266"/>
      <c r="I88" s="2267"/>
      <c r="J88" s="2266"/>
      <c r="K88" s="2266"/>
      <c r="L88" s="2267"/>
      <c r="M88" s="2266"/>
      <c r="N88" s="2266"/>
      <c r="O88" s="2267"/>
      <c r="P88" s="2266"/>
      <c r="Q88" s="2266"/>
      <c r="R88" s="2268"/>
    </row>
    <row r="89" spans="2:18" s="2253" customFormat="1">
      <c r="B89" s="2266"/>
      <c r="C89" s="2266"/>
      <c r="D89" s="2266"/>
      <c r="E89" s="2266"/>
      <c r="F89" s="2266"/>
      <c r="G89" s="2267"/>
      <c r="H89" s="2266"/>
      <c r="I89" s="2267"/>
      <c r="J89" s="2266"/>
      <c r="K89" s="2266"/>
      <c r="L89" s="2267"/>
      <c r="M89" s="2266"/>
      <c r="N89" s="2266"/>
      <c r="O89" s="2267"/>
      <c r="P89" s="2266"/>
      <c r="Q89" s="2266"/>
      <c r="R89" s="2268"/>
    </row>
    <row r="90" spans="2:18" s="2253" customFormat="1">
      <c r="B90" s="2266"/>
      <c r="C90" s="2266"/>
      <c r="D90" s="2266"/>
      <c r="E90" s="2266"/>
      <c r="F90" s="2266"/>
      <c r="G90" s="2267"/>
      <c r="H90" s="2266"/>
      <c r="I90" s="2267"/>
      <c r="J90" s="2266"/>
      <c r="K90" s="2266"/>
      <c r="L90" s="2267"/>
      <c r="M90" s="2266"/>
      <c r="N90" s="2266"/>
      <c r="O90" s="2267"/>
      <c r="P90" s="2266"/>
      <c r="Q90" s="2266"/>
      <c r="R90" s="2268"/>
    </row>
    <row r="91" spans="2:18" s="2253" customFormat="1">
      <c r="B91" s="2266"/>
      <c r="C91" s="2266"/>
      <c r="D91" s="2266"/>
      <c r="E91" s="2266"/>
      <c r="F91" s="2266"/>
      <c r="G91" s="2267"/>
      <c r="H91" s="2266"/>
      <c r="I91" s="2267"/>
      <c r="J91" s="2266"/>
      <c r="K91" s="2266"/>
      <c r="L91" s="2267"/>
      <c r="M91" s="2266"/>
      <c r="N91" s="2266"/>
      <c r="O91" s="2267"/>
      <c r="P91" s="2266"/>
      <c r="Q91" s="2266"/>
      <c r="R91" s="2268"/>
    </row>
    <row r="92" spans="2:18" s="2253" customFormat="1">
      <c r="B92" s="2266"/>
      <c r="C92" s="2266"/>
      <c r="D92" s="2266"/>
      <c r="E92" s="2266"/>
      <c r="F92" s="2266"/>
      <c r="G92" s="2267"/>
      <c r="H92" s="2266"/>
      <c r="I92" s="2267"/>
      <c r="J92" s="2266"/>
      <c r="K92" s="2266"/>
      <c r="L92" s="2267"/>
      <c r="M92" s="2266"/>
      <c r="N92" s="2266"/>
      <c r="O92" s="2267"/>
      <c r="P92" s="2266"/>
      <c r="Q92" s="2266"/>
      <c r="R92" s="2268"/>
    </row>
    <row r="93" spans="2:18" s="2253" customFormat="1">
      <c r="B93" s="2266"/>
      <c r="C93" s="2266"/>
      <c r="D93" s="2266"/>
      <c r="E93" s="2266"/>
      <c r="F93" s="2266"/>
      <c r="G93" s="2267"/>
      <c r="H93" s="2266"/>
      <c r="I93" s="2267"/>
      <c r="J93" s="2266"/>
      <c r="K93" s="2266"/>
      <c r="L93" s="2267"/>
      <c r="M93" s="2266"/>
      <c r="N93" s="2266"/>
      <c r="O93" s="2267"/>
      <c r="P93" s="2266"/>
      <c r="Q93" s="2266"/>
      <c r="R93" s="2268"/>
    </row>
    <row r="94" spans="2:18" s="2253" customFormat="1">
      <c r="B94" s="2266"/>
      <c r="C94" s="2266"/>
      <c r="D94" s="2266"/>
      <c r="E94" s="2266"/>
      <c r="F94" s="2266"/>
      <c r="G94" s="2267"/>
      <c r="H94" s="2266"/>
      <c r="I94" s="2267"/>
      <c r="J94" s="2266"/>
      <c r="K94" s="2266"/>
      <c r="L94" s="2267"/>
      <c r="M94" s="2266"/>
      <c r="N94" s="2266"/>
      <c r="O94" s="2267"/>
      <c r="P94" s="2266"/>
      <c r="Q94" s="2266"/>
      <c r="R94" s="2268"/>
    </row>
    <row r="95" spans="2:18" s="2253" customFormat="1">
      <c r="B95" s="2266"/>
      <c r="C95" s="2266"/>
      <c r="D95" s="2266"/>
      <c r="E95" s="2266"/>
      <c r="F95" s="2266"/>
      <c r="G95" s="2267"/>
      <c r="H95" s="2266"/>
      <c r="I95" s="2267"/>
      <c r="J95" s="2266"/>
      <c r="K95" s="2266"/>
      <c r="L95" s="2267"/>
      <c r="M95" s="2266"/>
      <c r="N95" s="2266"/>
      <c r="O95" s="2267"/>
      <c r="P95" s="2266"/>
      <c r="Q95" s="2266"/>
      <c r="R95" s="2268"/>
    </row>
    <row r="96" spans="2:18" s="2253" customFormat="1">
      <c r="B96" s="2266"/>
      <c r="C96" s="2266"/>
      <c r="D96" s="2266"/>
      <c r="E96" s="2266"/>
      <c r="F96" s="2266"/>
      <c r="G96" s="2267"/>
      <c r="H96" s="2266"/>
      <c r="I96" s="2267"/>
      <c r="J96" s="2266"/>
      <c r="K96" s="2266"/>
      <c r="L96" s="2267"/>
      <c r="M96" s="2266"/>
      <c r="N96" s="2266"/>
      <c r="O96" s="2267"/>
      <c r="P96" s="2266"/>
      <c r="Q96" s="2266"/>
      <c r="R96" s="2268"/>
    </row>
    <row r="97" spans="2:18" s="2253" customFormat="1">
      <c r="B97" s="2266"/>
      <c r="C97" s="2266"/>
      <c r="D97" s="2266"/>
      <c r="E97" s="2266"/>
      <c r="F97" s="2266"/>
      <c r="G97" s="2267"/>
      <c r="H97" s="2266"/>
      <c r="I97" s="2267"/>
      <c r="J97" s="2266"/>
      <c r="K97" s="2266"/>
      <c r="L97" s="2267"/>
      <c r="M97" s="2266"/>
      <c r="N97" s="2266"/>
      <c r="O97" s="2267"/>
      <c r="P97" s="2266"/>
      <c r="Q97" s="2266"/>
      <c r="R97" s="2268"/>
    </row>
    <row r="98" spans="2:18" s="2253" customFormat="1">
      <c r="B98" s="2266"/>
      <c r="C98" s="2266"/>
      <c r="D98" s="2266"/>
      <c r="E98" s="2266"/>
      <c r="F98" s="2266"/>
      <c r="G98" s="2267"/>
      <c r="H98" s="2266"/>
      <c r="I98" s="2267"/>
      <c r="J98" s="2266"/>
      <c r="K98" s="2266"/>
      <c r="L98" s="2267"/>
      <c r="M98" s="2266"/>
      <c r="N98" s="2266"/>
      <c r="O98" s="2267"/>
      <c r="P98" s="2266"/>
      <c r="Q98" s="2266"/>
      <c r="R98" s="2268"/>
    </row>
    <row r="99" spans="2:18" s="2253" customFormat="1">
      <c r="B99" s="2266"/>
      <c r="C99" s="2266"/>
      <c r="D99" s="2266"/>
      <c r="E99" s="2266"/>
      <c r="F99" s="2266"/>
      <c r="G99" s="2267"/>
      <c r="H99" s="2266"/>
      <c r="I99" s="2267"/>
      <c r="J99" s="2266"/>
      <c r="K99" s="2266"/>
      <c r="L99" s="2267"/>
      <c r="M99" s="2266"/>
      <c r="N99" s="2266"/>
      <c r="O99" s="2267"/>
      <c r="P99" s="2266"/>
      <c r="Q99" s="2266"/>
      <c r="R99" s="2268"/>
    </row>
    <row r="100" spans="2:18" s="2253" customFormat="1">
      <c r="B100" s="2266"/>
      <c r="C100" s="2266"/>
      <c r="D100" s="2266"/>
      <c r="E100" s="2266"/>
      <c r="F100" s="2266"/>
      <c r="G100" s="2267"/>
      <c r="H100" s="2266"/>
      <c r="I100" s="2267"/>
      <c r="J100" s="2266"/>
      <c r="K100" s="2266"/>
      <c r="L100" s="2267"/>
      <c r="M100" s="2266"/>
      <c r="N100" s="2266"/>
      <c r="O100" s="2267"/>
      <c r="P100" s="2266"/>
      <c r="Q100" s="2266"/>
      <c r="R100" s="2268"/>
    </row>
    <row r="101" spans="2:18" s="2253" customFormat="1">
      <c r="B101" s="2266"/>
      <c r="C101" s="2266"/>
      <c r="D101" s="2266"/>
      <c r="E101" s="2266"/>
      <c r="F101" s="2266"/>
      <c r="G101" s="2267"/>
      <c r="H101" s="2266"/>
      <c r="I101" s="2267"/>
      <c r="J101" s="2266"/>
      <c r="K101" s="2266"/>
      <c r="L101" s="2267"/>
      <c r="M101" s="2266"/>
      <c r="N101" s="2266"/>
      <c r="O101" s="2267"/>
      <c r="P101" s="2266"/>
      <c r="Q101" s="2266"/>
      <c r="R101" s="2268"/>
    </row>
    <row r="102" spans="2:18" s="2253" customFormat="1">
      <c r="B102" s="2266"/>
      <c r="C102" s="2266"/>
      <c r="D102" s="2266"/>
      <c r="E102" s="2266"/>
      <c r="F102" s="2266"/>
      <c r="G102" s="2267"/>
      <c r="H102" s="2266"/>
      <c r="I102" s="2267"/>
      <c r="J102" s="2266"/>
      <c r="K102" s="2266"/>
      <c r="L102" s="2267"/>
      <c r="M102" s="2266"/>
      <c r="N102" s="2266"/>
      <c r="O102" s="2267"/>
      <c r="P102" s="2266"/>
      <c r="Q102" s="2266"/>
      <c r="R102" s="2268"/>
    </row>
    <row r="103" spans="2:18" s="2253" customFormat="1">
      <c r="B103" s="2266"/>
      <c r="C103" s="2266"/>
      <c r="D103" s="2266"/>
      <c r="E103" s="2266"/>
      <c r="F103" s="2266"/>
      <c r="G103" s="2267"/>
      <c r="H103" s="2266"/>
      <c r="I103" s="2267"/>
      <c r="J103" s="2266"/>
      <c r="K103" s="2266"/>
      <c r="L103" s="2267"/>
      <c r="M103" s="2266"/>
      <c r="N103" s="2266"/>
      <c r="O103" s="2267"/>
      <c r="P103" s="2266"/>
      <c r="Q103" s="2266"/>
      <c r="R103" s="2268"/>
    </row>
    <row r="104" spans="2:18" s="2253" customFormat="1">
      <c r="B104" s="2266"/>
      <c r="C104" s="2266"/>
      <c r="D104" s="2266"/>
      <c r="E104" s="2266"/>
      <c r="F104" s="2266"/>
      <c r="G104" s="2267"/>
      <c r="H104" s="2266"/>
      <c r="I104" s="2267"/>
      <c r="J104" s="2266"/>
      <c r="K104" s="2266"/>
      <c r="L104" s="2267"/>
      <c r="M104" s="2266"/>
      <c r="N104" s="2266"/>
      <c r="O104" s="2267"/>
      <c r="P104" s="2266"/>
      <c r="Q104" s="2266"/>
      <c r="R104" s="2268"/>
    </row>
    <row r="105" spans="2:18" s="2253" customFormat="1">
      <c r="B105" s="2266"/>
      <c r="C105" s="2266"/>
      <c r="D105" s="2266"/>
      <c r="E105" s="2266"/>
      <c r="F105" s="2266"/>
      <c r="G105" s="2267"/>
      <c r="H105" s="2266"/>
      <c r="I105" s="2267"/>
      <c r="J105" s="2266"/>
      <c r="K105" s="2266"/>
      <c r="L105" s="2267"/>
      <c r="M105" s="2266"/>
      <c r="N105" s="2266"/>
      <c r="O105" s="2267"/>
      <c r="P105" s="2266"/>
      <c r="Q105" s="2266"/>
      <c r="R105" s="2268"/>
    </row>
    <row r="106" spans="2:18" s="2253" customFormat="1">
      <c r="B106" s="2266"/>
      <c r="C106" s="2266"/>
      <c r="D106" s="2266"/>
      <c r="E106" s="2266"/>
      <c r="F106" s="2266"/>
      <c r="G106" s="2267"/>
      <c r="H106" s="2266"/>
      <c r="I106" s="2267"/>
      <c r="J106" s="2266"/>
      <c r="K106" s="2266"/>
      <c r="L106" s="2267"/>
      <c r="M106" s="2266"/>
      <c r="N106" s="2266"/>
      <c r="O106" s="2267"/>
      <c r="P106" s="2266"/>
      <c r="Q106" s="2266"/>
      <c r="R106" s="2268"/>
    </row>
    <row r="107" spans="2:18" s="2253" customFormat="1">
      <c r="B107" s="2266"/>
      <c r="C107" s="2266"/>
      <c r="D107" s="2266"/>
      <c r="E107" s="2266"/>
      <c r="F107" s="2266"/>
      <c r="G107" s="2267"/>
      <c r="H107" s="2266"/>
      <c r="I107" s="2267"/>
      <c r="J107" s="2266"/>
      <c r="K107" s="2266"/>
      <c r="L107" s="2267"/>
      <c r="M107" s="2266"/>
      <c r="N107" s="2266"/>
      <c r="O107" s="2267"/>
      <c r="P107" s="2266"/>
      <c r="Q107" s="2266"/>
      <c r="R107" s="2268"/>
    </row>
    <row r="108" spans="2:18" s="2253" customFormat="1">
      <c r="B108" s="2266"/>
      <c r="C108" s="2266"/>
      <c r="D108" s="2266"/>
      <c r="E108" s="2266"/>
      <c r="F108" s="2266"/>
      <c r="G108" s="2267"/>
      <c r="H108" s="2266"/>
      <c r="I108" s="2267"/>
      <c r="J108" s="2266"/>
      <c r="K108" s="2266"/>
      <c r="L108" s="2267"/>
      <c r="M108" s="2266"/>
      <c r="N108" s="2266"/>
      <c r="O108" s="2267"/>
      <c r="P108" s="2266"/>
      <c r="Q108" s="2266"/>
      <c r="R108" s="2268"/>
    </row>
    <row r="109" spans="2:18" s="2253" customFormat="1">
      <c r="B109" s="2266"/>
      <c r="C109" s="2266"/>
      <c r="D109" s="2266"/>
      <c r="E109" s="2266"/>
      <c r="F109" s="2266"/>
      <c r="G109" s="2267"/>
      <c r="H109" s="2266"/>
      <c r="I109" s="2267"/>
      <c r="J109" s="2266"/>
      <c r="K109" s="2266"/>
      <c r="L109" s="2267"/>
      <c r="M109" s="2266"/>
      <c r="N109" s="2266"/>
      <c r="O109" s="2267"/>
      <c r="P109" s="2266"/>
      <c r="Q109" s="2266"/>
      <c r="R109" s="2268"/>
    </row>
    <row r="110" spans="2:18" s="2253" customFormat="1">
      <c r="B110" s="2266"/>
      <c r="C110" s="2266"/>
      <c r="D110" s="2266"/>
      <c r="E110" s="2266"/>
      <c r="F110" s="2266"/>
      <c r="G110" s="2267"/>
      <c r="H110" s="2266"/>
      <c r="I110" s="2267"/>
      <c r="J110" s="2266"/>
      <c r="K110" s="2266"/>
      <c r="L110" s="2267"/>
      <c r="M110" s="2266"/>
      <c r="N110" s="2266"/>
      <c r="O110" s="2267"/>
      <c r="P110" s="2266"/>
      <c r="Q110" s="2266"/>
      <c r="R110" s="2268"/>
    </row>
    <row r="111" spans="2:18" s="2253" customFormat="1">
      <c r="B111" s="2266"/>
      <c r="C111" s="2266"/>
      <c r="D111" s="2266"/>
      <c r="E111" s="2266"/>
      <c r="F111" s="2266"/>
      <c r="G111" s="2267"/>
      <c r="H111" s="2266"/>
      <c r="I111" s="2267"/>
      <c r="J111" s="2266"/>
      <c r="K111" s="2266"/>
      <c r="L111" s="2267"/>
      <c r="M111" s="2266"/>
      <c r="N111" s="2266"/>
      <c r="O111" s="2267"/>
      <c r="P111" s="2266"/>
      <c r="Q111" s="2266"/>
      <c r="R111" s="2268"/>
    </row>
    <row r="112" spans="2:18" s="2253" customFormat="1">
      <c r="B112" s="2266"/>
      <c r="C112" s="2266"/>
      <c r="D112" s="2266"/>
      <c r="E112" s="2266"/>
      <c r="F112" s="2266"/>
      <c r="G112" s="2267"/>
      <c r="H112" s="2266"/>
      <c r="I112" s="2267"/>
      <c r="J112" s="2266"/>
      <c r="K112" s="2266"/>
      <c r="L112" s="2267"/>
      <c r="M112" s="2266"/>
      <c r="N112" s="2266"/>
      <c r="O112" s="2267"/>
      <c r="P112" s="2266"/>
      <c r="Q112" s="2266"/>
      <c r="R112" s="2268"/>
    </row>
    <row r="113" spans="2:18" s="2253" customFormat="1">
      <c r="B113" s="2266"/>
      <c r="C113" s="2266"/>
      <c r="D113" s="2266"/>
      <c r="E113" s="2266"/>
      <c r="F113" s="2266"/>
      <c r="G113" s="2267"/>
      <c r="H113" s="2266"/>
      <c r="I113" s="2267"/>
      <c r="J113" s="2266"/>
      <c r="K113" s="2266"/>
      <c r="L113" s="2267"/>
      <c r="M113" s="2266"/>
      <c r="N113" s="2266"/>
      <c r="O113" s="2267"/>
      <c r="P113" s="2266"/>
      <c r="Q113" s="2266"/>
      <c r="R113" s="2268"/>
    </row>
    <row r="114" spans="2:18" s="2253" customFormat="1">
      <c r="B114" s="2266"/>
      <c r="C114" s="2266"/>
      <c r="D114" s="2266"/>
      <c r="E114" s="2266"/>
      <c r="F114" s="2266"/>
      <c r="G114" s="2267"/>
      <c r="H114" s="2266"/>
      <c r="I114" s="2267"/>
      <c r="J114" s="2266"/>
      <c r="K114" s="2266"/>
      <c r="L114" s="2267"/>
      <c r="M114" s="2266"/>
      <c r="N114" s="2266"/>
      <c r="O114" s="2267"/>
      <c r="P114" s="2266"/>
      <c r="Q114" s="2266"/>
      <c r="R114" s="2268"/>
    </row>
    <row r="115" spans="2:18" s="2253" customFormat="1">
      <c r="B115" s="2266"/>
      <c r="C115" s="2266"/>
      <c r="D115" s="2266"/>
      <c r="E115" s="2266"/>
      <c r="F115" s="2266"/>
      <c r="G115" s="2267"/>
      <c r="H115" s="2266"/>
      <c r="I115" s="2267"/>
      <c r="J115" s="2266"/>
      <c r="K115" s="2266"/>
      <c r="L115" s="2267"/>
      <c r="M115" s="2266"/>
      <c r="N115" s="2266"/>
      <c r="O115" s="2267"/>
      <c r="P115" s="2266"/>
      <c r="Q115" s="2266"/>
      <c r="R115" s="2268"/>
    </row>
    <row r="116" spans="2:18" s="2253" customFormat="1">
      <c r="B116" s="2266"/>
      <c r="C116" s="2266"/>
      <c r="D116" s="2266"/>
      <c r="E116" s="2266"/>
      <c r="F116" s="2266"/>
      <c r="G116" s="2267"/>
      <c r="H116" s="2266"/>
      <c r="I116" s="2267"/>
      <c r="J116" s="2266"/>
      <c r="K116" s="2266"/>
      <c r="L116" s="2267"/>
      <c r="M116" s="2266"/>
      <c r="N116" s="2266"/>
      <c r="O116" s="2267"/>
      <c r="P116" s="2266"/>
      <c r="Q116" s="2266"/>
      <c r="R116" s="2268"/>
    </row>
    <row r="117" spans="2:18" s="2253" customFormat="1">
      <c r="B117" s="2266"/>
      <c r="C117" s="2266"/>
      <c r="D117" s="2266"/>
      <c r="E117" s="2266"/>
      <c r="F117" s="2266"/>
      <c r="G117" s="2267"/>
      <c r="H117" s="2266"/>
      <c r="I117" s="2267"/>
      <c r="J117" s="2266"/>
      <c r="K117" s="2266"/>
      <c r="L117" s="2267"/>
      <c r="M117" s="2266"/>
      <c r="N117" s="2266"/>
      <c r="O117" s="2267"/>
      <c r="P117" s="2266"/>
      <c r="Q117" s="2266"/>
      <c r="R117" s="2268"/>
    </row>
    <row r="118" spans="2:18" s="2253" customFormat="1">
      <c r="B118" s="2266"/>
      <c r="C118" s="2266"/>
      <c r="D118" s="2266"/>
      <c r="E118" s="2266"/>
      <c r="F118" s="2266"/>
      <c r="G118" s="2267"/>
      <c r="H118" s="2266"/>
      <c r="I118" s="2267"/>
      <c r="J118" s="2266"/>
      <c r="K118" s="2266"/>
      <c r="L118" s="2267"/>
      <c r="M118" s="2266"/>
      <c r="N118" s="2266"/>
      <c r="O118" s="2267"/>
      <c r="P118" s="2266"/>
      <c r="Q118" s="2266"/>
      <c r="R118" s="2268"/>
    </row>
    <row r="119" spans="2:18" s="2253" customFormat="1">
      <c r="B119" s="2266"/>
      <c r="C119" s="2266"/>
      <c r="D119" s="2266"/>
      <c r="E119" s="2266"/>
      <c r="F119" s="2266"/>
      <c r="G119" s="2267"/>
      <c r="H119" s="2266"/>
      <c r="I119" s="2267"/>
      <c r="J119" s="2266"/>
      <c r="K119" s="2266"/>
      <c r="L119" s="2267"/>
      <c r="M119" s="2266"/>
      <c r="N119" s="2266"/>
      <c r="O119" s="2267"/>
      <c r="P119" s="2266"/>
      <c r="Q119" s="2266"/>
      <c r="R119" s="2268"/>
    </row>
    <row r="120" spans="2:18" s="2253" customFormat="1">
      <c r="B120" s="2266"/>
      <c r="C120" s="2266"/>
      <c r="D120" s="2266"/>
      <c r="E120" s="2266"/>
      <c r="F120" s="2266"/>
      <c r="G120" s="2267"/>
      <c r="H120" s="2266"/>
      <c r="I120" s="2267"/>
      <c r="J120" s="2266"/>
      <c r="K120" s="2266"/>
      <c r="L120" s="2267"/>
      <c r="M120" s="2266"/>
      <c r="N120" s="2266"/>
      <c r="O120" s="2267"/>
      <c r="P120" s="2266"/>
      <c r="Q120" s="2266"/>
      <c r="R120" s="2268"/>
    </row>
    <row r="121" spans="2:18" s="2253" customFormat="1">
      <c r="B121" s="2266"/>
      <c r="C121" s="2266"/>
      <c r="D121" s="2266"/>
      <c r="E121" s="2266"/>
      <c r="F121" s="2266"/>
      <c r="G121" s="2267"/>
      <c r="H121" s="2266"/>
      <c r="I121" s="2267"/>
      <c r="J121" s="2266"/>
      <c r="K121" s="2266"/>
      <c r="L121" s="2267"/>
      <c r="M121" s="2266"/>
      <c r="N121" s="2266"/>
      <c r="O121" s="2267"/>
      <c r="P121" s="2266"/>
      <c r="Q121" s="2266"/>
      <c r="R121" s="2268"/>
    </row>
    <row r="122" spans="2:18" s="2253" customFormat="1">
      <c r="B122" s="2266"/>
      <c r="C122" s="2266"/>
      <c r="D122" s="2266"/>
      <c r="E122" s="2266"/>
      <c r="F122" s="2266"/>
      <c r="G122" s="2267"/>
      <c r="H122" s="2266"/>
      <c r="I122" s="2267"/>
      <c r="J122" s="2266"/>
      <c r="K122" s="2266"/>
      <c r="L122" s="2267"/>
      <c r="M122" s="2266"/>
      <c r="N122" s="2266"/>
      <c r="O122" s="2267"/>
      <c r="P122" s="2266"/>
      <c r="Q122" s="2266"/>
      <c r="R122" s="2268"/>
    </row>
    <row r="123" spans="2:18" s="2253" customFormat="1">
      <c r="B123" s="2266"/>
      <c r="C123" s="2266"/>
      <c r="D123" s="2266"/>
      <c r="E123" s="2266"/>
      <c r="F123" s="2266"/>
      <c r="G123" s="2267"/>
      <c r="H123" s="2266"/>
      <c r="I123" s="2267"/>
      <c r="J123" s="2266"/>
      <c r="K123" s="2266"/>
      <c r="L123" s="2267"/>
      <c r="M123" s="2266"/>
      <c r="N123" s="2266"/>
      <c r="O123" s="2267"/>
      <c r="P123" s="2266"/>
      <c r="Q123" s="2266"/>
      <c r="R123" s="2268"/>
    </row>
    <row r="124" spans="2:18" s="2253" customFormat="1">
      <c r="B124" s="2266"/>
      <c r="C124" s="2266"/>
      <c r="D124" s="2266"/>
      <c r="E124" s="2266"/>
      <c r="F124" s="2266"/>
      <c r="G124" s="2267"/>
      <c r="H124" s="2266"/>
      <c r="I124" s="2267"/>
      <c r="J124" s="2266"/>
      <c r="K124" s="2266"/>
      <c r="L124" s="2267"/>
      <c r="M124" s="2266"/>
      <c r="N124" s="2266"/>
      <c r="O124" s="2267"/>
      <c r="P124" s="2266"/>
      <c r="Q124" s="2266"/>
      <c r="R124" s="2268"/>
    </row>
    <row r="125" spans="2:18" s="2253" customFormat="1">
      <c r="B125" s="2266"/>
      <c r="C125" s="2266"/>
      <c r="D125" s="2266"/>
      <c r="E125" s="2266"/>
      <c r="F125" s="2266"/>
      <c r="G125" s="2267"/>
      <c r="H125" s="2266"/>
      <c r="I125" s="2267"/>
      <c r="J125" s="2266"/>
      <c r="K125" s="2266"/>
      <c r="L125" s="2267"/>
      <c r="M125" s="2266"/>
      <c r="N125" s="2266"/>
      <c r="O125" s="2267"/>
      <c r="P125" s="2266"/>
      <c r="Q125" s="2266"/>
      <c r="R125" s="2268"/>
    </row>
    <row r="126" spans="2:18" s="2253" customFormat="1">
      <c r="B126" s="2266"/>
      <c r="C126" s="2266"/>
      <c r="D126" s="2266"/>
      <c r="E126" s="2266"/>
      <c r="F126" s="2266"/>
      <c r="G126" s="2267"/>
      <c r="H126" s="2266"/>
      <c r="I126" s="2267"/>
      <c r="J126" s="2266"/>
      <c r="K126" s="2266"/>
      <c r="L126" s="2267"/>
      <c r="M126" s="2266"/>
      <c r="N126" s="2266"/>
      <c r="O126" s="2267"/>
      <c r="P126" s="2266"/>
      <c r="Q126" s="2266"/>
      <c r="R126" s="2268"/>
    </row>
    <row r="127" spans="2:18" s="2253" customFormat="1">
      <c r="B127" s="2266"/>
      <c r="C127" s="2266"/>
      <c r="D127" s="2266"/>
      <c r="E127" s="2266"/>
      <c r="F127" s="2266"/>
      <c r="G127" s="2267"/>
      <c r="H127" s="2266"/>
      <c r="I127" s="2267"/>
      <c r="J127" s="2266"/>
      <c r="K127" s="2266"/>
      <c r="L127" s="2267"/>
      <c r="M127" s="2266"/>
      <c r="N127" s="2266"/>
      <c r="O127" s="2267"/>
      <c r="P127" s="2266"/>
      <c r="Q127" s="2266"/>
      <c r="R127" s="2268"/>
    </row>
    <row r="128" spans="2:18" s="2253" customFormat="1">
      <c r="B128" s="2266"/>
      <c r="C128" s="2266"/>
      <c r="D128" s="2266"/>
      <c r="E128" s="2266"/>
      <c r="F128" s="2266"/>
      <c r="G128" s="2267"/>
      <c r="H128" s="2266"/>
      <c r="I128" s="2267"/>
      <c r="J128" s="2266"/>
      <c r="K128" s="2266"/>
      <c r="L128" s="2267"/>
      <c r="M128" s="2266"/>
      <c r="N128" s="2266"/>
      <c r="O128" s="2267"/>
      <c r="P128" s="2266"/>
      <c r="Q128" s="2266"/>
      <c r="R128" s="2268"/>
    </row>
    <row r="129" spans="2:18" s="2253" customFormat="1">
      <c r="B129" s="2266"/>
      <c r="C129" s="2266"/>
      <c r="D129" s="2266"/>
      <c r="E129" s="2266"/>
      <c r="F129" s="2266"/>
      <c r="G129" s="2267"/>
      <c r="H129" s="2266"/>
      <c r="I129" s="2267"/>
      <c r="J129" s="2266"/>
      <c r="K129" s="2266"/>
      <c r="L129" s="2267"/>
      <c r="M129" s="2266"/>
      <c r="N129" s="2266"/>
      <c r="O129" s="2267"/>
      <c r="P129" s="2266"/>
      <c r="Q129" s="2266"/>
      <c r="R129" s="2268"/>
    </row>
    <row r="130" spans="2:18" s="2253" customFormat="1">
      <c r="B130" s="2266"/>
      <c r="C130" s="2266"/>
      <c r="D130" s="2266"/>
      <c r="E130" s="2266"/>
      <c r="F130" s="2266"/>
      <c r="G130" s="2267"/>
      <c r="H130" s="2266"/>
      <c r="I130" s="2267"/>
      <c r="J130" s="2266"/>
      <c r="K130" s="2266"/>
      <c r="L130" s="2267"/>
      <c r="M130" s="2266"/>
      <c r="N130" s="2266"/>
      <c r="O130" s="2267"/>
      <c r="P130" s="2266"/>
      <c r="Q130" s="2266"/>
      <c r="R130" s="2268"/>
    </row>
    <row r="131" spans="2:18" s="2253" customFormat="1">
      <c r="B131" s="2266"/>
      <c r="C131" s="2266"/>
      <c r="D131" s="2266"/>
      <c r="E131" s="2266"/>
      <c r="F131" s="2266"/>
      <c r="G131" s="2267"/>
      <c r="H131" s="2266"/>
      <c r="I131" s="2267"/>
      <c r="J131" s="2266"/>
      <c r="K131" s="2266"/>
      <c r="L131" s="2267"/>
      <c r="M131" s="2266"/>
      <c r="N131" s="2266"/>
      <c r="O131" s="2267"/>
      <c r="P131" s="2266"/>
      <c r="Q131" s="2266"/>
      <c r="R131" s="2268"/>
    </row>
    <row r="132" spans="2:18" s="2253" customFormat="1">
      <c r="B132" s="2266"/>
      <c r="C132" s="2266"/>
      <c r="D132" s="2266"/>
      <c r="E132" s="2266"/>
      <c r="F132" s="2266"/>
      <c r="G132" s="2267"/>
      <c r="H132" s="2266"/>
      <c r="I132" s="2267"/>
      <c r="J132" s="2266"/>
      <c r="K132" s="2266"/>
      <c r="L132" s="2267"/>
      <c r="M132" s="2266"/>
      <c r="N132" s="2266"/>
      <c r="O132" s="2267"/>
      <c r="P132" s="2266"/>
      <c r="Q132" s="2266"/>
      <c r="R132" s="2268"/>
    </row>
    <row r="133" spans="2:18" s="2253" customFormat="1">
      <c r="B133" s="2266"/>
      <c r="C133" s="2266"/>
      <c r="D133" s="2266"/>
      <c r="E133" s="2266"/>
      <c r="F133" s="2266"/>
      <c r="G133" s="2267"/>
      <c r="H133" s="2266"/>
      <c r="I133" s="2267"/>
      <c r="J133" s="2266"/>
      <c r="K133" s="2266"/>
      <c r="L133" s="2267"/>
      <c r="M133" s="2266"/>
      <c r="N133" s="2266"/>
      <c r="O133" s="2267"/>
      <c r="P133" s="2266"/>
      <c r="Q133" s="2266"/>
      <c r="R133" s="2268"/>
    </row>
    <row r="134" spans="2:18" s="2253" customFormat="1">
      <c r="B134" s="2266"/>
      <c r="C134" s="2266"/>
      <c r="D134" s="2266"/>
      <c r="E134" s="2266"/>
      <c r="F134" s="2266"/>
      <c r="G134" s="2267"/>
      <c r="H134" s="2266"/>
      <c r="I134" s="2267"/>
      <c r="J134" s="2266"/>
      <c r="K134" s="2266"/>
      <c r="L134" s="2267"/>
      <c r="M134" s="2266"/>
      <c r="N134" s="2266"/>
      <c r="O134" s="2267"/>
      <c r="P134" s="2266"/>
      <c r="Q134" s="2266"/>
      <c r="R134" s="2268"/>
    </row>
    <row r="135" spans="2:18" s="2253" customFormat="1">
      <c r="B135" s="2266"/>
      <c r="C135" s="2266"/>
      <c r="D135" s="2266"/>
      <c r="E135" s="2266"/>
      <c r="F135" s="2266"/>
      <c r="G135" s="2267"/>
      <c r="H135" s="2266"/>
      <c r="I135" s="2267"/>
      <c r="J135" s="2266"/>
      <c r="K135" s="2266"/>
      <c r="L135" s="2267"/>
      <c r="M135" s="2266"/>
      <c r="N135" s="2266"/>
      <c r="O135" s="2267"/>
      <c r="P135" s="2266"/>
      <c r="Q135" s="2266"/>
      <c r="R135" s="2268"/>
    </row>
    <row r="136" spans="2:18" s="2253" customFormat="1">
      <c r="B136" s="2266"/>
      <c r="C136" s="2266"/>
      <c r="D136" s="2266"/>
      <c r="E136" s="2266"/>
      <c r="F136" s="2266"/>
      <c r="G136" s="2267"/>
      <c r="H136" s="2266"/>
      <c r="I136" s="2267"/>
      <c r="J136" s="2266"/>
      <c r="K136" s="2266"/>
      <c r="L136" s="2267"/>
      <c r="M136" s="2266"/>
      <c r="N136" s="2266"/>
      <c r="O136" s="2267"/>
      <c r="P136" s="2266"/>
      <c r="Q136" s="2266"/>
      <c r="R136" s="2268"/>
    </row>
    <row r="137" spans="2:18" s="2253" customFormat="1">
      <c r="B137" s="2266"/>
      <c r="C137" s="2266"/>
      <c r="D137" s="2266"/>
      <c r="E137" s="2266"/>
      <c r="F137" s="2266"/>
      <c r="G137" s="2267"/>
      <c r="H137" s="2266"/>
      <c r="I137" s="2267"/>
      <c r="J137" s="2266"/>
      <c r="K137" s="2266"/>
      <c r="L137" s="2267"/>
      <c r="M137" s="2266"/>
      <c r="N137" s="2266"/>
      <c r="O137" s="2267"/>
      <c r="P137" s="2266"/>
      <c r="Q137" s="2266"/>
      <c r="R137" s="2268"/>
    </row>
    <row r="138" spans="2:18" s="2253" customFormat="1">
      <c r="B138" s="2266"/>
      <c r="C138" s="2266"/>
      <c r="D138" s="2266"/>
      <c r="E138" s="2266"/>
      <c r="F138" s="2266"/>
      <c r="G138" s="2267"/>
      <c r="H138" s="2266"/>
      <c r="I138" s="2267"/>
      <c r="J138" s="2266"/>
      <c r="K138" s="2266"/>
      <c r="L138" s="2267"/>
      <c r="M138" s="2266"/>
      <c r="N138" s="2266"/>
      <c r="O138" s="2267"/>
      <c r="P138" s="2266"/>
      <c r="Q138" s="2266"/>
      <c r="R138" s="2268"/>
    </row>
    <row r="139" spans="2:18" s="2253" customFormat="1">
      <c r="B139" s="2266"/>
      <c r="C139" s="2266"/>
      <c r="D139" s="2266"/>
      <c r="E139" s="2266"/>
      <c r="F139" s="2266"/>
      <c r="G139" s="2267"/>
      <c r="H139" s="2266"/>
      <c r="I139" s="2267"/>
      <c r="J139" s="2266"/>
      <c r="K139" s="2266"/>
      <c r="L139" s="2267"/>
      <c r="M139" s="2266"/>
      <c r="N139" s="2266"/>
      <c r="O139" s="2267"/>
      <c r="P139" s="2266"/>
      <c r="Q139" s="2266"/>
      <c r="R139" s="2268"/>
    </row>
    <row r="140" spans="2:18" s="2253" customFormat="1">
      <c r="B140" s="2266"/>
      <c r="C140" s="2266"/>
      <c r="D140" s="2266"/>
      <c r="E140" s="2266"/>
      <c r="F140" s="2266"/>
      <c r="G140" s="2267"/>
      <c r="H140" s="2266"/>
      <c r="I140" s="2267"/>
      <c r="J140" s="2266"/>
      <c r="K140" s="2266"/>
      <c r="L140" s="2267"/>
      <c r="M140" s="2266"/>
      <c r="N140" s="2266"/>
      <c r="O140" s="2267"/>
      <c r="P140" s="2266"/>
      <c r="Q140" s="2266"/>
      <c r="R140" s="2268"/>
    </row>
    <row r="141" spans="2:18" s="2253" customFormat="1">
      <c r="B141" s="2266"/>
      <c r="C141" s="2266"/>
      <c r="D141" s="2266"/>
      <c r="E141" s="2266"/>
      <c r="F141" s="2266"/>
      <c r="G141" s="2267"/>
      <c r="H141" s="2266"/>
      <c r="I141" s="2267"/>
      <c r="J141" s="2266"/>
      <c r="K141" s="2266"/>
      <c r="L141" s="2267"/>
      <c r="M141" s="2266"/>
      <c r="N141" s="2266"/>
      <c r="O141" s="2267"/>
      <c r="P141" s="2266"/>
      <c r="Q141" s="2266"/>
      <c r="R141" s="2268"/>
    </row>
    <row r="142" spans="2:18" s="2253" customFormat="1">
      <c r="B142" s="2266"/>
      <c r="C142" s="2266"/>
      <c r="D142" s="2266"/>
      <c r="E142" s="2266"/>
      <c r="F142" s="2266"/>
      <c r="G142" s="2267"/>
      <c r="H142" s="2266"/>
      <c r="I142" s="2267"/>
      <c r="J142" s="2266"/>
      <c r="K142" s="2266"/>
      <c r="L142" s="2267"/>
      <c r="M142" s="2266"/>
      <c r="N142" s="2266"/>
      <c r="O142" s="2267"/>
      <c r="P142" s="2266"/>
      <c r="Q142" s="2266"/>
      <c r="R142" s="2268"/>
    </row>
    <row r="143" spans="2:18" s="2253" customFormat="1">
      <c r="B143" s="2266"/>
      <c r="C143" s="2266"/>
      <c r="D143" s="2266"/>
      <c r="E143" s="2266"/>
      <c r="F143" s="2266"/>
      <c r="G143" s="2267"/>
      <c r="H143" s="2266"/>
      <c r="I143" s="2267"/>
      <c r="J143" s="2266"/>
      <c r="K143" s="2266"/>
      <c r="L143" s="2267"/>
      <c r="M143" s="2266"/>
      <c r="N143" s="2266"/>
      <c r="O143" s="2267"/>
      <c r="P143" s="2266"/>
      <c r="Q143" s="2266"/>
      <c r="R143" s="2268"/>
    </row>
    <row r="144" spans="2:18" s="2253" customFormat="1">
      <c r="B144" s="2266"/>
      <c r="C144" s="2266"/>
      <c r="D144" s="2266"/>
      <c r="E144" s="2266"/>
      <c r="F144" s="2266"/>
      <c r="G144" s="2267"/>
      <c r="H144" s="2266"/>
      <c r="I144" s="2267"/>
      <c r="J144" s="2266"/>
      <c r="K144" s="2266"/>
      <c r="L144" s="2267"/>
      <c r="M144" s="2266"/>
      <c r="N144" s="2266"/>
      <c r="O144" s="2267"/>
      <c r="P144" s="2266"/>
      <c r="Q144" s="2266"/>
      <c r="R144" s="2268"/>
    </row>
    <row r="145" spans="2:18" s="2253" customFormat="1">
      <c r="B145" s="2266"/>
      <c r="C145" s="2266"/>
      <c r="D145" s="2266"/>
      <c r="E145" s="2266"/>
      <c r="F145" s="2266"/>
      <c r="G145" s="2267"/>
      <c r="H145" s="2266"/>
      <c r="I145" s="2267"/>
      <c r="J145" s="2266"/>
      <c r="K145" s="2266"/>
      <c r="L145" s="2267"/>
      <c r="M145" s="2266"/>
      <c r="N145" s="2266"/>
      <c r="O145" s="2267"/>
      <c r="P145" s="2266"/>
      <c r="Q145" s="2266"/>
      <c r="R145" s="2268"/>
    </row>
    <row r="146" spans="2:18" s="2253" customFormat="1">
      <c r="B146" s="2266"/>
      <c r="C146" s="2266"/>
      <c r="D146" s="2266"/>
      <c r="E146" s="2266"/>
      <c r="F146" s="2266"/>
      <c r="G146" s="2267"/>
      <c r="H146" s="2266"/>
      <c r="I146" s="2267"/>
      <c r="J146" s="2266"/>
      <c r="K146" s="2266"/>
      <c r="L146" s="2267"/>
      <c r="M146" s="2266"/>
      <c r="N146" s="2266"/>
      <c r="O146" s="2267"/>
      <c r="P146" s="2266"/>
      <c r="Q146" s="2266"/>
      <c r="R146" s="2268"/>
    </row>
    <row r="147" spans="2:18" s="2253" customFormat="1">
      <c r="B147" s="2266"/>
      <c r="C147" s="2266"/>
      <c r="D147" s="2266"/>
      <c r="E147" s="2266"/>
      <c r="F147" s="2266"/>
      <c r="G147" s="2267"/>
      <c r="H147" s="2266"/>
      <c r="I147" s="2267"/>
      <c r="J147" s="2266"/>
      <c r="K147" s="2266"/>
      <c r="L147" s="2267"/>
      <c r="M147" s="2266"/>
      <c r="N147" s="2266"/>
      <c r="O147" s="2267"/>
      <c r="P147" s="2266"/>
      <c r="Q147" s="2266"/>
      <c r="R147" s="2268"/>
    </row>
    <row r="148" spans="2:18" s="2253" customFormat="1">
      <c r="B148" s="2266"/>
      <c r="C148" s="2266"/>
      <c r="D148" s="2266"/>
      <c r="E148" s="2266"/>
      <c r="F148" s="2266"/>
      <c r="G148" s="2267"/>
      <c r="H148" s="2266"/>
      <c r="I148" s="2267"/>
      <c r="J148" s="2266"/>
      <c r="K148" s="2266"/>
      <c r="L148" s="2267"/>
      <c r="M148" s="2266"/>
      <c r="N148" s="2266"/>
      <c r="O148" s="2267"/>
      <c r="P148" s="2266"/>
      <c r="Q148" s="2266"/>
      <c r="R148" s="2268"/>
    </row>
    <row r="149" spans="2:18" s="2253" customFormat="1">
      <c r="B149" s="2266"/>
      <c r="C149" s="2266"/>
      <c r="D149" s="2266"/>
      <c r="E149" s="2266"/>
      <c r="F149" s="2266"/>
      <c r="G149" s="2267"/>
      <c r="H149" s="2266"/>
      <c r="I149" s="2267"/>
      <c r="J149" s="2266"/>
      <c r="K149" s="2266"/>
      <c r="L149" s="2267"/>
      <c r="M149" s="2266"/>
      <c r="N149" s="2266"/>
      <c r="O149" s="2267"/>
      <c r="P149" s="2266"/>
      <c r="Q149" s="2266"/>
      <c r="R149" s="2268"/>
    </row>
    <row r="150" spans="2:18" s="2253" customFormat="1">
      <c r="B150" s="2266"/>
      <c r="C150" s="2266"/>
      <c r="D150" s="2266"/>
      <c r="E150" s="2266"/>
      <c r="F150" s="2266"/>
      <c r="G150" s="2267"/>
      <c r="H150" s="2266"/>
      <c r="I150" s="2267"/>
      <c r="J150" s="2266"/>
      <c r="K150" s="2266"/>
      <c r="L150" s="2267"/>
      <c r="M150" s="2266"/>
      <c r="N150" s="2266"/>
      <c r="O150" s="2267"/>
      <c r="P150" s="2266"/>
      <c r="Q150" s="2266"/>
      <c r="R150" s="2268"/>
    </row>
    <row r="151" spans="2:18" s="2253" customFormat="1">
      <c r="B151" s="2266"/>
      <c r="C151" s="2266"/>
      <c r="D151" s="2266"/>
      <c r="E151" s="2266"/>
      <c r="F151" s="2266"/>
      <c r="G151" s="2267"/>
      <c r="H151" s="2266"/>
      <c r="I151" s="2267"/>
      <c r="J151" s="2266"/>
      <c r="K151" s="2266"/>
      <c r="L151" s="2267"/>
      <c r="M151" s="2266"/>
      <c r="N151" s="2266"/>
      <c r="O151" s="2267"/>
      <c r="P151" s="2266"/>
      <c r="Q151" s="2266"/>
      <c r="R151" s="2268"/>
    </row>
    <row r="152" spans="2:18" s="2253" customFormat="1">
      <c r="B152" s="2266"/>
      <c r="C152" s="2266"/>
      <c r="D152" s="2266"/>
      <c r="E152" s="2266"/>
      <c r="F152" s="2266"/>
      <c r="G152" s="2267"/>
      <c r="H152" s="2266"/>
      <c r="I152" s="2267"/>
      <c r="J152" s="2266"/>
      <c r="K152" s="2266"/>
      <c r="L152" s="2267"/>
      <c r="M152" s="2266"/>
      <c r="N152" s="2266"/>
      <c r="O152" s="2267"/>
      <c r="P152" s="2266"/>
      <c r="Q152" s="2266"/>
      <c r="R152" s="2268"/>
    </row>
    <row r="153" spans="2:18" s="2253" customFormat="1">
      <c r="B153" s="2266"/>
      <c r="C153" s="2266"/>
      <c r="D153" s="2266"/>
      <c r="E153" s="2266"/>
      <c r="F153" s="2266"/>
      <c r="G153" s="2267"/>
      <c r="H153" s="2266"/>
      <c r="I153" s="2267"/>
      <c r="J153" s="2266"/>
      <c r="K153" s="2266"/>
      <c r="L153" s="2267"/>
      <c r="M153" s="2266"/>
      <c r="N153" s="2266"/>
      <c r="O153" s="2267"/>
      <c r="P153" s="2266"/>
      <c r="Q153" s="2266"/>
      <c r="R153" s="2268"/>
    </row>
    <row r="154" spans="2:18" s="2253" customFormat="1">
      <c r="B154" s="2266"/>
      <c r="C154" s="2266"/>
      <c r="D154" s="2266"/>
      <c r="E154" s="2266"/>
      <c r="F154" s="2266"/>
      <c r="G154" s="2267"/>
      <c r="H154" s="2266"/>
      <c r="I154" s="2267"/>
      <c r="J154" s="2266"/>
      <c r="K154" s="2266"/>
      <c r="L154" s="2267"/>
      <c r="M154" s="2266"/>
      <c r="N154" s="2266"/>
      <c r="O154" s="2267"/>
      <c r="P154" s="2266"/>
      <c r="Q154" s="2266"/>
      <c r="R154" s="2268"/>
    </row>
    <row r="155" spans="2:18" s="2253" customFormat="1">
      <c r="B155" s="2266"/>
      <c r="C155" s="2266"/>
      <c r="D155" s="2266"/>
      <c r="E155" s="2266"/>
      <c r="F155" s="2266"/>
      <c r="G155" s="2267"/>
      <c r="H155" s="2266"/>
      <c r="I155" s="2267"/>
      <c r="J155" s="2266"/>
      <c r="K155" s="2266"/>
      <c r="L155" s="2267"/>
      <c r="M155" s="2266"/>
      <c r="N155" s="2266"/>
      <c r="O155" s="2267"/>
      <c r="P155" s="2266"/>
      <c r="Q155" s="2266"/>
      <c r="R155" s="2268"/>
    </row>
    <row r="156" spans="2:18" s="2253" customFormat="1">
      <c r="B156" s="2266"/>
      <c r="C156" s="2266"/>
      <c r="D156" s="2266"/>
      <c r="E156" s="2266"/>
      <c r="F156" s="2266"/>
      <c r="G156" s="2267"/>
      <c r="H156" s="2266"/>
      <c r="I156" s="2267"/>
      <c r="J156" s="2266"/>
      <c r="K156" s="2266"/>
      <c r="L156" s="2267"/>
      <c r="M156" s="2266"/>
      <c r="N156" s="2266"/>
      <c r="O156" s="2267"/>
      <c r="P156" s="2266"/>
      <c r="Q156" s="2266"/>
      <c r="R156" s="2268"/>
    </row>
    <row r="157" spans="2:18" s="2253" customFormat="1">
      <c r="B157" s="2266"/>
      <c r="C157" s="2266"/>
      <c r="D157" s="2266"/>
      <c r="E157" s="2266"/>
      <c r="F157" s="2266"/>
      <c r="G157" s="2267"/>
      <c r="H157" s="2266"/>
      <c r="I157" s="2267"/>
      <c r="J157" s="2266"/>
      <c r="K157" s="2266"/>
      <c r="L157" s="2267"/>
      <c r="M157" s="2266"/>
      <c r="N157" s="2266"/>
      <c r="O157" s="2267"/>
      <c r="P157" s="2266"/>
      <c r="Q157" s="2266"/>
      <c r="R157" s="2268"/>
    </row>
    <row r="158" spans="2:18" s="2253" customFormat="1">
      <c r="B158" s="2266"/>
      <c r="C158" s="2266"/>
      <c r="D158" s="2266"/>
      <c r="E158" s="2266"/>
      <c r="F158" s="2266"/>
      <c r="G158" s="2267"/>
      <c r="H158" s="2266"/>
      <c r="I158" s="2267"/>
      <c r="J158" s="2266"/>
      <c r="K158" s="2266"/>
      <c r="L158" s="2267"/>
      <c r="M158" s="2266"/>
      <c r="N158" s="2266"/>
      <c r="O158" s="2267"/>
      <c r="P158" s="2266"/>
      <c r="Q158" s="2266"/>
      <c r="R158" s="2268"/>
    </row>
    <row r="159" spans="2:18" s="2253" customFormat="1">
      <c r="B159" s="2266"/>
      <c r="C159" s="2266"/>
      <c r="D159" s="2266"/>
      <c r="E159" s="2266"/>
      <c r="F159" s="2266"/>
      <c r="G159" s="2267"/>
      <c r="H159" s="2266"/>
      <c r="I159" s="2267"/>
      <c r="J159" s="2266"/>
      <c r="K159" s="2266"/>
      <c r="L159" s="2267"/>
      <c r="M159" s="2266"/>
      <c r="N159" s="2266"/>
      <c r="O159" s="2267"/>
      <c r="P159" s="2266"/>
      <c r="Q159" s="2266"/>
      <c r="R159" s="2268"/>
    </row>
    <row r="160" spans="2:18" s="2253" customFormat="1">
      <c r="B160" s="2266"/>
      <c r="C160" s="2266"/>
      <c r="D160" s="2266"/>
      <c r="E160" s="2266"/>
      <c r="F160" s="2266"/>
      <c r="G160" s="2267"/>
      <c r="H160" s="2266"/>
      <c r="I160" s="2267"/>
      <c r="J160" s="2266"/>
      <c r="K160" s="2266"/>
      <c r="L160" s="2267"/>
      <c r="M160" s="2266"/>
      <c r="N160" s="2266"/>
      <c r="O160" s="2267"/>
      <c r="P160" s="2266"/>
      <c r="Q160" s="2266"/>
      <c r="R160" s="2268"/>
    </row>
    <row r="161" spans="2:18" s="2253" customFormat="1">
      <c r="B161" s="2266"/>
      <c r="C161" s="2266"/>
      <c r="D161" s="2266"/>
      <c r="E161" s="2266"/>
      <c r="F161" s="2266"/>
      <c r="G161" s="2267"/>
      <c r="H161" s="2266"/>
      <c r="I161" s="2267"/>
      <c r="J161" s="2266"/>
      <c r="K161" s="2266"/>
      <c r="L161" s="2267"/>
      <c r="M161" s="2266"/>
      <c r="N161" s="2266"/>
      <c r="O161" s="2267"/>
      <c r="P161" s="2266"/>
      <c r="Q161" s="2266"/>
      <c r="R161" s="2268"/>
    </row>
    <row r="162" spans="2:18" s="2253" customFormat="1">
      <c r="B162" s="2266"/>
      <c r="C162" s="2266"/>
      <c r="D162" s="2266"/>
      <c r="E162" s="2266"/>
      <c r="F162" s="2266"/>
      <c r="G162" s="2267"/>
      <c r="H162" s="2266"/>
      <c r="I162" s="2267"/>
      <c r="J162" s="2266"/>
      <c r="K162" s="2266"/>
      <c r="L162" s="2267"/>
      <c r="M162" s="2266"/>
      <c r="N162" s="2266"/>
      <c r="O162" s="2267"/>
      <c r="P162" s="2266"/>
      <c r="Q162" s="2266"/>
      <c r="R162" s="2268"/>
    </row>
    <row r="163" spans="2:18" s="2253" customFormat="1">
      <c r="B163" s="2266"/>
      <c r="C163" s="2266"/>
      <c r="D163" s="2266"/>
      <c r="E163" s="2266"/>
      <c r="F163" s="2266"/>
      <c r="G163" s="2267"/>
      <c r="H163" s="2266"/>
      <c r="I163" s="2267"/>
      <c r="J163" s="2266"/>
      <c r="K163" s="2266"/>
      <c r="L163" s="2267"/>
      <c r="M163" s="2266"/>
      <c r="N163" s="2266"/>
      <c r="O163" s="2267"/>
      <c r="P163" s="2266"/>
      <c r="Q163" s="2266"/>
      <c r="R163" s="2268"/>
    </row>
    <row r="164" spans="2:18" s="2253" customFormat="1">
      <c r="B164" s="2266"/>
      <c r="C164" s="2266"/>
      <c r="D164" s="2266"/>
      <c r="E164" s="2266"/>
      <c r="F164" s="2266"/>
      <c r="G164" s="2267"/>
      <c r="H164" s="2266"/>
      <c r="I164" s="2267"/>
      <c r="J164" s="2266"/>
      <c r="K164" s="2266"/>
      <c r="L164" s="2267"/>
      <c r="M164" s="2266"/>
      <c r="N164" s="2266"/>
      <c r="O164" s="2267"/>
      <c r="P164" s="2266"/>
      <c r="Q164" s="2266"/>
      <c r="R164" s="2268"/>
    </row>
    <row r="165" spans="2:18" s="2253" customFormat="1">
      <c r="B165" s="2266"/>
      <c r="C165" s="2266"/>
      <c r="D165" s="2266"/>
      <c r="E165" s="2266"/>
      <c r="F165" s="2266"/>
      <c r="G165" s="2267"/>
      <c r="H165" s="2266"/>
      <c r="I165" s="2267"/>
      <c r="J165" s="2266"/>
      <c r="K165" s="2266"/>
      <c r="L165" s="2267"/>
      <c r="M165" s="2266"/>
      <c r="N165" s="2266"/>
      <c r="O165" s="2267"/>
      <c r="P165" s="2266"/>
      <c r="Q165" s="2266"/>
      <c r="R165" s="2268"/>
    </row>
    <row r="166" spans="2:18" s="2253" customFormat="1">
      <c r="B166" s="2266"/>
      <c r="C166" s="2266"/>
      <c r="D166" s="2266"/>
      <c r="E166" s="2266"/>
      <c r="F166" s="2266"/>
      <c r="G166" s="2267"/>
      <c r="H166" s="2266"/>
      <c r="I166" s="2267"/>
      <c r="J166" s="2266"/>
      <c r="K166" s="2266"/>
      <c r="L166" s="2267"/>
      <c r="M166" s="2266"/>
      <c r="N166" s="2266"/>
      <c r="O166" s="2267"/>
      <c r="P166" s="2266"/>
      <c r="Q166" s="2266"/>
      <c r="R166" s="2268"/>
    </row>
    <row r="167" spans="2:18" s="2253" customFormat="1">
      <c r="B167" s="2266"/>
      <c r="C167" s="2266"/>
      <c r="D167" s="2266"/>
      <c r="E167" s="2266"/>
      <c r="F167" s="2266"/>
      <c r="G167" s="2267"/>
      <c r="H167" s="2266"/>
      <c r="I167" s="2267"/>
      <c r="J167" s="2266"/>
      <c r="K167" s="2266"/>
      <c r="L167" s="2267"/>
      <c r="M167" s="2266"/>
      <c r="N167" s="2266"/>
      <c r="O167" s="2267"/>
      <c r="P167" s="2266"/>
      <c r="Q167" s="2266"/>
      <c r="R167" s="2268"/>
    </row>
    <row r="168" spans="2:18" s="2253" customFormat="1">
      <c r="B168" s="2266"/>
      <c r="C168" s="2266"/>
      <c r="D168" s="2266"/>
      <c r="E168" s="2266"/>
      <c r="F168" s="2266"/>
      <c r="G168" s="2267"/>
      <c r="H168" s="2266"/>
      <c r="I168" s="2267"/>
      <c r="J168" s="2266"/>
      <c r="K168" s="2266"/>
      <c r="L168" s="2267"/>
      <c r="M168" s="2266"/>
      <c r="N168" s="2266"/>
      <c r="O168" s="2267"/>
      <c r="P168" s="2266"/>
      <c r="Q168" s="2266"/>
      <c r="R168" s="2268"/>
    </row>
    <row r="169" spans="2:18" s="2253" customFormat="1">
      <c r="B169" s="2266"/>
      <c r="C169" s="2266"/>
      <c r="D169" s="2266"/>
      <c r="E169" s="2266"/>
      <c r="F169" s="2266"/>
      <c r="G169" s="2267"/>
      <c r="H169" s="2266"/>
      <c r="I169" s="2267"/>
      <c r="J169" s="2266"/>
      <c r="K169" s="2266"/>
      <c r="L169" s="2267"/>
      <c r="M169" s="2266"/>
      <c r="N169" s="2266"/>
      <c r="O169" s="2267"/>
      <c r="P169" s="2266"/>
      <c r="Q169" s="2266"/>
      <c r="R169" s="2268"/>
    </row>
    <row r="170" spans="2:18" s="2253" customFormat="1">
      <c r="B170" s="2266"/>
      <c r="C170" s="2266"/>
      <c r="D170" s="2266"/>
      <c r="E170" s="2266"/>
      <c r="F170" s="2266"/>
      <c r="G170" s="2267"/>
      <c r="H170" s="2266"/>
      <c r="I170" s="2267"/>
      <c r="J170" s="2266"/>
      <c r="K170" s="2266"/>
      <c r="L170" s="2267"/>
      <c r="M170" s="2266"/>
      <c r="N170" s="2266"/>
      <c r="O170" s="2267"/>
      <c r="P170" s="2266"/>
      <c r="Q170" s="2266"/>
      <c r="R170" s="2268"/>
    </row>
    <row r="171" spans="2:18" s="2253" customFormat="1">
      <c r="B171" s="2266"/>
      <c r="C171" s="2266"/>
      <c r="D171" s="2266"/>
      <c r="E171" s="2266"/>
      <c r="F171" s="2266"/>
      <c r="G171" s="2267"/>
      <c r="H171" s="2266"/>
      <c r="I171" s="2267"/>
      <c r="J171" s="2266"/>
      <c r="K171" s="2266"/>
      <c r="L171" s="2267"/>
      <c r="M171" s="2266"/>
      <c r="N171" s="2266"/>
      <c r="O171" s="2267"/>
      <c r="P171" s="2266"/>
      <c r="Q171" s="2266"/>
      <c r="R171" s="2268"/>
    </row>
    <row r="172" spans="2:18" s="2253" customFormat="1">
      <c r="B172" s="2266"/>
      <c r="C172" s="2266"/>
      <c r="D172" s="2266"/>
      <c r="E172" s="2266"/>
      <c r="F172" s="2266"/>
      <c r="G172" s="2267"/>
      <c r="H172" s="2266"/>
      <c r="I172" s="2267"/>
      <c r="J172" s="2266"/>
      <c r="K172" s="2266"/>
      <c r="L172" s="2267"/>
      <c r="M172" s="2266"/>
      <c r="N172" s="2266"/>
      <c r="O172" s="2267"/>
      <c r="P172" s="2266"/>
      <c r="Q172" s="2266"/>
      <c r="R172" s="2268"/>
    </row>
    <row r="173" spans="2:18" s="2253" customFormat="1">
      <c r="B173" s="2266"/>
      <c r="C173" s="2266"/>
      <c r="D173" s="2266"/>
      <c r="E173" s="2266"/>
      <c r="F173" s="2266"/>
      <c r="G173" s="2267"/>
      <c r="H173" s="2266"/>
      <c r="I173" s="2267"/>
      <c r="J173" s="2266"/>
      <c r="K173" s="2266"/>
      <c r="L173" s="2267"/>
      <c r="M173" s="2266"/>
      <c r="N173" s="2266"/>
      <c r="O173" s="2267"/>
      <c r="P173" s="2266"/>
      <c r="Q173" s="2266"/>
      <c r="R173" s="2268"/>
    </row>
    <row r="174" spans="2:18" s="2253" customFormat="1">
      <c r="B174" s="2266"/>
      <c r="C174" s="2266"/>
      <c r="D174" s="2266"/>
      <c r="E174" s="2266"/>
      <c r="F174" s="2266"/>
      <c r="G174" s="2267"/>
      <c r="H174" s="2266"/>
      <c r="I174" s="2267"/>
      <c r="J174" s="2266"/>
      <c r="K174" s="2266"/>
      <c r="L174" s="2267"/>
      <c r="M174" s="2266"/>
      <c r="N174" s="2266"/>
      <c r="O174" s="2267"/>
      <c r="P174" s="2266"/>
      <c r="Q174" s="2266"/>
      <c r="R174" s="2268"/>
    </row>
    <row r="175" spans="2:18" s="2253" customFormat="1">
      <c r="B175" s="2266"/>
      <c r="C175" s="2266"/>
      <c r="D175" s="2266"/>
      <c r="E175" s="2266"/>
      <c r="F175" s="2266"/>
      <c r="G175" s="2267"/>
      <c r="H175" s="2266"/>
      <c r="I175" s="2267"/>
      <c r="J175" s="2266"/>
      <c r="K175" s="2266"/>
      <c r="L175" s="2267"/>
      <c r="M175" s="2266"/>
      <c r="N175" s="2266"/>
      <c r="O175" s="2267"/>
      <c r="P175" s="2266"/>
      <c r="Q175" s="2266"/>
      <c r="R175" s="2268"/>
    </row>
    <row r="176" spans="2:18" s="2253" customFormat="1">
      <c r="B176" s="2266"/>
      <c r="C176" s="2266"/>
      <c r="D176" s="2266"/>
      <c r="E176" s="2266"/>
      <c r="F176" s="2266"/>
      <c r="G176" s="2267"/>
      <c r="H176" s="2266"/>
      <c r="I176" s="2267"/>
      <c r="J176" s="2266"/>
      <c r="K176" s="2266"/>
      <c r="L176" s="2267"/>
      <c r="M176" s="2266"/>
      <c r="N176" s="2266"/>
      <c r="O176" s="2267"/>
      <c r="P176" s="2266"/>
      <c r="Q176" s="2266"/>
      <c r="R176" s="2268"/>
    </row>
    <row r="177" spans="1:18" s="2253" customFormat="1">
      <c r="B177" s="2266"/>
      <c r="C177" s="2266"/>
      <c r="D177" s="2266"/>
      <c r="E177" s="2266"/>
      <c r="F177" s="2266"/>
      <c r="G177" s="2267"/>
      <c r="H177" s="2266"/>
      <c r="I177" s="2267"/>
      <c r="J177" s="2266"/>
      <c r="K177" s="2266"/>
      <c r="L177" s="2267"/>
      <c r="M177" s="2266"/>
      <c r="N177" s="2266"/>
      <c r="O177" s="2267"/>
      <c r="P177" s="2266"/>
      <c r="Q177" s="2266"/>
      <c r="R177" s="2268"/>
    </row>
    <row r="178" spans="1:18" s="2253" customFormat="1">
      <c r="B178" s="2266"/>
      <c r="C178" s="2266"/>
      <c r="D178" s="2266"/>
      <c r="E178" s="2266"/>
      <c r="F178" s="2266"/>
      <c r="G178" s="2267"/>
      <c r="H178" s="2266"/>
      <c r="I178" s="2267"/>
      <c r="J178" s="2266"/>
      <c r="K178" s="2266"/>
      <c r="L178" s="2267"/>
      <c r="M178" s="2266"/>
      <c r="N178" s="2266"/>
      <c r="O178" s="2267"/>
      <c r="P178" s="2266"/>
      <c r="Q178" s="2266"/>
      <c r="R178" s="2268"/>
    </row>
    <row r="179" spans="1:18" s="2253" customFormat="1">
      <c r="B179" s="2266"/>
      <c r="C179" s="2266"/>
      <c r="D179" s="2266"/>
      <c r="E179" s="2266"/>
      <c r="F179" s="2266"/>
      <c r="G179" s="2267"/>
      <c r="H179" s="2266"/>
      <c r="I179" s="2267"/>
      <c r="J179" s="2266"/>
      <c r="K179" s="2266"/>
      <c r="L179" s="2267"/>
      <c r="M179" s="2266"/>
      <c r="N179" s="2266"/>
      <c r="O179" s="2267"/>
      <c r="P179" s="2266"/>
      <c r="Q179" s="2266"/>
      <c r="R179" s="2268"/>
    </row>
    <row r="180" spans="1:18" s="2253" customFormat="1">
      <c r="B180" s="2266"/>
      <c r="C180" s="2266"/>
      <c r="D180" s="2266"/>
      <c r="E180" s="2266"/>
      <c r="F180" s="2266"/>
      <c r="G180" s="2267"/>
      <c r="H180" s="2266"/>
      <c r="I180" s="2267"/>
      <c r="J180" s="2266"/>
      <c r="K180" s="2266"/>
      <c r="L180" s="2267"/>
      <c r="M180" s="2266"/>
      <c r="N180" s="2266"/>
      <c r="O180" s="2267"/>
      <c r="P180" s="2266"/>
      <c r="Q180" s="2266"/>
      <c r="R180" s="2268"/>
    </row>
    <row r="181" spans="1:18" s="2253" customFormat="1">
      <c r="B181" s="2266"/>
      <c r="C181" s="2266"/>
      <c r="D181" s="2266"/>
      <c r="E181" s="2266"/>
      <c r="F181" s="2266"/>
      <c r="G181" s="2267"/>
      <c r="H181" s="2266"/>
      <c r="I181" s="2267"/>
      <c r="J181" s="2266"/>
      <c r="K181" s="2266"/>
      <c r="L181" s="2267"/>
      <c r="M181" s="2266"/>
      <c r="N181" s="2266"/>
      <c r="O181" s="2267"/>
      <c r="P181" s="2266"/>
      <c r="Q181" s="2266"/>
      <c r="R181" s="2268"/>
    </row>
    <row r="182" spans="1:18" s="2253" customFormat="1">
      <c r="B182" s="2266"/>
      <c r="C182" s="2266"/>
      <c r="D182" s="2266"/>
      <c r="E182" s="2266"/>
      <c r="F182" s="2266"/>
      <c r="G182" s="2267"/>
      <c r="H182" s="2266"/>
      <c r="I182" s="2267"/>
      <c r="J182" s="2266"/>
      <c r="K182" s="2266"/>
      <c r="L182" s="2267"/>
      <c r="M182" s="2266"/>
      <c r="N182" s="2266"/>
      <c r="O182" s="2267"/>
      <c r="P182" s="2266"/>
      <c r="Q182" s="2266"/>
      <c r="R182" s="2268"/>
    </row>
    <row r="183" spans="1:18" s="2253" customFormat="1">
      <c r="B183" s="2266"/>
      <c r="C183" s="2266"/>
      <c r="D183" s="2266"/>
      <c r="E183" s="2266"/>
      <c r="F183" s="2266"/>
      <c r="G183" s="2267"/>
      <c r="H183" s="2266"/>
      <c r="I183" s="2267"/>
      <c r="J183" s="2266"/>
      <c r="K183" s="2266"/>
      <c r="L183" s="2267"/>
      <c r="M183" s="2266"/>
      <c r="N183" s="2266"/>
      <c r="O183" s="2267"/>
      <c r="P183" s="2266"/>
      <c r="Q183" s="2266"/>
      <c r="R183" s="2268"/>
    </row>
    <row r="184" spans="1:18" s="2253" customFormat="1">
      <c r="B184" s="2266"/>
      <c r="C184" s="2266"/>
      <c r="D184" s="2266"/>
      <c r="E184" s="2266"/>
      <c r="F184" s="2266"/>
      <c r="G184" s="2267"/>
      <c r="H184" s="2266"/>
      <c r="I184" s="2267"/>
      <c r="J184" s="2266"/>
      <c r="K184" s="2266"/>
      <c r="L184" s="2267"/>
      <c r="M184" s="2266"/>
      <c r="N184" s="2266"/>
      <c r="O184" s="2267"/>
      <c r="P184" s="2266"/>
      <c r="Q184" s="2266"/>
      <c r="R184" s="2268"/>
    </row>
    <row r="185" spans="1:18" s="2253"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53"/>
      <c r="B186" s="2266"/>
      <c r="C186" s="2266"/>
      <c r="E186" s="2266"/>
      <c r="F186" s="2266"/>
      <c r="G186" s="2267"/>
    </row>
    <row r="187" spans="1:18">
      <c r="A187" s="2253"/>
      <c r="B187" s="2266"/>
      <c r="C187" s="2266"/>
      <c r="E187" s="2266"/>
      <c r="F187" s="2266"/>
      <c r="G187" s="2267"/>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6" sqref="E36"/>
    </sheetView>
  </sheetViews>
  <sheetFormatPr defaultRowHeight="13.5"/>
  <cols>
    <col min="1" max="1" width="23.375" style="3253" customWidth="1"/>
    <col min="2" max="9" width="15.75" style="3253" customWidth="1"/>
    <col min="10" max="16384" width="9" style="3253"/>
  </cols>
  <sheetData>
    <row r="1" spans="1:10" ht="16.5">
      <c r="A1" s="3258" t="s">
        <v>2984</v>
      </c>
      <c r="B1" s="3258">
        <f>SUM(B14:B23)</f>
        <v>66965.320000000065</v>
      </c>
      <c r="C1" s="3257"/>
      <c r="D1" s="3257"/>
      <c r="E1" s="3257"/>
      <c r="F1" s="3257"/>
      <c r="G1" s="3255"/>
    </row>
    <row r="2" spans="1:10" ht="16.5">
      <c r="A2" s="3258" t="s">
        <v>2972</v>
      </c>
      <c r="B2" s="3258">
        <f>SUM(C14:C23)</f>
        <v>15994.67</v>
      </c>
      <c r="C2" s="3257"/>
      <c r="D2" s="3257"/>
      <c r="E2" s="3257"/>
      <c r="F2" s="3257"/>
      <c r="G2" s="3255"/>
    </row>
    <row r="3" spans="1:10" ht="16.5">
      <c r="A3" s="3258" t="s">
        <v>2981</v>
      </c>
      <c r="B3" s="3259">
        <f>项目基本情况!D3</f>
        <v>42956</v>
      </c>
      <c r="C3" s="3257"/>
      <c r="D3" s="3257"/>
      <c r="E3" s="3257"/>
      <c r="F3" s="3257"/>
      <c r="G3" s="3255"/>
    </row>
    <row r="4" spans="1:10" ht="33">
      <c r="A4" s="3258" t="s">
        <v>2980</v>
      </c>
      <c r="B4" s="3258" t="s">
        <v>2979</v>
      </c>
      <c r="C4" s="3258" t="s">
        <v>2978</v>
      </c>
      <c r="D4" s="3258" t="s">
        <v>2977</v>
      </c>
      <c r="E4" s="3257"/>
      <c r="F4" s="3255"/>
      <c r="G4" s="3255"/>
    </row>
    <row r="5" spans="1:10" ht="16.5">
      <c r="A5" s="3258" t="s">
        <v>2976</v>
      </c>
      <c r="B5" s="3258">
        <f ca="1">SUM(D14:D23)</f>
        <v>22145</v>
      </c>
      <c r="C5" s="3258">
        <f ca="1">ROUND(B5*10000/$B$1,0)</f>
        <v>3307</v>
      </c>
      <c r="D5" s="3258">
        <f ca="1">ROUND(B5*10000/$B$2,0)</f>
        <v>13845</v>
      </c>
      <c r="E5" s="3257"/>
      <c r="F5" s="3255"/>
      <c r="G5" s="3255"/>
    </row>
    <row r="6" spans="1:10" ht="16.5">
      <c r="A6" s="3258" t="s">
        <v>2975</v>
      </c>
      <c r="B6" s="3258">
        <f ca="1">SUM(G14:G23)</f>
        <v>22145</v>
      </c>
      <c r="C6" s="3258">
        <f ca="1">ROUND(B6*10000/$B$1,0)</f>
        <v>3307</v>
      </c>
      <c r="D6" s="3258">
        <f ca="1">ROUND(B6*10000/$B$2,0)</f>
        <v>13845</v>
      </c>
      <c r="E6" s="3257"/>
      <c r="F6" s="3255"/>
      <c r="G6" s="3255"/>
    </row>
    <row r="7" spans="1:10" ht="16.5">
      <c r="A7" s="3258" t="s">
        <v>2983</v>
      </c>
      <c r="B7" s="3258">
        <f>SUM(H14:H23)</f>
        <v>0</v>
      </c>
      <c r="C7" s="3258">
        <f>ROUND(B7*10000/$B$1,0)</f>
        <v>0</v>
      </c>
      <c r="D7" s="3258">
        <f>ROUND(B7*10000/$B$2,0)</f>
        <v>0</v>
      </c>
      <c r="E7" s="3257"/>
      <c r="F7" s="3255"/>
      <c r="G7" s="3255"/>
    </row>
    <row r="8" spans="1:10" ht="16.5">
      <c r="A8" s="3258" t="s">
        <v>2872</v>
      </c>
      <c r="B8" s="3258">
        <f>SUM(I14:I23)</f>
        <v>0</v>
      </c>
      <c r="C8" s="3258">
        <f>ROUND(B8*10000/$B$1,0)</f>
        <v>0</v>
      </c>
      <c r="D8" s="3258">
        <f>ROUND(B8*10000/$B$2,0)</f>
        <v>0</v>
      </c>
      <c r="E8" s="3257"/>
      <c r="F8" s="3255"/>
      <c r="G8" s="3255"/>
    </row>
    <row r="9" spans="1:10" ht="16.5">
      <c r="A9" s="3258" t="s">
        <v>2974</v>
      </c>
      <c r="B9" s="3260"/>
      <c r="C9" s="3257"/>
      <c r="D9" s="3257"/>
      <c r="E9" s="3257"/>
      <c r="F9" s="3255"/>
      <c r="G9" s="3255"/>
    </row>
    <row r="10" spans="1:10" ht="16.5">
      <c r="A10" s="3258" t="s">
        <v>2973</v>
      </c>
      <c r="B10" s="3260"/>
      <c r="C10" s="3257"/>
      <c r="D10" s="3257"/>
      <c r="E10" s="3257"/>
      <c r="F10" s="3255"/>
      <c r="G10" s="3255"/>
    </row>
    <row r="11" spans="1:10" ht="16.5">
      <c r="A11" s="3258" t="s">
        <v>2989</v>
      </c>
      <c r="B11" s="3260"/>
      <c r="C11" s="3257"/>
      <c r="D11" s="3257"/>
      <c r="E11" s="3257"/>
      <c r="F11" s="3255"/>
      <c r="G11" s="3255"/>
    </row>
    <row r="12" spans="1:10" ht="16.5">
      <c r="A12" s="3257"/>
      <c r="B12" s="3257"/>
      <c r="C12" s="3257"/>
      <c r="D12" s="3257"/>
      <c r="E12" s="3257"/>
      <c r="F12" s="3255"/>
      <c r="G12" s="3255"/>
    </row>
    <row r="13" spans="1:10" ht="33">
      <c r="A13" s="3263" t="s">
        <v>2988</v>
      </c>
      <c r="B13" s="3256" t="s">
        <v>2985</v>
      </c>
      <c r="C13" s="3256" t="s">
        <v>2987</v>
      </c>
      <c r="D13" s="3256" t="s">
        <v>2986</v>
      </c>
      <c r="E13" s="3258" t="s">
        <v>2978</v>
      </c>
      <c r="F13" s="3258" t="s">
        <v>2977</v>
      </c>
      <c r="G13" s="3256" t="s">
        <v>2971</v>
      </c>
      <c r="H13" s="3256" t="s">
        <v>2982</v>
      </c>
      <c r="I13" s="3256" t="s">
        <v>2970</v>
      </c>
      <c r="J13" s="3255"/>
    </row>
    <row r="14" spans="1:10" ht="16.5">
      <c r="A14" s="3254" t="s">
        <v>2969</v>
      </c>
      <c r="B14" s="3256">
        <f>'数据-汇总表'!E3</f>
        <v>66965.320000000065</v>
      </c>
      <c r="C14" s="3256">
        <f>'数据-汇总表'!D3</f>
        <v>15994.67</v>
      </c>
      <c r="D14" s="3256">
        <f ca="1">'结果表（商业）'!H118</f>
        <v>22145</v>
      </c>
      <c r="E14" s="3256">
        <f ca="1">ROUND(D14*10000/B14,0)</f>
        <v>3307</v>
      </c>
      <c r="F14" s="3256">
        <f ca="1">ROUND(D14*10000/C14,0)</f>
        <v>13845</v>
      </c>
      <c r="G14" s="3256">
        <f ca="1">'结果表（商业）'!D122</f>
        <v>22145</v>
      </c>
      <c r="H14" s="3256" t="str">
        <f>'结果表（商业）'!D124</f>
        <v>——</v>
      </c>
      <c r="I14" s="3256" t="str">
        <f>'结果表（商业）'!D126</f>
        <v>——</v>
      </c>
      <c r="J14" s="3255"/>
    </row>
    <row r="15" spans="1:10" ht="16.5">
      <c r="A15" s="3254" t="s">
        <v>2968</v>
      </c>
      <c r="B15" s="3261"/>
      <c r="C15" s="3261"/>
      <c r="D15" s="3261"/>
      <c r="E15" s="3256" t="e">
        <f t="shared" ref="E15:E23" si="0">ROUND(D15*10000/B15,0)</f>
        <v>#DIV/0!</v>
      </c>
      <c r="F15" s="3256" t="e">
        <f t="shared" ref="F15:F23" si="1">ROUND(D15*10000/C15,0)</f>
        <v>#DIV/0!</v>
      </c>
      <c r="G15" s="3262"/>
      <c r="H15" s="3262"/>
      <c r="I15" s="3261"/>
      <c r="J15" s="3255"/>
    </row>
    <row r="16" spans="1:10" ht="16.5">
      <c r="A16" s="3254" t="s">
        <v>2967</v>
      </c>
      <c r="B16" s="3261"/>
      <c r="C16" s="3261"/>
      <c r="D16" s="3261"/>
      <c r="E16" s="3256" t="e">
        <f t="shared" si="0"/>
        <v>#DIV/0!</v>
      </c>
      <c r="F16" s="3256" t="e">
        <f t="shared" si="1"/>
        <v>#DIV/0!</v>
      </c>
      <c r="G16" s="3262"/>
      <c r="H16" s="3262"/>
      <c r="I16" s="3261"/>
    </row>
    <row r="17" spans="1:9" ht="16.5">
      <c r="A17" s="3254" t="s">
        <v>2966</v>
      </c>
      <c r="B17" s="3261"/>
      <c r="C17" s="3261"/>
      <c r="D17" s="3261"/>
      <c r="E17" s="3256" t="e">
        <f t="shared" si="0"/>
        <v>#DIV/0!</v>
      </c>
      <c r="F17" s="3256" t="e">
        <f t="shared" si="1"/>
        <v>#DIV/0!</v>
      </c>
      <c r="G17" s="3262"/>
      <c r="H17" s="3262"/>
      <c r="I17" s="3261"/>
    </row>
    <row r="18" spans="1:9" ht="16.5">
      <c r="A18" s="3254" t="s">
        <v>2965</v>
      </c>
      <c r="B18" s="3261"/>
      <c r="C18" s="3261"/>
      <c r="D18" s="3261"/>
      <c r="E18" s="3256" t="e">
        <f t="shared" si="0"/>
        <v>#DIV/0!</v>
      </c>
      <c r="F18" s="3256" t="e">
        <f t="shared" si="1"/>
        <v>#DIV/0!</v>
      </c>
      <c r="G18" s="3261"/>
      <c r="H18" s="3261"/>
      <c r="I18" s="3261"/>
    </row>
    <row r="19" spans="1:9" ht="16.5">
      <c r="A19" s="3254" t="s">
        <v>2964</v>
      </c>
      <c r="B19" s="3261"/>
      <c r="C19" s="3261"/>
      <c r="D19" s="3261"/>
      <c r="E19" s="3256" t="e">
        <f t="shared" si="0"/>
        <v>#DIV/0!</v>
      </c>
      <c r="F19" s="3256" t="e">
        <f t="shared" si="1"/>
        <v>#DIV/0!</v>
      </c>
      <c r="G19" s="3261"/>
      <c r="H19" s="3261"/>
      <c r="I19" s="3261"/>
    </row>
    <row r="20" spans="1:9" ht="16.5">
      <c r="A20" s="3254" t="s">
        <v>2963</v>
      </c>
      <c r="B20" s="3261"/>
      <c r="C20" s="3261"/>
      <c r="D20" s="3261"/>
      <c r="E20" s="3256" t="e">
        <f t="shared" si="0"/>
        <v>#DIV/0!</v>
      </c>
      <c r="F20" s="3256" t="e">
        <f t="shared" si="1"/>
        <v>#DIV/0!</v>
      </c>
      <c r="G20" s="3261"/>
      <c r="H20" s="3261"/>
      <c r="I20" s="3261"/>
    </row>
    <row r="21" spans="1:9" ht="16.5">
      <c r="A21" s="3254" t="s">
        <v>2962</v>
      </c>
      <c r="B21" s="3261"/>
      <c r="C21" s="3261"/>
      <c r="D21" s="3261"/>
      <c r="E21" s="3256" t="e">
        <f t="shared" si="0"/>
        <v>#DIV/0!</v>
      </c>
      <c r="F21" s="3256" t="e">
        <f t="shared" si="1"/>
        <v>#DIV/0!</v>
      </c>
      <c r="G21" s="3261"/>
      <c r="H21" s="3261"/>
      <c r="I21" s="3261"/>
    </row>
    <row r="22" spans="1:9" ht="16.5">
      <c r="A22" s="3254" t="s">
        <v>2961</v>
      </c>
      <c r="B22" s="3261"/>
      <c r="C22" s="3261"/>
      <c r="D22" s="3261"/>
      <c r="E22" s="3256" t="e">
        <f t="shared" si="0"/>
        <v>#DIV/0!</v>
      </c>
      <c r="F22" s="3256" t="e">
        <f t="shared" si="1"/>
        <v>#DIV/0!</v>
      </c>
      <c r="G22" s="3261"/>
      <c r="H22" s="3261"/>
      <c r="I22" s="3261"/>
    </row>
    <row r="23" spans="1:9" ht="16.5">
      <c r="A23" s="3254" t="s">
        <v>2960</v>
      </c>
      <c r="B23" s="3261"/>
      <c r="C23" s="3261"/>
      <c r="D23" s="3261"/>
      <c r="E23" s="3258" t="e">
        <f t="shared" si="0"/>
        <v>#DIV/0!</v>
      </c>
      <c r="F23" s="3258" t="e">
        <f t="shared" si="1"/>
        <v>#DIV/0!</v>
      </c>
      <c r="G23" s="3261"/>
      <c r="H23" s="3261"/>
      <c r="I23" s="3261"/>
    </row>
  </sheetData>
  <sheetProtection password="C66D" sheet="1" objects="1" scenarios="1"/>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1" zoomScaleNormal="100" zoomScaleSheetLayoutView="100" zoomScalePageLayoutView="80" workbookViewId="0">
      <selection activeCell="G20" sqref="G20"/>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757</v>
      </c>
      <c r="B1" s="1243"/>
      <c r="C1" s="2095" t="s">
        <v>3448</v>
      </c>
      <c r="D1" s="1243"/>
      <c r="E1" s="1243"/>
      <c r="F1" s="2079" t="s">
        <v>2105</v>
      </c>
      <c r="G1" s="2052" t="s">
        <v>3554</v>
      </c>
      <c r="H1" s="2108" t="str">
        <f>IF(G1="现房","——","估价对象范围")</f>
        <v>——</v>
      </c>
      <c r="I1" s="2085"/>
    </row>
    <row r="2" spans="1:12" ht="21.75" customHeight="1" thickBot="1">
      <c r="A2" s="3538" t="str">
        <f>项目基本情况!S2</f>
        <v>北京市丰台区汽车博物馆西路8号院1、2、3号楼房地产</v>
      </c>
      <c r="B2" s="3539"/>
      <c r="C2" s="3539"/>
      <c r="D2" s="3539"/>
      <c r="E2" s="3539"/>
      <c r="F2" s="3539"/>
      <c r="G2" s="3539"/>
      <c r="H2" s="3539"/>
      <c r="I2" s="3540"/>
    </row>
    <row r="3" spans="1:12" ht="12">
      <c r="A3" s="3542" t="s">
        <v>10</v>
      </c>
      <c r="B3" s="3543"/>
      <c r="C3" s="3543"/>
      <c r="D3" s="3543"/>
      <c r="E3" s="3543"/>
      <c r="F3" s="3543"/>
      <c r="G3" s="3543"/>
      <c r="H3" s="3543"/>
      <c r="I3" s="3543"/>
    </row>
    <row r="4" spans="1:12" ht="13.5">
      <c r="A4" s="429" t="s">
        <v>11</v>
      </c>
      <c r="B4" s="430" t="s">
        <v>12</v>
      </c>
      <c r="C4" s="431" t="s">
        <v>3555</v>
      </c>
      <c r="D4" s="431" t="s">
        <v>3550</v>
      </c>
      <c r="E4" s="3547" t="s">
        <v>758</v>
      </c>
      <c r="F4" s="3548"/>
      <c r="G4" s="3548"/>
      <c r="H4" s="3548"/>
      <c r="I4" s="3549"/>
      <c r="K4" s="2181" t="str">
        <f>IF(ISNUMBER(FIND("比较法",'结果表（商业）'!C4)),"比较法",IF(ISNUMBER(FIND("成本法",'结果表（商业）'!C4)),"成本法",IF(ISNUMBER(FIND("假设开发法",'结果表（商业）'!C4)),"假设开发法",IF(ISNUMBER(FIND("收益法",'结果表（商业）'!C4)),"收益法","基准地价系数修正法"))))</f>
        <v>比较法</v>
      </c>
      <c r="L4" s="2181"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13" t="s">
        <v>13</v>
      </c>
      <c r="B5" s="3541">
        <v>25</v>
      </c>
      <c r="C5" s="3544"/>
      <c r="D5" s="3531"/>
      <c r="E5" s="471" t="s">
        <v>802</v>
      </c>
      <c r="F5" s="432"/>
      <c r="G5" s="432"/>
      <c r="H5" s="432"/>
      <c r="I5" s="433"/>
    </row>
    <row r="6" spans="1:12" ht="12.75">
      <c r="A6" s="3513"/>
      <c r="B6" s="3541"/>
      <c r="C6" s="3546"/>
      <c r="D6" s="3531"/>
      <c r="E6" s="471" t="s">
        <v>803</v>
      </c>
      <c r="F6" s="432"/>
      <c r="G6" s="432"/>
      <c r="H6" s="432"/>
      <c r="I6" s="433"/>
    </row>
    <row r="7" spans="1:12" ht="12.75">
      <c r="A7" s="3513"/>
      <c r="B7" s="3541"/>
      <c r="C7" s="3545"/>
      <c r="D7" s="3531"/>
      <c r="E7" s="471" t="s">
        <v>804</v>
      </c>
      <c r="F7" s="432"/>
      <c r="G7" s="432"/>
      <c r="H7" s="432"/>
      <c r="I7" s="433"/>
    </row>
    <row r="8" spans="1:12" ht="12.75">
      <c r="A8" s="3513" t="s">
        <v>14</v>
      </c>
      <c r="B8" s="3541">
        <v>15</v>
      </c>
      <c r="C8" s="3544"/>
      <c r="D8" s="3531"/>
      <c r="E8" s="471" t="s">
        <v>805</v>
      </c>
      <c r="F8" s="432"/>
      <c r="G8" s="432"/>
      <c r="H8" s="432"/>
      <c r="I8" s="433"/>
    </row>
    <row r="9" spans="1:12" ht="12.75">
      <c r="A9" s="3513"/>
      <c r="B9" s="3541"/>
      <c r="C9" s="3545"/>
      <c r="D9" s="3531"/>
      <c r="E9" s="471" t="s">
        <v>806</v>
      </c>
      <c r="F9" s="432"/>
      <c r="G9" s="432"/>
      <c r="H9" s="432"/>
      <c r="I9" s="433"/>
    </row>
    <row r="10" spans="1:12" ht="12.75">
      <c r="A10" s="3513" t="s">
        <v>15</v>
      </c>
      <c r="B10" s="3541">
        <v>15</v>
      </c>
      <c r="C10" s="3544"/>
      <c r="D10" s="3531"/>
      <c r="E10" s="471" t="s">
        <v>807</v>
      </c>
      <c r="F10" s="432"/>
      <c r="G10" s="432"/>
      <c r="H10" s="432"/>
      <c r="I10" s="433"/>
    </row>
    <row r="11" spans="1:12" ht="12.75">
      <c r="A11" s="3513"/>
      <c r="B11" s="3541"/>
      <c r="C11" s="3545"/>
      <c r="D11" s="3531"/>
      <c r="E11" s="471" t="s">
        <v>808</v>
      </c>
      <c r="F11" s="432"/>
      <c r="G11" s="432"/>
      <c r="H11" s="432"/>
      <c r="I11" s="433"/>
    </row>
    <row r="12" spans="1:12" ht="12.75">
      <c r="A12" s="3513" t="s">
        <v>16</v>
      </c>
      <c r="B12" s="3541">
        <v>15</v>
      </c>
      <c r="C12" s="3544"/>
      <c r="D12" s="3531"/>
      <c r="E12" s="471" t="s">
        <v>809</v>
      </c>
      <c r="F12" s="432"/>
      <c r="G12" s="432"/>
      <c r="H12" s="432"/>
      <c r="I12" s="433"/>
    </row>
    <row r="13" spans="1:12" ht="12.75">
      <c r="A13" s="3513"/>
      <c r="B13" s="3541"/>
      <c r="C13" s="3545"/>
      <c r="D13" s="3531"/>
      <c r="E13" s="471" t="s">
        <v>810</v>
      </c>
      <c r="F13" s="432"/>
      <c r="G13" s="432"/>
      <c r="H13" s="432"/>
      <c r="I13" s="433"/>
    </row>
    <row r="14" spans="1:12" ht="12.75">
      <c r="A14" s="3513" t="s">
        <v>17</v>
      </c>
      <c r="B14" s="3541">
        <v>30</v>
      </c>
      <c r="C14" s="3544">
        <v>5</v>
      </c>
      <c r="D14" s="3531">
        <v>5</v>
      </c>
      <c r="E14" s="471" t="s">
        <v>811</v>
      </c>
      <c r="F14" s="432"/>
      <c r="G14" s="432"/>
      <c r="H14" s="432"/>
      <c r="I14" s="433"/>
    </row>
    <row r="15" spans="1:12" ht="12.75">
      <c r="A15" s="3513"/>
      <c r="B15" s="3541"/>
      <c r="C15" s="3546"/>
      <c r="D15" s="3531"/>
      <c r="E15" s="471" t="s">
        <v>812</v>
      </c>
      <c r="F15" s="432"/>
      <c r="G15" s="432"/>
      <c r="H15" s="432"/>
      <c r="I15" s="433"/>
    </row>
    <row r="16" spans="1:12" ht="12.75">
      <c r="A16" s="3513"/>
      <c r="B16" s="3541"/>
      <c r="C16" s="3545"/>
      <c r="D16" s="3531"/>
      <c r="E16" s="471" t="s">
        <v>813</v>
      </c>
      <c r="F16" s="432"/>
      <c r="G16" s="432"/>
      <c r="H16" s="432"/>
      <c r="I16" s="433"/>
    </row>
    <row r="17" spans="1:35" ht="14.25">
      <c r="A17" s="434" t="s">
        <v>18</v>
      </c>
      <c r="B17" s="38"/>
      <c r="C17" s="472">
        <f>SUM(C5:C16)</f>
        <v>5</v>
      </c>
      <c r="D17" s="472">
        <f>SUM(D5:D16)</f>
        <v>5</v>
      </c>
      <c r="E17" s="2274"/>
      <c r="F17" s="2274"/>
      <c r="G17" s="2274"/>
      <c r="H17" s="2274"/>
      <c r="I17" s="2274"/>
      <c r="K17" s="2181"/>
      <c r="L17" s="2182" t="s">
        <v>2313</v>
      </c>
      <c r="M17" s="2182" t="s">
        <v>2314</v>
      </c>
    </row>
    <row r="18" spans="1:35" ht="15" thickBot="1">
      <c r="A18" s="435" t="s">
        <v>19</v>
      </c>
      <c r="B18" s="18"/>
      <c r="C18" s="473">
        <f>ROUND(C17/SUM(C17:D17),2)</f>
        <v>0.5</v>
      </c>
      <c r="D18" s="473">
        <f>1-C18</f>
        <v>0.5</v>
      </c>
      <c r="E18" s="2274"/>
      <c r="F18" s="2274"/>
      <c r="G18" s="2274"/>
      <c r="H18" s="2274"/>
      <c r="I18" s="2274"/>
      <c r="K18" s="2181" t="s">
        <v>2127</v>
      </c>
      <c r="L18" s="2181">
        <f>IF(C1="",'数据-汇总表'!E3,SUMIF(项目类型,C1,'数据-汇总表'!E17:E26)+SUMIF(项目类型,C1,'数据-汇总表'!I17:I26))</f>
        <v>4387.92</v>
      </c>
      <c r="M18" s="2181">
        <f>IF(C1="",'数据-汇总表'!E3,SUMIF(项目类型,C1,'数据-汇总表'!E17:E26))</f>
        <v>4387.92</v>
      </c>
    </row>
    <row r="19" spans="1:35" ht="14.25">
      <c r="A19" s="436" t="s">
        <v>176</v>
      </c>
      <c r="B19" s="437" t="s">
        <v>20</v>
      </c>
      <c r="C19" s="474">
        <f ca="1">SUMIF(INDIRECT("'"&amp;C4&amp;"'"&amp;"!A:A"),'结果表（商业）'!B19,INDIRECT("'"&amp;C4&amp;"'"&amp;"!B:B"))</f>
        <v>22313</v>
      </c>
      <c r="D19" s="475">
        <f ca="1">SUMIF(INDIRECT("'"&amp;D4&amp;"'"&amp;"!A:A"),'结果表（商业）'!B19,INDIRECT("'"&amp;D4&amp;"'"&amp;"!B:B"))</f>
        <v>21976</v>
      </c>
      <c r="E19" s="436" t="s">
        <v>175</v>
      </c>
      <c r="F19" s="437" t="s">
        <v>20</v>
      </c>
      <c r="G19" s="476">
        <f ca="1">ROUND(C19*$C$18+D19*$D$18,0)</f>
        <v>22145</v>
      </c>
      <c r="H19" s="438" t="s">
        <v>224</v>
      </c>
      <c r="I19" s="2274"/>
      <c r="K19" s="2181" t="s">
        <v>2128</v>
      </c>
      <c r="L19" s="2181">
        <f>IF(C1="",'数据-汇总表'!D3,SUMIF(项目类型,C1,'数据-汇总表'!D17:D26)+SUMIF(项目类型,C1,'数据-汇总表'!H17:H27))</f>
        <v>1048.05</v>
      </c>
      <c r="M19" s="2181">
        <f>IF(C1="",'数据-汇总表'!D3,SUMIF(项目类型,C1,'数据-汇总表'!D17:D26))</f>
        <v>1048.05</v>
      </c>
    </row>
    <row r="20" spans="1:35" ht="14.25">
      <c r="A20" s="439"/>
      <c r="B20" s="440" t="s">
        <v>21</v>
      </c>
      <c r="C20" s="477">
        <f ca="1">SUMIF(INDIRECT("'"&amp;C4&amp;"'"&amp;"!A:A"),'结果表（商业）'!B20,INDIRECT("'"&amp;C4&amp;"'"&amp;"!B:B"))</f>
        <v>50851</v>
      </c>
      <c r="D20" s="478">
        <f ca="1">SUMIF(INDIRECT("'"&amp;D4&amp;"'"&amp;"!A:A"),'结果表（商业）'!B20,INDIRECT("'"&amp;D4&amp;"'"&amp;"!B:B"))</f>
        <v>50083</v>
      </c>
      <c r="E20" s="439"/>
      <c r="F20" s="440" t="s">
        <v>21</v>
      </c>
      <c r="G20" s="479">
        <f ca="1">ROUND(C20*$C$18+D20*$D$18,0)</f>
        <v>50467</v>
      </c>
      <c r="H20" s="441" t="s">
        <v>223</v>
      </c>
      <c r="I20" s="2274"/>
    </row>
    <row r="21" spans="1:35" ht="15" customHeight="1" thickBot="1">
      <c r="A21" s="443"/>
      <c r="B21" s="444" t="s">
        <v>22</v>
      </c>
      <c r="C21" s="1422">
        <f ca="1">ROUND(C19*10000/L19,0)</f>
        <v>212900</v>
      </c>
      <c r="D21" s="1423">
        <f ca="1">ROUND(D19*10000/L19,0)</f>
        <v>209685</v>
      </c>
      <c r="E21" s="443"/>
      <c r="F21" s="444" t="s">
        <v>22</v>
      </c>
      <c r="G21" s="480">
        <f ca="1">ROUND(G19*10000/L19,0)</f>
        <v>211297</v>
      </c>
      <c r="H21" s="445" t="s">
        <v>223</v>
      </c>
      <c r="I21" s="2274"/>
    </row>
    <row r="22" spans="1:35" ht="15" thickBot="1">
      <c r="A22" s="275" t="s">
        <v>177</v>
      </c>
      <c r="B22" s="1424"/>
      <c r="C22" s="1425"/>
      <c r="D22" s="1426">
        <f ca="1">IF(C19&lt;D19,D19/C19-1,C19/D19-1)</f>
        <v>1.5334910811794611E-2</v>
      </c>
      <c r="E22" s="2274"/>
      <c r="F22" s="2274"/>
      <c r="G22" s="2274"/>
      <c r="H22" s="2274"/>
      <c r="I22" s="2274"/>
    </row>
    <row r="23" spans="1:35" ht="12.75" thickBot="1">
      <c r="A23" s="1243"/>
      <c r="B23" s="1243"/>
      <c r="C23" s="1243"/>
      <c r="D23" s="1243"/>
      <c r="E23" s="2274"/>
      <c r="F23" s="2274"/>
      <c r="G23" s="2274"/>
      <c r="H23" s="2274"/>
      <c r="I23" s="2274"/>
    </row>
    <row r="24" spans="1:35" ht="14.25">
      <c r="A24" s="3556" t="s">
        <v>173</v>
      </c>
      <c r="B24" s="437" t="s">
        <v>20</v>
      </c>
      <c r="C24" s="476">
        <f>IF(B30=0,0,D30)</f>
        <v>0</v>
      </c>
      <c r="D24" s="446"/>
      <c r="E24" s="2274"/>
      <c r="F24" s="2274"/>
      <c r="G24" s="2274"/>
      <c r="H24" s="2274"/>
      <c r="I24" s="2274"/>
    </row>
    <row r="25" spans="1:35" ht="14.25">
      <c r="A25" s="3557"/>
      <c r="B25" s="440" t="s">
        <v>21</v>
      </c>
      <c r="C25" s="481">
        <f>IF(B30=0,0,C30)</f>
        <v>0</v>
      </c>
      <c r="D25" s="447"/>
      <c r="E25" s="2274"/>
      <c r="F25" s="2274"/>
      <c r="G25" s="2274"/>
      <c r="H25" s="2274"/>
      <c r="I25" s="2274"/>
    </row>
    <row r="26" spans="1:35" ht="13.5" customHeight="1">
      <c r="A26" s="448" t="s">
        <v>174</v>
      </c>
      <c r="B26" s="449" t="s">
        <v>116</v>
      </c>
      <c r="C26" s="449" t="s">
        <v>117</v>
      </c>
      <c r="D26" s="450" t="s">
        <v>118</v>
      </c>
      <c r="E26" s="2274"/>
      <c r="F26" s="2274"/>
      <c r="G26" s="2274"/>
      <c r="H26" s="2274"/>
      <c r="I26" s="2274"/>
    </row>
    <row r="27" spans="1:35" ht="14.25">
      <c r="A27" s="448"/>
      <c r="B27" s="482">
        <v>0</v>
      </c>
      <c r="C27" s="482">
        <v>0</v>
      </c>
      <c r="D27" s="483">
        <f>ROUND(C27*B27/10000,0)</f>
        <v>0</v>
      </c>
      <c r="E27" s="2274"/>
      <c r="F27" s="2274"/>
      <c r="G27" s="2274"/>
      <c r="H27" s="2274"/>
      <c r="I27" s="2274"/>
    </row>
    <row r="28" spans="1:35" ht="14.25">
      <c r="A28" s="448"/>
      <c r="B28" s="482"/>
      <c r="C28" s="482"/>
      <c r="D28" s="483"/>
      <c r="E28" s="2274"/>
      <c r="F28" s="2274"/>
      <c r="G28" s="2274"/>
      <c r="H28" s="2274"/>
      <c r="I28" s="2274"/>
    </row>
    <row r="29" spans="1:35" ht="14.25">
      <c r="A29" s="448"/>
      <c r="B29" s="482"/>
      <c r="C29" s="482"/>
      <c r="D29" s="483"/>
      <c r="E29" s="2274"/>
      <c r="F29" s="2274"/>
      <c r="G29" s="2274"/>
      <c r="H29" s="2274"/>
      <c r="I29" s="2274"/>
    </row>
    <row r="30" spans="1:35" ht="14.25">
      <c r="A30" s="451" t="s">
        <v>172</v>
      </c>
      <c r="B30" s="484">
        <f>SUM(B27:B29)</f>
        <v>0</v>
      </c>
      <c r="C30" s="484" t="e">
        <f>ROUND(D30*10000/B30,0)</f>
        <v>#DIV/0!</v>
      </c>
      <c r="D30" s="484">
        <f>SUM(D27:D29)</f>
        <v>0</v>
      </c>
      <c r="E30" s="2274"/>
      <c r="F30" s="2274"/>
      <c r="G30" s="2274"/>
      <c r="H30" s="2274"/>
      <c r="I30" s="2274"/>
    </row>
    <row r="31" spans="1:35" s="1245" customFormat="1" ht="14.25" thickBot="1">
      <c r="A31" s="452"/>
      <c r="B31" s="452"/>
      <c r="C31" s="452"/>
      <c r="D31" s="452"/>
      <c r="E31" s="2274"/>
      <c r="F31" s="2274"/>
      <c r="G31" s="2274"/>
      <c r="H31" s="2274"/>
      <c r="I31" s="2274"/>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171</v>
      </c>
      <c r="B32" s="454"/>
      <c r="C32" s="485">
        <f ca="1">IF(D32="总价",G19-C24,G20-C25)</f>
        <v>22145</v>
      </c>
      <c r="D32" s="2089" t="s">
        <v>206</v>
      </c>
      <c r="E32" s="2274"/>
      <c r="F32" s="2274"/>
      <c r="G32" s="2274"/>
      <c r="H32" s="2274"/>
      <c r="I32" s="2274"/>
    </row>
    <row r="33" spans="1:15" ht="13.5">
      <c r="A33" s="457" t="s">
        <v>759</v>
      </c>
      <c r="B33" s="2088"/>
      <c r="C33" s="2874" t="s">
        <v>3559</v>
      </c>
      <c r="D33" s="2877" t="s">
        <v>3550</v>
      </c>
      <c r="E33" s="2086" t="s">
        <v>2107</v>
      </c>
      <c r="F33" s="2087" t="str">
        <f>IF(D32="楼面单价","取值（单价）","取值（总价）")</f>
        <v>取值（总价）</v>
      </c>
      <c r="G33" s="2274"/>
      <c r="H33" s="2274"/>
      <c r="I33" s="2274"/>
    </row>
    <row r="34" spans="1:15" ht="15">
      <c r="A34" s="458"/>
      <c r="B34" s="459" t="s">
        <v>762</v>
      </c>
      <c r="C34" s="489">
        <f ca="1">IF(C33="自定义",F34,C32-C35)</f>
        <v>18358</v>
      </c>
      <c r="D34" s="2090">
        <f ca="1">IF(C33="自定义",ROUND(C34/C32,3),IF(C33="收益比率",SUMIF(INDIRECT("'"&amp;D33&amp;"'"&amp;"!b:b"),"土地收益比率",INDIRECT("'"&amp;D33&amp;"'"&amp;"!c:c")),SUMIF(INDIRECT("'"&amp;D33&amp;"'"&amp;"!b:b"),"土地成本比率",INDIRECT("'"&amp;D33&amp;"'"&amp;"!c:c"))))</f>
        <v>0.82899999999999996</v>
      </c>
      <c r="E34" s="2875" t="s">
        <v>2108</v>
      </c>
      <c r="F34" s="3251"/>
      <c r="G34" s="2274"/>
      <c r="H34" s="2274"/>
      <c r="I34" s="2274"/>
    </row>
    <row r="35" spans="1:15" ht="15.75" thickBot="1">
      <c r="A35" s="461"/>
      <c r="B35" s="2878" t="s">
        <v>764</v>
      </c>
      <c r="C35" s="2879">
        <f ca="1">IF(C33="自定义",F35,ROUND(C32*D35,0))</f>
        <v>3787</v>
      </c>
      <c r="D35" s="2880">
        <f ca="1">IF(C33="自定义",ROUND(C35/C32,3),IF(C33="收益比率",SUMIF(INDIRECT("'"&amp;D33&amp;"'"&amp;"!b:b"),"建筑物收益比率",INDIRECT("'"&amp;D33&amp;"'"&amp;"!c:c")),SUMIF(INDIRECT("'"&amp;D33&amp;"'"&amp;"!b:b"),"建筑物成本比率",INDIRECT("'"&amp;D33&amp;"'"&amp;"!c:c"))))</f>
        <v>0.17100000000000001</v>
      </c>
      <c r="E35" s="2876" t="s">
        <v>2109</v>
      </c>
      <c r="F35" s="495"/>
      <c r="G35" s="2274"/>
      <c r="H35" s="2274"/>
      <c r="I35" s="2274"/>
    </row>
    <row r="36" spans="1:15" ht="15.75" thickBot="1">
      <c r="A36" s="3532" t="s">
        <v>760</v>
      </c>
      <c r="B36" s="455" t="s">
        <v>761</v>
      </c>
      <c r="C36" s="486"/>
      <c r="D36" s="456"/>
      <c r="E36" s="1246"/>
      <c r="F36" s="2275"/>
      <c r="G36" s="2274"/>
      <c r="H36" s="2274"/>
      <c r="I36" s="2274"/>
    </row>
    <row r="37" spans="1:15" ht="15.75" thickBot="1">
      <c r="A37" s="3533"/>
      <c r="B37" s="13" t="s">
        <v>763</v>
      </c>
      <c r="C37" s="488"/>
      <c r="D37" s="2223"/>
      <c r="E37" s="2223"/>
      <c r="F37" s="2275"/>
      <c r="G37" s="2274"/>
      <c r="H37" s="2274"/>
      <c r="I37" s="2274"/>
    </row>
    <row r="38" spans="1:15" ht="15.75" thickBot="1">
      <c r="A38" s="3534"/>
      <c r="B38" s="460" t="s">
        <v>765</v>
      </c>
      <c r="C38" s="1137"/>
      <c r="D38" s="1247" t="s">
        <v>766</v>
      </c>
      <c r="E38" s="2223"/>
      <c r="F38" s="2275"/>
      <c r="G38" s="2274"/>
      <c r="H38" s="2274"/>
      <c r="I38" s="2274"/>
    </row>
    <row r="39" spans="1:15" ht="13.5">
      <c r="A39" s="439" t="s">
        <v>767</v>
      </c>
      <c r="B39" s="462" t="s">
        <v>768</v>
      </c>
      <c r="C39" s="463" t="s">
        <v>769</v>
      </c>
      <c r="D39" s="463" t="s">
        <v>770</v>
      </c>
      <c r="E39" s="464" t="s">
        <v>771</v>
      </c>
      <c r="F39" s="2275"/>
      <c r="G39" s="2274"/>
      <c r="H39" s="2274"/>
      <c r="I39" s="2274"/>
    </row>
    <row r="40" spans="1:15" ht="13.5">
      <c r="A40" s="1248" t="s">
        <v>772</v>
      </c>
      <c r="B40" s="490"/>
      <c r="C40" s="491"/>
      <c r="D40" s="491"/>
      <c r="E40" s="492"/>
      <c r="F40" s="2275"/>
      <c r="G40" s="2274"/>
      <c r="H40" s="2274"/>
      <c r="I40" s="2274"/>
    </row>
    <row r="41" spans="1:15" ht="13.5">
      <c r="A41" s="1248" t="s">
        <v>773</v>
      </c>
      <c r="B41" s="490"/>
      <c r="C41" s="491"/>
      <c r="D41" s="491"/>
      <c r="E41" s="492"/>
      <c r="F41" s="2275"/>
      <c r="G41" s="2274"/>
      <c r="H41" s="2274"/>
      <c r="I41" s="2274"/>
    </row>
    <row r="42" spans="1:15" ht="14.25" thickBot="1">
      <c r="A42" s="1249"/>
      <c r="B42" s="493"/>
      <c r="C42" s="494"/>
      <c r="D42" s="494"/>
      <c r="E42" s="495"/>
      <c r="F42" s="2275"/>
      <c r="G42" s="2274"/>
      <c r="H42" s="2274"/>
      <c r="I42" s="2274"/>
    </row>
    <row r="43" spans="1:15" ht="12">
      <c r="A43" s="241"/>
      <c r="B43" s="241"/>
      <c r="C43" s="241"/>
      <c r="D43" s="241"/>
      <c r="E43" s="241"/>
      <c r="F43" s="1250"/>
      <c r="G43" s="1250"/>
      <c r="H43" s="1250"/>
      <c r="I43" s="1251"/>
    </row>
    <row r="44" spans="1:15" ht="18.75">
      <c r="A44" s="1252" t="s">
        <v>774</v>
      </c>
      <c r="B44" s="1253"/>
      <c r="C44" s="1253"/>
      <c r="D44" s="1254"/>
      <c r="E44" s="1254"/>
      <c r="F44" s="1255"/>
      <c r="G44" s="1255"/>
      <c r="H44" s="1255"/>
      <c r="I44" s="1255"/>
      <c r="J44" s="3268" t="s">
        <v>210</v>
      </c>
      <c r="K44" s="3269"/>
      <c r="L44" s="3269"/>
      <c r="M44" s="3269"/>
      <c r="N44" s="3269"/>
      <c r="O44" s="3269"/>
    </row>
    <row r="45" spans="1:15" ht="14.25" customHeight="1" thickBot="1">
      <c r="A45" s="3553" t="s">
        <v>794</v>
      </c>
      <c r="B45" s="3554"/>
      <c r="C45" s="3555"/>
      <c r="D45" s="496">
        <f ca="1">ROUND(H101*F45,0)</f>
        <v>22145</v>
      </c>
      <c r="E45" s="497" t="s">
        <v>795</v>
      </c>
      <c r="F45" s="498">
        <v>1</v>
      </c>
      <c r="G45" s="499" t="s">
        <v>796</v>
      </c>
      <c r="H45" s="2274"/>
      <c r="I45" s="2274"/>
      <c r="J45" s="3463" t="s">
        <v>211</v>
      </c>
      <c r="K45" s="3463"/>
      <c r="L45" s="3463"/>
      <c r="M45" s="3463"/>
      <c r="N45" s="3463"/>
      <c r="O45" s="3463"/>
    </row>
    <row r="46" spans="1:15" ht="14.25" customHeight="1">
      <c r="A46" s="3550" t="s">
        <v>283</v>
      </c>
      <c r="B46" s="3551"/>
      <c r="C46" s="3551"/>
      <c r="D46" s="3551"/>
      <c r="E46" s="3551"/>
      <c r="F46" s="3551"/>
      <c r="G46" s="3552"/>
      <c r="H46" s="2276"/>
      <c r="I46" s="2229"/>
      <c r="J46" s="1497">
        <v>1</v>
      </c>
      <c r="K46" s="3463" t="s">
        <v>212</v>
      </c>
      <c r="L46" s="3463"/>
      <c r="M46" s="3464"/>
      <c r="N46" s="3464"/>
      <c r="O46" s="3464"/>
    </row>
    <row r="47" spans="1:15" ht="12" customHeight="1">
      <c r="A47" s="501" t="s">
        <v>284</v>
      </c>
      <c r="B47" s="502"/>
      <c r="C47" s="503"/>
      <c r="D47" s="504" t="s">
        <v>285</v>
      </c>
      <c r="E47" s="313" t="s">
        <v>286</v>
      </c>
      <c r="F47" s="505" t="s">
        <v>797</v>
      </c>
      <c r="G47" s="506" t="s">
        <v>798</v>
      </c>
      <c r="H47" s="2276"/>
      <c r="I47" s="2229"/>
      <c r="J47" s="1497">
        <v>2</v>
      </c>
      <c r="K47" s="3463" t="s">
        <v>213</v>
      </c>
      <c r="L47" s="3463"/>
      <c r="M47" s="3465">
        <f>'数据-取费表'!B2</f>
        <v>42956</v>
      </c>
      <c r="N47" s="3465"/>
      <c r="O47" s="3465"/>
    </row>
    <row r="48" spans="1:15" ht="25.5">
      <c r="A48" s="3536" t="s">
        <v>287</v>
      </c>
      <c r="B48" s="3537"/>
      <c r="C48" s="3537"/>
      <c r="D48" s="471">
        <f>IF(H48="情况1",0,IF(H48="情况2",D52,IF(H48="情况3",D53,IF(H48="情况4",D54))))</f>
        <v>0</v>
      </c>
      <c r="E48" s="1921" t="str">
        <f>IF(H48="情况4","(销售额-原购置价)×税（费）率","销售额×税（费）率")</f>
        <v>销售额×税（费）率</v>
      </c>
      <c r="F48" s="507" t="str">
        <f>IF(H48="情况1","免征",'数据-取费表'!B41)</f>
        <v>免征</v>
      </c>
      <c r="G48" s="465" t="s">
        <v>775</v>
      </c>
      <c r="H48" s="1432" t="s">
        <v>2410</v>
      </c>
      <c r="I48" s="2276"/>
      <c r="J48" s="1497">
        <v>3</v>
      </c>
      <c r="K48" s="3463" t="s">
        <v>776</v>
      </c>
      <c r="L48" s="3463"/>
      <c r="M48" s="3466">
        <f ca="1">H101</f>
        <v>22145</v>
      </c>
      <c r="N48" s="3466"/>
      <c r="O48" s="3466"/>
    </row>
    <row r="49" spans="1:35" ht="25.5" customHeight="1">
      <c r="A49" s="508" t="s">
        <v>799</v>
      </c>
      <c r="B49" s="3516" t="s">
        <v>800</v>
      </c>
      <c r="C49" s="3516"/>
      <c r="D49" s="509">
        <v>0</v>
      </c>
      <c r="E49" s="312" t="s">
        <v>801</v>
      </c>
      <c r="F49" s="317" t="s">
        <v>167</v>
      </c>
      <c r="G49" s="3495"/>
      <c r="H49" s="2274"/>
      <c r="I49" s="2277"/>
      <c r="J49" s="1497">
        <v>4</v>
      </c>
      <c r="K49" s="3463" t="str">
        <f>IF(项目基本情况!E8="房地产抵押价值","房地产抵押价值","抵押担保权已注销时的房地产抵押价值")</f>
        <v>房地产抵押价值</v>
      </c>
      <c r="L49" s="3463"/>
      <c r="M49" s="3466">
        <f ca="1">IF(项目基本情况!E8="房地产抵押价值",H107,H109)</f>
        <v>22145</v>
      </c>
      <c r="N49" s="3466"/>
      <c r="O49" s="3466"/>
    </row>
    <row r="50" spans="1:35" ht="25.5" customHeight="1">
      <c r="A50" s="510"/>
      <c r="B50" s="3516" t="s">
        <v>290</v>
      </c>
      <c r="C50" s="3516"/>
      <c r="D50" s="511"/>
      <c r="E50" s="320"/>
      <c r="F50" s="512"/>
      <c r="G50" s="3496"/>
      <c r="H50" s="2274"/>
      <c r="I50" s="2277"/>
      <c r="J50" s="3463" t="s">
        <v>214</v>
      </c>
      <c r="K50" s="3463"/>
      <c r="L50" s="3463"/>
      <c r="M50" s="3463"/>
      <c r="N50" s="3463"/>
      <c r="O50" s="3463"/>
    </row>
    <row r="51" spans="1:35" ht="12" customHeight="1">
      <c r="A51" s="513"/>
      <c r="B51" s="3516" t="s">
        <v>291</v>
      </c>
      <c r="C51" s="3516"/>
      <c r="D51" s="514"/>
      <c r="E51" s="319"/>
      <c r="F51" s="512"/>
      <c r="G51" s="3497"/>
      <c r="H51" s="2274"/>
      <c r="I51" s="2277"/>
      <c r="J51" s="3270" t="s">
        <v>215</v>
      </c>
      <c r="K51" s="3463" t="s">
        <v>216</v>
      </c>
      <c r="L51" s="3463"/>
      <c r="M51" s="3270" t="s">
        <v>2997</v>
      </c>
      <c r="N51" s="3270" t="s">
        <v>217</v>
      </c>
      <c r="O51" s="3270" t="s">
        <v>218</v>
      </c>
    </row>
    <row r="52" spans="1:35" ht="24" customHeight="1">
      <c r="A52" s="515" t="s">
        <v>292</v>
      </c>
      <c r="B52" s="3516" t="s">
        <v>293</v>
      </c>
      <c r="C52" s="3516"/>
      <c r="D52" s="514">
        <f ca="1">ROUND(D45*'数据-取费表'!B41/(1+'数据-取费表'!C42),0)</f>
        <v>1181</v>
      </c>
      <c r="E52" s="299" t="s">
        <v>294</v>
      </c>
      <c r="F52" s="516">
        <f>'数据-取费表'!B41</f>
        <v>5.6000000000000001E-2</v>
      </c>
      <c r="G52" s="466"/>
      <c r="H52" s="2274"/>
      <c r="I52" s="2277"/>
      <c r="J52" s="1497">
        <v>1</v>
      </c>
      <c r="K52" s="3489" t="s">
        <v>777</v>
      </c>
      <c r="L52" s="3489"/>
      <c r="M52" s="3271">
        <f>D48</f>
        <v>0</v>
      </c>
      <c r="N52" s="1496" t="str">
        <f>E48</f>
        <v>销售额×税（费）率</v>
      </c>
      <c r="O52" s="3272" t="str">
        <f>F48</f>
        <v>免征</v>
      </c>
    </row>
    <row r="53" spans="1:35" ht="12" customHeight="1">
      <c r="A53" s="515" t="s">
        <v>295</v>
      </c>
      <c r="B53" s="3517" t="s">
        <v>296</v>
      </c>
      <c r="C53" s="3518"/>
      <c r="D53" s="514">
        <f ca="1">ROUND(D45*'数据-取费表'!B41/(1+'数据-取费表'!C42),0)</f>
        <v>1181</v>
      </c>
      <c r="E53" s="299" t="s">
        <v>294</v>
      </c>
      <c r="F53" s="516">
        <f>'数据-取费表'!B41</f>
        <v>5.6000000000000001E-2</v>
      </c>
      <c r="G53" s="466"/>
      <c r="H53" s="2274"/>
      <c r="I53" s="2277"/>
      <c r="J53" s="1497">
        <v>2</v>
      </c>
      <c r="K53" s="3489" t="s">
        <v>778</v>
      </c>
      <c r="L53" s="3489"/>
      <c r="M53" s="3271">
        <f t="shared" ref="M53:O54" ca="1" si="0">D55</f>
        <v>11</v>
      </c>
      <c r="N53" s="1496" t="str">
        <f t="shared" si="0"/>
        <v>销售额×税（费）率</v>
      </c>
      <c r="O53" s="3272">
        <f t="shared" si="0"/>
        <v>5.0000000000000001E-4</v>
      </c>
    </row>
    <row r="54" spans="1:35" ht="12" customHeight="1">
      <c r="A54" s="515" t="s">
        <v>297</v>
      </c>
      <c r="B54" s="3517" t="s">
        <v>298</v>
      </c>
      <c r="C54" s="3518"/>
      <c r="D54" s="514">
        <f ca="1">C68</f>
        <v>1181</v>
      </c>
      <c r="E54" s="319" t="s">
        <v>299</v>
      </c>
      <c r="F54" s="516">
        <f>'数据-取费表'!B41</f>
        <v>5.6000000000000001E-2</v>
      </c>
      <c r="G54" s="466"/>
      <c r="H54" s="2278"/>
      <c r="I54" s="2277"/>
      <c r="J54" s="1497">
        <v>3</v>
      </c>
      <c r="K54" s="3489" t="s">
        <v>779</v>
      </c>
      <c r="L54" s="3489"/>
      <c r="M54" s="3271">
        <f t="shared" ca="1" si="0"/>
        <v>12533</v>
      </c>
      <c r="N54" s="1496" t="str">
        <f t="shared" si="0"/>
        <v>增值额×税（费）率</v>
      </c>
      <c r="O54" s="3273" t="str">
        <f t="shared" si="0"/>
        <v>——</v>
      </c>
    </row>
    <row r="55" spans="1:35" ht="24" customHeight="1">
      <c r="A55" s="3559" t="s">
        <v>300</v>
      </c>
      <c r="B55" s="3537"/>
      <c r="C55" s="3537"/>
      <c r="D55" s="517">
        <f ca="1">IF(H55="个人住宅",0,ROUND(D45*I55,0))</f>
        <v>11</v>
      </c>
      <c r="E55" s="299" t="s">
        <v>301</v>
      </c>
      <c r="F55" s="516">
        <f>IF(H55="正常",I55,"免征")</f>
        <v>5.0000000000000001E-4</v>
      </c>
      <c r="G55" s="466"/>
      <c r="H55" s="1432" t="s">
        <v>151</v>
      </c>
      <c r="I55" s="518">
        <f>'数据-取费表'!B49</f>
        <v>5.0000000000000001E-4</v>
      </c>
      <c r="J55" s="1497" t="str">
        <f>IF(H59="非个人房产","",4)</f>
        <v/>
      </c>
      <c r="K55" s="3489" t="str">
        <f>IF(H59="非个人房产","——","个人所得税")</f>
        <v>——</v>
      </c>
      <c r="L55" s="3489"/>
      <c r="M55" s="3274" t="str">
        <f>D59</f>
        <v>——</v>
      </c>
      <c r="N55" s="3275" t="str">
        <f>E59</f>
        <v>——</v>
      </c>
      <c r="O55" s="3276" t="str">
        <f>F59</f>
        <v>——</v>
      </c>
    </row>
    <row r="56" spans="1:35" ht="24.75">
      <c r="A56" s="3559" t="s">
        <v>302</v>
      </c>
      <c r="B56" s="3537"/>
      <c r="C56" s="3537"/>
      <c r="D56" s="517">
        <f ca="1">IF(H56="个人住宅",D57,D58)</f>
        <v>12533</v>
      </c>
      <c r="E56" s="299" t="s">
        <v>303</v>
      </c>
      <c r="F56" s="516" t="str">
        <f>IF(H56="正常",F58,"免征")</f>
        <v>——</v>
      </c>
      <c r="G56" s="1256" t="s">
        <v>780</v>
      </c>
      <c r="H56" s="1431" t="s">
        <v>151</v>
      </c>
      <c r="I56" s="2279"/>
      <c r="J56" s="1497" t="str">
        <f>IF(项目基本情况!K6="上海银行",IF(J55="",4,J55+1),"")</f>
        <v/>
      </c>
      <c r="K56" s="3469" t="str">
        <f>IF(项目基本情况!K6="上海银行","其他处置费用","")</f>
        <v/>
      </c>
      <c r="L56" s="3470"/>
      <c r="M56" s="3271" t="str">
        <f>IF(项目基本情况!K6="上海银行",M69,"")</f>
        <v/>
      </c>
      <c r="N56" s="3472" t="str">
        <f>IF(项目基本情况!K6="上海银行","包含处置中涉及的律师、诉讼、拍卖、评估等费用","")</f>
        <v/>
      </c>
      <c r="O56" s="3473"/>
    </row>
    <row r="57" spans="1:35" ht="12.75">
      <c r="A57" s="515" t="s">
        <v>288</v>
      </c>
      <c r="B57" s="3522" t="s">
        <v>304</v>
      </c>
      <c r="C57" s="3523"/>
      <c r="D57" s="519">
        <v>0</v>
      </c>
      <c r="E57" s="312" t="s">
        <v>289</v>
      </c>
      <c r="F57" s="487"/>
      <c r="G57" s="466"/>
      <c r="H57" s="2279"/>
      <c r="I57" s="2279"/>
      <c r="J57" s="3501">
        <f>IF(AND(J55="",J56=""),4,IF(项目基本情况!K6="上海银行",'结果表（商业）'!J56+1,'结果表（商业）'!J55+1))</f>
        <v>4</v>
      </c>
      <c r="K57" s="3489" t="s">
        <v>781</v>
      </c>
      <c r="L57" s="3277" t="s">
        <v>219</v>
      </c>
      <c r="M57" s="3278"/>
      <c r="N57" s="3279">
        <f ca="1">SUMIF(M52:M56,"&lt;9e307")</f>
        <v>12544</v>
      </c>
      <c r="O57" s="3280"/>
      <c r="P57" s="3267">
        <f ca="1">N57/M49</f>
        <v>0.56644840821855946</v>
      </c>
    </row>
    <row r="58" spans="1:35" ht="24.75">
      <c r="A58" s="515" t="s">
        <v>292</v>
      </c>
      <c r="B58" s="3522" t="s">
        <v>305</v>
      </c>
      <c r="C58" s="3535"/>
      <c r="D58" s="517">
        <f ca="1">IF(H58="转让取得",C81,C97)</f>
        <v>12533</v>
      </c>
      <c r="E58" s="299" t="s">
        <v>303</v>
      </c>
      <c r="F58" s="313" t="s">
        <v>167</v>
      </c>
      <c r="G58" s="466"/>
      <c r="H58" s="1431" t="s">
        <v>1127</v>
      </c>
      <c r="I58" s="2279"/>
      <c r="J58" s="3501"/>
      <c r="K58" s="3489"/>
      <c r="L58" s="3277" t="s">
        <v>220</v>
      </c>
      <c r="M58" s="3281"/>
      <c r="N58" s="3282" t="str">
        <f ca="1">NUMBERSTRING(INT(N57*10000),2)&amp;"元整"</f>
        <v>壹亿贰仟伍佰肆拾肆万元整</v>
      </c>
      <c r="O58" s="3283"/>
    </row>
    <row r="59" spans="1:35" ht="24.75" thickBot="1">
      <c r="A59" s="3493" t="s">
        <v>306</v>
      </c>
      <c r="B59" s="3494"/>
      <c r="C59" s="3494"/>
      <c r="D59" s="520" t="str">
        <f>IF(H59="非个人房产","——",IF(H59="个人住宅",0,ROUND(D45*I59,0)))</f>
        <v>——</v>
      </c>
      <c r="E59" s="521" t="str">
        <f>IF(H59="非个人房产","——","销售额×税（费）率")</f>
        <v>——</v>
      </c>
      <c r="F59" s="522" t="str">
        <f>IF(H59="非个人房产","——",IF(H59="个人住宅","免征",I59))</f>
        <v>——</v>
      </c>
      <c r="G59" s="1257" t="s">
        <v>166</v>
      </c>
      <c r="H59" s="1431" t="s">
        <v>1126</v>
      </c>
      <c r="I59" s="523">
        <v>0.01</v>
      </c>
      <c r="J59" s="3491">
        <f>J57+1</f>
        <v>5</v>
      </c>
      <c r="K59" s="3489" t="s">
        <v>168</v>
      </c>
      <c r="L59" s="1496" t="s">
        <v>219</v>
      </c>
      <c r="M59" s="3284"/>
      <c r="N59" s="3285">
        <f ca="1">M49-N57</f>
        <v>9601</v>
      </c>
      <c r="O59" s="3286"/>
    </row>
    <row r="60" spans="1:35" ht="12" customHeight="1">
      <c r="A60" s="1258"/>
      <c r="B60" s="1243"/>
      <c r="C60" s="1243"/>
      <c r="D60" s="1243"/>
      <c r="E60" s="229"/>
      <c r="F60" s="2279"/>
      <c r="G60" s="2279"/>
      <c r="H60" s="2280"/>
      <c r="I60" s="2274"/>
      <c r="J60" s="3492"/>
      <c r="K60" s="3489"/>
      <c r="L60" s="3277" t="s">
        <v>220</v>
      </c>
      <c r="M60" s="3281"/>
      <c r="N60" s="3282" t="str">
        <f ca="1">NUMBERSTRING(INT(N59*10000),2)&amp;"元整"</f>
        <v>玖仟陆佰零壹万元整</v>
      </c>
      <c r="O60" s="3283"/>
    </row>
    <row r="61" spans="1:35" ht="13.5" thickBot="1">
      <c r="A61" s="3558" t="s">
        <v>307</v>
      </c>
      <c r="B61" s="3558"/>
      <c r="C61" s="3558"/>
      <c r="D61" s="3558"/>
      <c r="E61" s="3558"/>
      <c r="F61" s="2279"/>
      <c r="G61" s="2279"/>
      <c r="H61" s="2280"/>
      <c r="I61" s="2274"/>
      <c r="J61" s="1497">
        <f>J59+1</f>
        <v>6</v>
      </c>
      <c r="K61" s="3489" t="s">
        <v>221</v>
      </c>
      <c r="L61" s="3489"/>
      <c r="M61" s="3287"/>
      <c r="N61" s="3288">
        <f ca="1">ROUND(N59*10000/'数据-汇总表'!E3,0)</f>
        <v>1434</v>
      </c>
      <c r="O61" s="3289"/>
    </row>
    <row r="62" spans="1:35" ht="12.75">
      <c r="A62" s="3510" t="s">
        <v>308</v>
      </c>
      <c r="B62" s="3511"/>
      <c r="C62" s="1915"/>
      <c r="D62" s="1915" t="s">
        <v>316</v>
      </c>
      <c r="E62" s="524" t="s">
        <v>317</v>
      </c>
      <c r="F62" s="2279"/>
      <c r="G62" s="2279"/>
      <c r="H62" s="2280"/>
      <c r="I62" s="2274"/>
    </row>
    <row r="63" spans="1:35" ht="12.75">
      <c r="A63" s="535" t="s">
        <v>1889</v>
      </c>
      <c r="B63" s="525" t="s">
        <v>309</v>
      </c>
      <c r="C63" s="526">
        <f ca="1">ROUND((C64+C65)/(1+'数据-取费表'!C42),0)</f>
        <v>21090</v>
      </c>
      <c r="D63" s="527"/>
      <c r="E63" s="528"/>
      <c r="F63" s="2279"/>
      <c r="G63" s="2279"/>
      <c r="H63" s="2280"/>
      <c r="I63" s="2274"/>
      <c r="J63" s="3471" t="s">
        <v>2990</v>
      </c>
      <c r="K63" s="3266" t="s">
        <v>2991</v>
      </c>
      <c r="L63" s="3264">
        <f ca="1">IF(M49&gt;10000,M49*0.5%,IF(AND(M49&gt;1000,M49&lt;=10000),M49*1%,IF(AND(M49&gt;100,M49&lt;=1000),M49*3%,IF(AND(M49&gt;10,M49&lt;=100),M49*5%,M49*8%))))</f>
        <v>110.72500000000001</v>
      </c>
      <c r="M63" s="313">
        <f ca="1">ROUND(L63,1)</f>
        <v>110.7</v>
      </c>
      <c r="Z63" s="1434"/>
      <c r="AI63" s="1244"/>
    </row>
    <row r="64" spans="1:35" ht="14.25" customHeight="1">
      <c r="A64" s="529" t="s">
        <v>1884</v>
      </c>
      <c r="B64" s="530" t="s">
        <v>310</v>
      </c>
      <c r="C64" s="531">
        <f ca="1">D45</f>
        <v>22145</v>
      </c>
      <c r="D64" s="532" t="s">
        <v>163</v>
      </c>
      <c r="E64" s="533"/>
      <c r="F64" s="2279"/>
      <c r="G64" s="2279"/>
      <c r="H64" s="2280"/>
      <c r="I64" s="2274"/>
      <c r="J64" s="3471"/>
      <c r="K64" s="3266" t="s">
        <v>2992</v>
      </c>
      <c r="L64" s="3264">
        <f ca="1">IF(M49&gt;2000,M49*0.5%,IF(AND(M49&gt;1000,M49&lt;=2000),M49*0.6%,IF(AND(M49&gt;500,M49&lt;=1000),M49*0.7%,IF(AND(M49&gt;200,M49&lt;=500),M49*0.8%,IF(AND(M49&gt;100,M49&lt;=200),M49*0.9%,IF(AND(M49&gt;50,M49&lt;=100),M49*1%,IF(AND(M49&gt;20,M49&lt;=50),M49*1.5%,IF(AND(M49&gt;10,M49&lt;=20),M49*2%,IF(AND(M49&gt;1,M49&lt;=10),M49*2.5%)))))))))</f>
        <v>110.72500000000001</v>
      </c>
      <c r="M64" s="313">
        <f t="shared" ref="M64:M65" ca="1" si="1">ROUND(L64,1)</f>
        <v>110.7</v>
      </c>
      <c r="N64" s="469" t="s">
        <v>2998</v>
      </c>
      <c r="Z64" s="1434"/>
      <c r="AI64" s="1244"/>
    </row>
    <row r="65" spans="1:35" ht="14.25" customHeight="1">
      <c r="A65" s="529" t="s">
        <v>1885</v>
      </c>
      <c r="B65" s="530" t="s">
        <v>311</v>
      </c>
      <c r="C65" s="534"/>
      <c r="D65" s="532"/>
      <c r="E65" s="533"/>
      <c r="F65" s="2279"/>
      <c r="G65" s="2279"/>
      <c r="H65" s="2280"/>
      <c r="I65" s="2274"/>
      <c r="J65" s="3471"/>
      <c r="K65" s="3266" t="s">
        <v>2993</v>
      </c>
      <c r="L65" s="3264">
        <f ca="1">IF(M49&gt;1000,M49*0.1%,IF(AND(M49&gt;500,M49&lt;=1000),M49*0.5%,IF(AND(M49&gt;50,M49&lt;=500),M49*1%,IF(AND(M49&gt;1,M49&lt;=50),M49*1.5%))))</f>
        <v>22.145</v>
      </c>
      <c r="M65" s="313">
        <f t="shared" ca="1" si="1"/>
        <v>22.1</v>
      </c>
      <c r="N65" s="469" t="s">
        <v>2999</v>
      </c>
      <c r="Z65" s="1434"/>
      <c r="AI65" s="1244"/>
    </row>
    <row r="66" spans="1:35" ht="14.25" customHeight="1">
      <c r="A66" s="535" t="s">
        <v>1886</v>
      </c>
      <c r="B66" s="536" t="s">
        <v>312</v>
      </c>
      <c r="C66" s="537"/>
      <c r="D66" s="538" t="s">
        <v>163</v>
      </c>
      <c r="E66" s="3316" t="s">
        <v>3037</v>
      </c>
      <c r="F66" s="2279"/>
      <c r="G66" s="2279"/>
      <c r="H66" s="2280"/>
      <c r="I66" s="2274"/>
      <c r="J66" s="3471"/>
      <c r="K66" s="3266" t="s">
        <v>2994</v>
      </c>
      <c r="L66" s="3264">
        <f ca="1">M49*0.5%</f>
        <v>110.72500000000001</v>
      </c>
      <c r="M66" s="313">
        <f ca="1">IF(L66&gt;0.5,0.5,ROUND(L66,0))</f>
        <v>0.5</v>
      </c>
      <c r="N66" s="469" t="s">
        <v>3000</v>
      </c>
      <c r="Z66" s="1434"/>
      <c r="AI66" s="1244"/>
    </row>
    <row r="67" spans="1:35" ht="14.25" customHeight="1">
      <c r="A67" s="535" t="s">
        <v>1887</v>
      </c>
      <c r="B67" s="536" t="s">
        <v>313</v>
      </c>
      <c r="C67" s="539">
        <f ca="1">C63-C66</f>
        <v>21090</v>
      </c>
      <c r="D67" s="532" t="s">
        <v>163</v>
      </c>
      <c r="E67" s="533"/>
      <c r="F67" s="2279"/>
      <c r="G67" s="2279"/>
      <c r="H67" s="2280"/>
      <c r="I67" s="2274"/>
      <c r="J67" s="3471"/>
      <c r="K67" s="3266" t="s">
        <v>2995</v>
      </c>
      <c r="L67" s="3264">
        <f ca="1">IF(M49&gt;=10000,(8.25+(M49-10000)*0.01%),IF(AND(M49&gt;=8000,M49&lt;10000),(7.85+(M49-8000)*0.02%),IF(AND(M49&gt;=5000,M49&lt;8000),(6.65+(M49-5000)*0.04%),IF(AND(M49&gt;=2000,M49&lt;5000),(4.25+(PM49-2000)*0.08%),IF(AND(M49&gt;=1000,M49&lt;2000),(2.75+(M49-1000)*0.15%),IF(AND(M49&gt;=100,M49&lt;1000),(0.5+(M49-100)*0.25%),IF(AND(M49&gt;0,M49&lt;100),M49*0.5%)))))))</f>
        <v>9.464500000000001</v>
      </c>
      <c r="M67" s="313">
        <f ca="1">ROUND(L67*0.9,1)</f>
        <v>8.5</v>
      </c>
      <c r="Z67" s="1434"/>
      <c r="AI67" s="1244"/>
    </row>
    <row r="68" spans="1:35" ht="14.25" customHeight="1" thickBot="1">
      <c r="A68" s="540" t="s">
        <v>1888</v>
      </c>
      <c r="B68" s="541" t="s">
        <v>314</v>
      </c>
      <c r="C68" s="542">
        <f ca="1">IF(C67&lt;=0,0,ROUND(C67*D68,0))</f>
        <v>1181</v>
      </c>
      <c r="D68" s="543">
        <f>'数据-取费表'!B41</f>
        <v>5.6000000000000001E-2</v>
      </c>
      <c r="E68" s="544"/>
      <c r="F68" s="2279"/>
      <c r="G68" s="2279"/>
      <c r="H68" s="2280"/>
      <c r="I68" s="2274"/>
      <c r="J68" s="3471"/>
      <c r="K68" s="3266" t="s">
        <v>2996</v>
      </c>
      <c r="L68" s="3264">
        <f ca="1">IF(M49&gt;10000,M49*0.5%,IF(AND(M49&gt;5000,M49&lt;=10000),M49*1%,IF(AND(M49&gt;1000,M49&lt;=5000),M49*2%,IF(AND(M49&gt;200,M49&lt;=1000),M49*3%,M49*5%))))</f>
        <v>110.72500000000001</v>
      </c>
      <c r="M68" s="313">
        <f ca="1">ROUND(L68,1)</f>
        <v>110.7</v>
      </c>
      <c r="Z68" s="1434"/>
      <c r="AI68" s="1244"/>
    </row>
    <row r="69" spans="1:35" s="1245" customFormat="1" ht="16.5" customHeight="1">
      <c r="A69" s="1259"/>
      <c r="B69" s="1260"/>
      <c r="C69" s="1261"/>
      <c r="D69" s="1262"/>
      <c r="E69" s="1263"/>
      <c r="F69" s="229"/>
      <c r="G69" s="229"/>
      <c r="H69" s="241"/>
      <c r="I69" s="1243"/>
      <c r="J69" s="3471"/>
      <c r="K69" s="3266" t="s">
        <v>183</v>
      </c>
      <c r="L69" s="3265"/>
      <c r="M69" s="313">
        <f ca="1">ROUND(SUM(M63:M68),0)</f>
        <v>363</v>
      </c>
      <c r="N69" s="3267">
        <f ca="1">M69/M49</f>
        <v>1.6391962068186949E-2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20" t="s">
        <v>315</v>
      </c>
      <c r="B70" s="3521"/>
      <c r="C70" s="3521"/>
      <c r="D70" s="3521"/>
      <c r="E70" s="3521"/>
      <c r="F70" s="3521"/>
      <c r="G70" s="3521"/>
      <c r="H70" s="3521"/>
      <c r="I70" s="1264"/>
      <c r="N70" s="2132"/>
      <c r="O70" s="2132"/>
      <c r="P70" s="2132"/>
      <c r="Q70" s="2132"/>
      <c r="R70" s="2132"/>
      <c r="S70" s="2132"/>
      <c r="T70" s="2132"/>
      <c r="U70" s="2132"/>
      <c r="V70" s="2132"/>
      <c r="W70" s="2132"/>
      <c r="X70" s="2132"/>
      <c r="Y70" s="2132"/>
      <c r="Z70" s="2132"/>
      <c r="AA70" s="1435"/>
      <c r="AB70" s="1435"/>
      <c r="AC70" s="1435"/>
      <c r="AD70" s="1435"/>
      <c r="AE70" s="1435"/>
      <c r="AF70" s="1435"/>
      <c r="AG70" s="1435"/>
      <c r="AH70" s="1435"/>
      <c r="AI70" s="1435"/>
    </row>
    <row r="71" spans="1:35" s="1265" customFormat="1" ht="14.25">
      <c r="A71" s="3510" t="s">
        <v>308</v>
      </c>
      <c r="B71" s="3511"/>
      <c r="C71" s="1915"/>
      <c r="D71" s="1915" t="s">
        <v>316</v>
      </c>
      <c r="E71" s="545" t="s">
        <v>317</v>
      </c>
      <c r="F71" s="546"/>
      <c r="G71" s="546"/>
      <c r="H71" s="547"/>
      <c r="I71" s="2281"/>
      <c r="N71" s="2132"/>
      <c r="O71" s="2132"/>
      <c r="P71" s="2132"/>
      <c r="Q71" s="2132"/>
      <c r="R71" s="2132"/>
      <c r="S71" s="2132"/>
      <c r="T71" s="2132"/>
      <c r="U71" s="2132"/>
      <c r="V71" s="2132"/>
      <c r="W71" s="2132"/>
      <c r="X71" s="2132"/>
      <c r="Y71" s="2132"/>
      <c r="Z71" s="2132"/>
      <c r="AA71" s="1435"/>
      <c r="AB71" s="1435"/>
      <c r="AC71" s="1435"/>
      <c r="AD71" s="1435"/>
      <c r="AE71" s="1435"/>
      <c r="AF71" s="1435"/>
      <c r="AG71" s="1435"/>
      <c r="AH71" s="1435"/>
      <c r="AI71" s="1435"/>
    </row>
    <row r="72" spans="1:35" s="1265" customFormat="1" ht="14.25">
      <c r="A72" s="535" t="s">
        <v>1889</v>
      </c>
      <c r="B72" s="536" t="s">
        <v>318</v>
      </c>
      <c r="C72" s="539">
        <f ca="1">ROUND(D45/(1+'数据-取费表'!C42),0)</f>
        <v>21090</v>
      </c>
      <c r="D72" s="532" t="s">
        <v>163</v>
      </c>
      <c r="E72" s="1918"/>
      <c r="F72" s="1919"/>
      <c r="G72" s="1919"/>
      <c r="H72" s="548"/>
      <c r="I72" s="2281"/>
      <c r="N72" s="2132"/>
      <c r="O72" s="2132"/>
      <c r="P72" s="2132"/>
      <c r="Q72" s="2132"/>
      <c r="R72" s="2132"/>
      <c r="S72" s="2132"/>
      <c r="T72" s="2132"/>
      <c r="U72" s="2132"/>
      <c r="V72" s="2132"/>
      <c r="W72" s="2132"/>
      <c r="X72" s="2132"/>
      <c r="Y72" s="2132"/>
      <c r="Z72" s="2132"/>
      <c r="AA72" s="1435"/>
      <c r="AB72" s="1435"/>
      <c r="AC72" s="1435"/>
      <c r="AD72" s="1435"/>
      <c r="AE72" s="1435"/>
      <c r="AF72" s="1435"/>
      <c r="AG72" s="1435"/>
      <c r="AH72" s="1435"/>
      <c r="AI72" s="1435"/>
    </row>
    <row r="73" spans="1:35" s="1265" customFormat="1" ht="14.25">
      <c r="A73" s="535" t="s">
        <v>1886</v>
      </c>
      <c r="B73" s="505" t="s">
        <v>319</v>
      </c>
      <c r="C73" s="539">
        <f ca="1">C74+C78</f>
        <v>127</v>
      </c>
      <c r="D73" s="532" t="s">
        <v>163</v>
      </c>
      <c r="E73" s="1918"/>
      <c r="F73" s="1919"/>
      <c r="G73" s="1919"/>
      <c r="H73" s="548"/>
      <c r="I73" s="2281"/>
      <c r="J73" s="2132"/>
      <c r="K73" s="2132"/>
      <c r="L73" s="2132"/>
      <c r="M73" s="2132"/>
      <c r="N73" s="2132"/>
      <c r="O73" s="2132"/>
      <c r="P73" s="2132"/>
      <c r="Q73" s="2132"/>
      <c r="R73" s="2132"/>
      <c r="S73" s="2132"/>
      <c r="T73" s="2132"/>
      <c r="U73" s="2132"/>
      <c r="V73" s="2132"/>
      <c r="W73" s="2132"/>
      <c r="X73" s="2132"/>
      <c r="Y73" s="2132"/>
      <c r="Z73" s="2132"/>
      <c r="AA73" s="1435"/>
      <c r="AB73" s="1435"/>
      <c r="AC73" s="1435"/>
      <c r="AD73" s="1435"/>
      <c r="AE73" s="1435"/>
      <c r="AF73" s="1435"/>
      <c r="AG73" s="1435"/>
      <c r="AH73" s="1435"/>
      <c r="AI73" s="1435"/>
    </row>
    <row r="74" spans="1:35" s="1265" customFormat="1" ht="24">
      <c r="A74" s="549" t="s">
        <v>1890</v>
      </c>
      <c r="B74" s="530" t="s">
        <v>320</v>
      </c>
      <c r="C74" s="532">
        <f>ROUND(IF(G77="2016年5月1日后购买",C75/(1+'数据-取费表'!C42)+C76+C77,C75+C76+C77),0)</f>
        <v>0</v>
      </c>
      <c r="D74" s="532" t="s">
        <v>163</v>
      </c>
      <c r="E74" s="1918"/>
      <c r="F74" s="1919"/>
      <c r="G74" s="1919"/>
      <c r="H74" s="548"/>
      <c r="I74" s="2281"/>
      <c r="J74" s="2132"/>
      <c r="K74" s="2132"/>
      <c r="L74" s="2132"/>
      <c r="M74" s="2132"/>
      <c r="N74" s="2132"/>
      <c r="O74" s="2132"/>
      <c r="P74" s="2132"/>
      <c r="Q74" s="2132"/>
      <c r="R74" s="2132"/>
      <c r="S74" s="2132"/>
      <c r="T74" s="2132"/>
      <c r="U74" s="2132"/>
      <c r="V74" s="2132"/>
      <c r="W74" s="2132"/>
      <c r="X74" s="2132"/>
      <c r="Y74" s="2132"/>
      <c r="Z74" s="2132"/>
      <c r="AA74" s="1435"/>
      <c r="AB74" s="1435"/>
      <c r="AC74" s="1435"/>
      <c r="AD74" s="1435"/>
      <c r="AE74" s="1435"/>
      <c r="AF74" s="1435"/>
      <c r="AG74" s="1435"/>
      <c r="AH74" s="1435"/>
      <c r="AI74" s="1435"/>
    </row>
    <row r="75" spans="1:35" s="1265" customFormat="1" ht="13.5">
      <c r="A75" s="549" t="s">
        <v>1891</v>
      </c>
      <c r="B75" s="530" t="s">
        <v>321</v>
      </c>
      <c r="C75" s="550"/>
      <c r="D75" s="532" t="s">
        <v>163</v>
      </c>
      <c r="E75" s="551" t="s">
        <v>322</v>
      </c>
      <c r="F75" s="1427" t="s">
        <v>2411</v>
      </c>
      <c r="G75" s="551" t="s">
        <v>791</v>
      </c>
      <c r="H75" s="552"/>
      <c r="I75" s="2282"/>
      <c r="J75" s="2132"/>
      <c r="K75" s="2132"/>
      <c r="L75" s="2132"/>
      <c r="M75" s="2132"/>
      <c r="N75" s="2132"/>
      <c r="O75" s="2132"/>
      <c r="P75" s="2132"/>
      <c r="Q75" s="2132"/>
      <c r="R75" s="2132"/>
      <c r="S75" s="2132"/>
      <c r="T75" s="2132"/>
      <c r="U75" s="2132"/>
      <c r="V75" s="2132"/>
      <c r="W75" s="2132"/>
      <c r="X75" s="2132"/>
      <c r="Y75" s="2132"/>
      <c r="Z75" s="2132"/>
      <c r="AA75" s="1435"/>
      <c r="AB75" s="1435"/>
      <c r="AC75" s="1435"/>
      <c r="AD75" s="1435"/>
      <c r="AE75" s="1435"/>
      <c r="AF75" s="1435"/>
      <c r="AG75" s="1435"/>
      <c r="AH75" s="1435"/>
      <c r="AI75" s="1435"/>
    </row>
    <row r="76" spans="1:35" s="1265" customFormat="1" ht="24.75" customHeight="1">
      <c r="A76" s="549" t="s">
        <v>1893</v>
      </c>
      <c r="B76" s="553" t="s">
        <v>323</v>
      </c>
      <c r="C76" s="532">
        <f>IF(F75="购房发票",ROUND(C75*H75*D76,0),0)</f>
        <v>0</v>
      </c>
      <c r="D76" s="554">
        <v>0.05</v>
      </c>
      <c r="E76" s="3517" t="s">
        <v>324</v>
      </c>
      <c r="F76" s="3516"/>
      <c r="G76" s="3516"/>
      <c r="H76" s="3519"/>
      <c r="I76" s="2281"/>
      <c r="J76" s="2132"/>
      <c r="K76" s="2132"/>
      <c r="L76" s="2132"/>
      <c r="M76" s="2132"/>
      <c r="N76" s="2132"/>
      <c r="O76" s="2132"/>
      <c r="P76" s="2132"/>
      <c r="Q76" s="2132"/>
      <c r="R76" s="2132"/>
      <c r="S76" s="2132"/>
      <c r="T76" s="2132"/>
      <c r="U76" s="2132"/>
      <c r="V76" s="2132"/>
      <c r="W76" s="2132"/>
      <c r="X76" s="2132"/>
      <c r="Y76" s="2132"/>
      <c r="Z76" s="2132"/>
      <c r="AA76" s="1435"/>
      <c r="AB76" s="1435"/>
      <c r="AC76" s="1435"/>
      <c r="AD76" s="1435"/>
      <c r="AE76" s="1435"/>
      <c r="AF76" s="1435"/>
      <c r="AG76" s="1435"/>
      <c r="AH76" s="1435"/>
      <c r="AI76" s="1435"/>
    </row>
    <row r="77" spans="1:35" s="1265" customFormat="1" ht="24.75" customHeight="1">
      <c r="A77" s="549" t="s">
        <v>1894</v>
      </c>
      <c r="B77" s="530" t="s">
        <v>325</v>
      </c>
      <c r="C77" s="532">
        <f>ROUND(IF(G77="个人住宅",0,IF(G77="2016年5月1日前购买",C75*D77,C75*D77/(1+'数据-取费表'!C42))),0)</f>
        <v>0</v>
      </c>
      <c r="D77" s="555">
        <f>'数据-取费表'!B48+'数据-取费表'!B49</f>
        <v>3.0499999999999999E-2</v>
      </c>
      <c r="E77" s="303" t="s">
        <v>792</v>
      </c>
      <c r="F77" s="556"/>
      <c r="G77" s="1428" t="s">
        <v>2502</v>
      </c>
      <c r="H77" s="1920" t="str">
        <f>IF(G77="个人买卖住房","免征印花税"," ")</f>
        <v xml:space="preserve"> </v>
      </c>
      <c r="I77" s="2281"/>
      <c r="J77" s="2132"/>
      <c r="K77" s="2132"/>
      <c r="L77" s="2132"/>
      <c r="M77" s="2132"/>
      <c r="N77" s="2132"/>
      <c r="O77" s="2132"/>
      <c r="P77" s="2132"/>
      <c r="Q77" s="2132"/>
      <c r="R77" s="2132"/>
      <c r="S77" s="2132"/>
      <c r="T77" s="2132"/>
      <c r="U77" s="2132"/>
      <c r="V77" s="2132"/>
      <c r="W77" s="2132"/>
      <c r="X77" s="2132"/>
      <c r="Y77" s="2132"/>
      <c r="Z77" s="2132"/>
      <c r="AA77" s="1435"/>
      <c r="AB77" s="1435"/>
      <c r="AC77" s="1435"/>
      <c r="AD77" s="1435"/>
      <c r="AE77" s="1435"/>
      <c r="AF77" s="1435"/>
      <c r="AG77" s="1435"/>
      <c r="AH77" s="1435"/>
      <c r="AI77" s="1435"/>
    </row>
    <row r="78" spans="1:35" s="1265" customFormat="1" ht="24.75" customHeight="1">
      <c r="A78" s="549" t="s">
        <v>1892</v>
      </c>
      <c r="B78" s="530" t="s">
        <v>326</v>
      </c>
      <c r="C78" s="557">
        <f ca="1">ROUND(D45*D78/(1+'数据-取费表'!C42),0)</f>
        <v>127</v>
      </c>
      <c r="D78" s="558">
        <f>'数据-取费表'!B43</f>
        <v>6.000000000000001E-3</v>
      </c>
      <c r="E78" s="3512" t="s">
        <v>2503</v>
      </c>
      <c r="F78" s="3508"/>
      <c r="G78" s="3508"/>
      <c r="H78" s="3509"/>
      <c r="I78" s="2283"/>
      <c r="J78" s="2132"/>
      <c r="K78" s="2132"/>
      <c r="L78" s="2132"/>
      <c r="M78" s="2132"/>
      <c r="N78" s="2132"/>
      <c r="O78" s="2132"/>
      <c r="P78" s="2132"/>
      <c r="Q78" s="2132"/>
      <c r="R78" s="2132"/>
      <c r="S78" s="2132"/>
      <c r="T78" s="2132"/>
      <c r="U78" s="2132"/>
      <c r="V78" s="2132"/>
      <c r="W78" s="2132"/>
      <c r="X78" s="2132"/>
      <c r="Y78" s="2132"/>
      <c r="Z78" s="2132"/>
      <c r="AA78" s="1435"/>
      <c r="AB78" s="1435"/>
      <c r="AC78" s="1435"/>
      <c r="AD78" s="1435"/>
      <c r="AE78" s="1435"/>
      <c r="AF78" s="1435"/>
      <c r="AG78" s="1435"/>
      <c r="AH78" s="1435"/>
      <c r="AI78" s="1435"/>
    </row>
    <row r="79" spans="1:35" s="1265" customFormat="1" ht="14.25">
      <c r="A79" s="1797" t="s">
        <v>1895</v>
      </c>
      <c r="B79" s="536" t="s">
        <v>327</v>
      </c>
      <c r="C79" s="539">
        <f ca="1">C72-C73</f>
        <v>20963</v>
      </c>
      <c r="D79" s="532" t="s">
        <v>163</v>
      </c>
      <c r="E79" s="1918"/>
      <c r="F79" s="1919"/>
      <c r="G79" s="1919"/>
      <c r="H79" s="548"/>
      <c r="I79" s="2281"/>
      <c r="J79" s="2132"/>
      <c r="K79" s="2132"/>
      <c r="L79" s="2132"/>
      <c r="M79" s="2132"/>
      <c r="N79" s="2132"/>
      <c r="O79" s="2132"/>
      <c r="P79" s="2132"/>
      <c r="Q79" s="2132"/>
      <c r="R79" s="2132"/>
      <c r="S79" s="2132"/>
      <c r="T79" s="2132"/>
      <c r="U79" s="2132"/>
      <c r="V79" s="2132"/>
      <c r="W79" s="2132"/>
      <c r="X79" s="2132"/>
      <c r="Y79" s="2132"/>
      <c r="Z79" s="2132"/>
      <c r="AA79" s="1435"/>
      <c r="AB79" s="1435"/>
      <c r="AC79" s="1435"/>
      <c r="AD79" s="1435"/>
      <c r="AE79" s="1435"/>
      <c r="AF79" s="1435"/>
      <c r="AG79" s="1435"/>
      <c r="AH79" s="1435"/>
      <c r="AI79" s="1435"/>
    </row>
    <row r="80" spans="1:35" s="1265" customFormat="1" ht="24">
      <c r="A80" s="1797" t="s">
        <v>1896</v>
      </c>
      <c r="B80" s="536" t="s">
        <v>328</v>
      </c>
      <c r="C80" s="559">
        <f ca="1">IF(C79&lt;=0,0,C79/C73)</f>
        <v>165.06299212598427</v>
      </c>
      <c r="D80" s="532" t="s">
        <v>163</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8"/>
      <c r="I80" s="2281"/>
      <c r="J80" s="2132"/>
      <c r="K80" s="2132"/>
      <c r="L80" s="2132"/>
      <c r="M80" s="2132"/>
      <c r="N80" s="2132"/>
      <c r="O80" s="2132"/>
      <c r="P80" s="2132"/>
      <c r="Q80" s="2132"/>
      <c r="R80" s="2132"/>
      <c r="S80" s="2132"/>
      <c r="T80" s="2132"/>
      <c r="U80" s="2132"/>
      <c r="V80" s="2132"/>
      <c r="W80" s="2132"/>
      <c r="X80" s="2132"/>
      <c r="Y80" s="2132"/>
      <c r="Z80" s="2132"/>
      <c r="AA80" s="1435"/>
      <c r="AB80" s="1435"/>
      <c r="AC80" s="1435"/>
      <c r="AD80" s="1435"/>
      <c r="AE80" s="1435"/>
      <c r="AF80" s="1435"/>
      <c r="AG80" s="1435"/>
      <c r="AH80" s="1435"/>
      <c r="AI80" s="1435"/>
    </row>
    <row r="81" spans="1:35" s="1265" customFormat="1" ht="24.75" thickBot="1">
      <c r="A81" s="1798" t="s">
        <v>1897</v>
      </c>
      <c r="B81" s="541" t="s">
        <v>329</v>
      </c>
      <c r="C81" s="560">
        <f ca="1">ROUND(IF(C79&lt;=0,0,IF(C80&gt;=200%,C79*60%-C73*35%,IF(C80&gt;=100%,C79*50%-C73*15%,IF(C80&gt;=50%,C79*40%-C73*5%,IF(C80&lt;50%,C79*30%,0))))),0)</f>
        <v>12533</v>
      </c>
      <c r="D81" s="561" t="s">
        <v>163</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1"/>
      <c r="J81" s="2132"/>
      <c r="K81" s="2132"/>
      <c r="L81" s="2132"/>
      <c r="M81" s="2132"/>
      <c r="N81" s="2132"/>
      <c r="O81" s="2132"/>
      <c r="P81" s="2132"/>
      <c r="Q81" s="2132"/>
      <c r="R81" s="2132"/>
      <c r="S81" s="2132"/>
      <c r="T81" s="2132"/>
      <c r="U81" s="2132"/>
      <c r="V81" s="2132"/>
      <c r="W81" s="2132"/>
      <c r="X81" s="2132"/>
      <c r="Y81" s="2132"/>
      <c r="Z81" s="2132"/>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3"/>
      <c r="J82" s="2132"/>
      <c r="K82" s="2132"/>
      <c r="L82" s="2132"/>
      <c r="M82" s="2132"/>
      <c r="N82" s="2132"/>
      <c r="O82" s="2132"/>
      <c r="P82" s="2132"/>
      <c r="Q82" s="2132"/>
      <c r="R82" s="2132"/>
      <c r="S82" s="2132"/>
      <c r="T82" s="2132"/>
      <c r="U82" s="2132"/>
      <c r="V82" s="2132"/>
      <c r="W82" s="2132"/>
      <c r="X82" s="2132"/>
      <c r="Y82" s="2132"/>
      <c r="Z82" s="2132"/>
      <c r="AA82" s="1435"/>
      <c r="AB82" s="1435"/>
      <c r="AC82" s="1435"/>
      <c r="AD82" s="1435"/>
      <c r="AE82" s="1435"/>
      <c r="AF82" s="1435"/>
      <c r="AG82" s="1435"/>
      <c r="AH82" s="1435"/>
      <c r="AI82" s="1435"/>
    </row>
    <row r="83" spans="1:35" s="1265" customFormat="1" ht="14.25" thickBot="1">
      <c r="A83" s="3520" t="s">
        <v>330</v>
      </c>
      <c r="B83" s="3521"/>
      <c r="C83" s="3521"/>
      <c r="D83" s="3521"/>
      <c r="E83" s="3521"/>
      <c r="F83" s="3521"/>
      <c r="G83" s="3521"/>
      <c r="H83" s="3521"/>
      <c r="I83" s="2282"/>
      <c r="J83" s="2132"/>
      <c r="K83" s="2132"/>
      <c r="L83" s="2132"/>
      <c r="M83" s="2132"/>
      <c r="N83" s="2132"/>
      <c r="O83" s="2132"/>
      <c r="P83" s="2132"/>
      <c r="Q83" s="2132"/>
      <c r="R83" s="2132"/>
      <c r="S83" s="2132"/>
      <c r="T83" s="2132"/>
      <c r="U83" s="2132"/>
      <c r="V83" s="2132"/>
      <c r="W83" s="2132"/>
      <c r="X83" s="2132"/>
      <c r="Y83" s="2132"/>
      <c r="Z83" s="2132"/>
      <c r="AA83" s="1435"/>
      <c r="AB83" s="1435"/>
      <c r="AC83" s="1435"/>
      <c r="AD83" s="1435"/>
      <c r="AE83" s="1435"/>
      <c r="AF83" s="1435"/>
      <c r="AG83" s="1435"/>
      <c r="AH83" s="1435"/>
      <c r="AI83" s="1435"/>
    </row>
    <row r="84" spans="1:35" s="1265" customFormat="1" ht="13.5">
      <c r="A84" s="3510" t="s">
        <v>308</v>
      </c>
      <c r="B84" s="3511"/>
      <c r="C84" s="1915"/>
      <c r="D84" s="1915" t="s">
        <v>316</v>
      </c>
      <c r="E84" s="545" t="s">
        <v>317</v>
      </c>
      <c r="F84" s="546"/>
      <c r="G84" s="546"/>
      <c r="H84" s="565"/>
      <c r="I84" s="2282"/>
      <c r="J84" s="2132"/>
      <c r="K84" s="2132"/>
      <c r="L84" s="2132"/>
      <c r="M84" s="2132"/>
      <c r="N84" s="2132"/>
      <c r="O84" s="2132"/>
      <c r="P84" s="2132"/>
      <c r="Q84" s="2132"/>
      <c r="R84" s="2132"/>
      <c r="S84" s="2132"/>
      <c r="T84" s="2132"/>
      <c r="U84" s="2132"/>
      <c r="V84" s="2132"/>
      <c r="W84" s="2132"/>
      <c r="X84" s="2132"/>
      <c r="Y84" s="2132"/>
      <c r="Z84" s="2132"/>
      <c r="AA84" s="1435"/>
      <c r="AB84" s="1435"/>
      <c r="AC84" s="1435"/>
      <c r="AD84" s="1435"/>
      <c r="AE84" s="1435"/>
      <c r="AF84" s="1435"/>
      <c r="AG84" s="1435"/>
      <c r="AH84" s="1435"/>
      <c r="AI84" s="1435"/>
    </row>
    <row r="85" spans="1:35" s="1265" customFormat="1" ht="13.5">
      <c r="A85" s="535" t="s">
        <v>1889</v>
      </c>
      <c r="B85" s="536" t="s">
        <v>318</v>
      </c>
      <c r="C85" s="539">
        <f ca="1">ROUND(D45/(1+'数据-取费表'!C42),0)</f>
        <v>21090</v>
      </c>
      <c r="D85" s="532" t="s">
        <v>163</v>
      </c>
      <c r="E85" s="1918"/>
      <c r="F85" s="1919"/>
      <c r="G85" s="1919"/>
      <c r="H85" s="566"/>
      <c r="I85" s="2282"/>
      <c r="J85" s="2132"/>
      <c r="K85" s="2132"/>
      <c r="L85" s="2132"/>
      <c r="M85" s="2132"/>
      <c r="N85" s="2132"/>
      <c r="O85" s="2132"/>
      <c r="P85" s="2132"/>
      <c r="Q85" s="2132"/>
      <c r="R85" s="2132"/>
      <c r="S85" s="2132"/>
      <c r="T85" s="2132"/>
      <c r="U85" s="2132"/>
      <c r="V85" s="2132"/>
      <c r="W85" s="2132"/>
      <c r="X85" s="2132"/>
      <c r="Y85" s="2132"/>
      <c r="Z85" s="2132"/>
      <c r="AA85" s="1435"/>
      <c r="AB85" s="1435"/>
      <c r="AC85" s="1435"/>
      <c r="AD85" s="1435"/>
      <c r="AE85" s="1435"/>
      <c r="AF85" s="1435"/>
      <c r="AG85" s="1435"/>
      <c r="AH85" s="1435"/>
      <c r="AI85" s="1435"/>
    </row>
    <row r="86" spans="1:35" s="1265" customFormat="1" ht="13.5">
      <c r="A86" s="535" t="s">
        <v>1886</v>
      </c>
      <c r="B86" s="505" t="s">
        <v>319</v>
      </c>
      <c r="C86" s="539">
        <f ca="1">IF(H88="仅含出让金",C87+C90+C91+C92+C93+C94,C87+C91+C92+C93+C94)</f>
        <v>127</v>
      </c>
      <c r="D86" s="567"/>
      <c r="E86" s="1918"/>
      <c r="F86" s="1919"/>
      <c r="G86" s="1919"/>
      <c r="H86" s="566"/>
      <c r="I86" s="2282"/>
      <c r="J86" s="2132"/>
      <c r="K86" s="2132"/>
      <c r="L86" s="2132"/>
      <c r="M86" s="2132"/>
      <c r="N86" s="2132"/>
      <c r="O86" s="2132"/>
      <c r="P86" s="2132"/>
      <c r="Q86" s="2132"/>
      <c r="R86" s="2132"/>
      <c r="S86" s="2132"/>
      <c r="T86" s="2132"/>
      <c r="U86" s="2132"/>
      <c r="V86" s="2132"/>
      <c r="W86" s="2132"/>
      <c r="X86" s="2132"/>
      <c r="Y86" s="2132"/>
      <c r="Z86" s="2132"/>
      <c r="AA86" s="1435"/>
      <c r="AB86" s="1435"/>
      <c r="AC86" s="1435"/>
      <c r="AD86" s="1435"/>
      <c r="AE86" s="1435"/>
      <c r="AF86" s="1435"/>
      <c r="AG86" s="1435"/>
      <c r="AH86" s="1435"/>
      <c r="AI86" s="1435"/>
    </row>
    <row r="87" spans="1:35" s="1265" customFormat="1" ht="13.5">
      <c r="A87" s="549" t="s">
        <v>1890</v>
      </c>
      <c r="B87" s="530" t="s">
        <v>331</v>
      </c>
      <c r="C87" s="557">
        <f>C88+C89</f>
        <v>0</v>
      </c>
      <c r="D87" s="558"/>
      <c r="E87" s="1913"/>
      <c r="F87" s="1914"/>
      <c r="G87" s="1914"/>
      <c r="H87" s="1916"/>
      <c r="I87" s="2282"/>
      <c r="J87" s="2132"/>
      <c r="K87" s="2132"/>
      <c r="L87" s="2132"/>
      <c r="M87" s="2132"/>
      <c r="N87" s="2132"/>
      <c r="O87" s="2132"/>
      <c r="P87" s="2132"/>
      <c r="Q87" s="2132"/>
      <c r="R87" s="2132"/>
      <c r="S87" s="2132"/>
      <c r="T87" s="2132"/>
      <c r="U87" s="2132"/>
      <c r="V87" s="2132"/>
      <c r="W87" s="2132"/>
      <c r="X87" s="2132"/>
      <c r="Y87" s="2132"/>
      <c r="Z87" s="2132"/>
      <c r="AA87" s="1435"/>
      <c r="AB87" s="1435"/>
      <c r="AC87" s="1435"/>
      <c r="AD87" s="1435"/>
      <c r="AE87" s="1435"/>
      <c r="AF87" s="1435"/>
      <c r="AG87" s="1435"/>
      <c r="AH87" s="1435"/>
      <c r="AI87" s="1435"/>
    </row>
    <row r="88" spans="1:35" s="1265" customFormat="1" ht="13.5">
      <c r="A88" s="549" t="s">
        <v>1891</v>
      </c>
      <c r="B88" s="530" t="s">
        <v>332</v>
      </c>
      <c r="C88" s="568"/>
      <c r="D88" s="558"/>
      <c r="E88" s="569" t="s">
        <v>333</v>
      </c>
      <c r="F88" s="1914"/>
      <c r="G88" s="570" t="s">
        <v>334</v>
      </c>
      <c r="H88" s="1429"/>
      <c r="I88" s="2282"/>
      <c r="J88" s="2132"/>
      <c r="K88" s="2132"/>
      <c r="L88" s="2132"/>
      <c r="M88" s="2132"/>
      <c r="N88" s="2132"/>
      <c r="O88" s="2132"/>
      <c r="P88" s="2132"/>
      <c r="Q88" s="2132"/>
      <c r="R88" s="2132"/>
      <c r="S88" s="2132"/>
      <c r="T88" s="2132"/>
      <c r="U88" s="2132"/>
      <c r="V88" s="2132"/>
      <c r="W88" s="2132"/>
      <c r="X88" s="2132"/>
      <c r="Y88" s="2132"/>
      <c r="Z88" s="2132"/>
      <c r="AA88" s="1435"/>
      <c r="AB88" s="1435"/>
      <c r="AC88" s="1435"/>
      <c r="AD88" s="1435"/>
      <c r="AE88" s="1435"/>
      <c r="AF88" s="1435"/>
      <c r="AG88" s="1435"/>
      <c r="AH88" s="1435"/>
      <c r="AI88" s="1435"/>
    </row>
    <row r="89" spans="1:35" s="1265" customFormat="1" ht="13.5">
      <c r="A89" s="549" t="s">
        <v>1893</v>
      </c>
      <c r="B89" s="530" t="s">
        <v>325</v>
      </c>
      <c r="C89" s="557">
        <f>ROUND(C88*D89,0)</f>
        <v>0</v>
      </c>
      <c r="D89" s="558">
        <f>'数据-取费表'!B48+'数据-取费表'!B49</f>
        <v>3.0499999999999999E-2</v>
      </c>
      <c r="E89" s="569" t="s">
        <v>335</v>
      </c>
      <c r="F89" s="1914"/>
      <c r="G89" s="1914"/>
      <c r="H89" s="1916"/>
      <c r="I89" s="2282"/>
      <c r="J89" s="2132"/>
      <c r="K89" s="2132"/>
      <c r="L89" s="2132"/>
      <c r="M89" s="2132"/>
      <c r="N89" s="2132"/>
      <c r="O89" s="2132"/>
      <c r="P89" s="2132"/>
      <c r="Q89" s="2132"/>
      <c r="R89" s="2132"/>
      <c r="S89" s="2132"/>
      <c r="T89" s="2132"/>
      <c r="U89" s="2132"/>
      <c r="V89" s="2132"/>
      <c r="W89" s="2132"/>
      <c r="X89" s="2132"/>
      <c r="Y89" s="2132"/>
      <c r="Z89" s="2132"/>
      <c r="AA89" s="1435"/>
      <c r="AB89" s="1435"/>
      <c r="AC89" s="1435"/>
      <c r="AD89" s="1435"/>
      <c r="AE89" s="1435"/>
      <c r="AF89" s="1435"/>
      <c r="AG89" s="1435"/>
      <c r="AH89" s="1435"/>
      <c r="AI89" s="1435"/>
    </row>
    <row r="90" spans="1:35" s="1265" customFormat="1" ht="13.5">
      <c r="A90" s="549" t="s">
        <v>1892</v>
      </c>
      <c r="B90" s="530" t="s">
        <v>336</v>
      </c>
      <c r="C90" s="568"/>
      <c r="D90" s="558"/>
      <c r="E90" s="569" t="str">
        <f>IF(H88="-","土地取得成本中已包含该笔费用"," ")</f>
        <v xml:space="preserve"> </v>
      </c>
      <c r="F90" s="1914"/>
      <c r="G90" s="1914"/>
      <c r="H90" s="1916"/>
      <c r="I90" s="2282"/>
      <c r="J90" s="2132"/>
      <c r="K90" s="2132"/>
      <c r="L90" s="2132"/>
      <c r="M90" s="2132"/>
      <c r="N90" s="2132"/>
      <c r="O90" s="2132"/>
      <c r="P90" s="2132"/>
      <c r="Q90" s="2132"/>
      <c r="R90" s="2132"/>
      <c r="S90" s="2132"/>
      <c r="T90" s="2132"/>
      <c r="U90" s="2132"/>
      <c r="V90" s="2132"/>
      <c r="W90" s="2132"/>
      <c r="X90" s="2132"/>
      <c r="Y90" s="2132"/>
      <c r="Z90" s="2132"/>
      <c r="AA90" s="1435"/>
      <c r="AB90" s="1435"/>
      <c r="AC90" s="1435"/>
      <c r="AD90" s="1435"/>
      <c r="AE90" s="1435"/>
      <c r="AF90" s="1435"/>
      <c r="AG90" s="1435"/>
      <c r="AH90" s="1435"/>
      <c r="AI90" s="1435"/>
    </row>
    <row r="91" spans="1:35" s="1265" customFormat="1" ht="27.75" customHeight="1">
      <c r="A91" s="1799" t="s">
        <v>1898</v>
      </c>
      <c r="B91" s="530" t="s">
        <v>337</v>
      </c>
      <c r="C91" s="557">
        <f>IF(H91="——",成本法!C33,I91)</f>
        <v>0</v>
      </c>
      <c r="D91" s="558"/>
      <c r="E91" s="3507" t="s">
        <v>793</v>
      </c>
      <c r="F91" s="3508"/>
      <c r="G91" s="3508"/>
      <c r="H91" s="1430" t="s">
        <v>2312</v>
      </c>
      <c r="I91" s="2179"/>
      <c r="J91" s="2132"/>
      <c r="K91" s="2132"/>
      <c r="L91" s="2132"/>
      <c r="M91" s="2132"/>
      <c r="N91" s="2132"/>
      <c r="O91" s="2132"/>
      <c r="P91" s="2132"/>
      <c r="Q91" s="2132"/>
      <c r="R91" s="2132"/>
      <c r="S91" s="2132"/>
      <c r="T91" s="2132"/>
      <c r="U91" s="2132"/>
      <c r="V91" s="2132"/>
      <c r="W91" s="2132"/>
      <c r="X91" s="2132"/>
      <c r="Y91" s="2132"/>
      <c r="Z91" s="2132"/>
      <c r="AA91" s="1435"/>
      <c r="AB91" s="1435"/>
      <c r="AC91" s="1435"/>
      <c r="AD91" s="1435"/>
      <c r="AE91" s="1435"/>
      <c r="AF91" s="1435"/>
      <c r="AG91" s="1435"/>
      <c r="AH91" s="1435"/>
      <c r="AI91" s="1435"/>
    </row>
    <row r="92" spans="1:35" s="1265" customFormat="1" ht="25.5" customHeight="1">
      <c r="A92" s="1799" t="s">
        <v>1899</v>
      </c>
      <c r="B92" s="530" t="s">
        <v>338</v>
      </c>
      <c r="C92" s="557">
        <f>ROUND((C87+C90+C91)*D92,0)</f>
        <v>0</v>
      </c>
      <c r="D92" s="558">
        <v>0.1</v>
      </c>
      <c r="E92" s="3507" t="s">
        <v>339</v>
      </c>
      <c r="F92" s="3508"/>
      <c r="G92" s="3508"/>
      <c r="H92" s="3509"/>
      <c r="I92" s="2282"/>
      <c r="J92" s="2132"/>
      <c r="K92" s="2132"/>
      <c r="L92" s="2132"/>
      <c r="M92" s="2132"/>
      <c r="N92" s="2132"/>
      <c r="O92" s="2132"/>
      <c r="P92" s="2132"/>
      <c r="Q92" s="2132"/>
      <c r="R92" s="2132"/>
      <c r="S92" s="2132"/>
      <c r="T92" s="2132"/>
      <c r="U92" s="2132"/>
      <c r="V92" s="2132"/>
      <c r="W92" s="2132"/>
      <c r="X92" s="2132"/>
      <c r="Y92" s="2132"/>
      <c r="Z92" s="2132"/>
      <c r="AA92" s="1435"/>
      <c r="AB92" s="1435"/>
      <c r="AC92" s="1435"/>
      <c r="AD92" s="1435"/>
      <c r="AE92" s="1435"/>
      <c r="AF92" s="1435"/>
      <c r="AG92" s="1435"/>
      <c r="AH92" s="1435"/>
      <c r="AI92" s="1435"/>
    </row>
    <row r="93" spans="1:35" s="1265" customFormat="1" ht="25.5" customHeight="1">
      <c r="A93" s="1799" t="s">
        <v>1900</v>
      </c>
      <c r="B93" s="530" t="s">
        <v>326</v>
      </c>
      <c r="C93" s="557">
        <f ca="1">ROUND(D45*D93/(1+'数据-取费表'!C42),0)</f>
        <v>127</v>
      </c>
      <c r="D93" s="558">
        <f>'数据-取费表'!B43</f>
        <v>6.000000000000001E-3</v>
      </c>
      <c r="E93" s="3512" t="s">
        <v>2503</v>
      </c>
      <c r="F93" s="3508"/>
      <c r="G93" s="3508"/>
      <c r="H93" s="3509"/>
      <c r="I93" s="2282"/>
      <c r="J93" s="2132"/>
      <c r="K93" s="2132"/>
      <c r="L93" s="2132"/>
      <c r="M93" s="2132"/>
      <c r="N93" s="2132"/>
      <c r="O93" s="2132"/>
      <c r="P93" s="2132"/>
      <c r="Q93" s="2132"/>
      <c r="R93" s="2132"/>
      <c r="S93" s="2132"/>
      <c r="T93" s="2132"/>
      <c r="U93" s="2132"/>
      <c r="V93" s="2132"/>
      <c r="W93" s="2132"/>
      <c r="X93" s="2132"/>
      <c r="Y93" s="2132"/>
      <c r="Z93" s="2132"/>
      <c r="AA93" s="1435"/>
      <c r="AB93" s="1435"/>
      <c r="AC93" s="1435"/>
      <c r="AD93" s="1435"/>
      <c r="AE93" s="1435"/>
      <c r="AF93" s="1435"/>
      <c r="AG93" s="1435"/>
      <c r="AH93" s="1435"/>
      <c r="AI93" s="1435"/>
    </row>
    <row r="94" spans="1:35" s="1265" customFormat="1" ht="36.75" customHeight="1">
      <c r="A94" s="1799" t="s">
        <v>1901</v>
      </c>
      <c r="B94" s="530" t="s">
        <v>340</v>
      </c>
      <c r="C94" s="568">
        <f>ROUND((C87+C90+C91)*D94,0)</f>
        <v>0</v>
      </c>
      <c r="D94" s="558">
        <v>0.2</v>
      </c>
      <c r="E94" s="3560" t="s">
        <v>3052</v>
      </c>
      <c r="F94" s="3561"/>
      <c r="G94" s="3561"/>
      <c r="H94" s="3562"/>
      <c r="I94" s="2282"/>
      <c r="J94" s="2132"/>
      <c r="K94" s="2132"/>
      <c r="L94" s="2132"/>
      <c r="M94" s="2132"/>
      <c r="N94" s="2132"/>
      <c r="O94" s="2132"/>
      <c r="P94" s="2132"/>
      <c r="Q94" s="2132"/>
      <c r="R94" s="2132"/>
      <c r="S94" s="2132"/>
      <c r="T94" s="2132"/>
      <c r="U94" s="2132"/>
      <c r="V94" s="2132"/>
      <c r="W94" s="2132"/>
      <c r="X94" s="2132"/>
      <c r="Y94" s="2132"/>
      <c r="Z94" s="2132"/>
      <c r="AA94" s="1435"/>
      <c r="AB94" s="1435"/>
      <c r="AC94" s="1435"/>
      <c r="AD94" s="1435"/>
      <c r="AE94" s="1435"/>
      <c r="AF94" s="1435"/>
      <c r="AG94" s="1435"/>
      <c r="AH94" s="1435"/>
      <c r="AI94" s="1435"/>
    </row>
    <row r="95" spans="1:35" s="1265" customFormat="1" ht="13.5">
      <c r="A95" s="1797" t="s">
        <v>1895</v>
      </c>
      <c r="B95" s="536" t="s">
        <v>327</v>
      </c>
      <c r="C95" s="539">
        <f ca="1">ROUND(C85-C86,0)</f>
        <v>20963</v>
      </c>
      <c r="D95" s="532" t="s">
        <v>163</v>
      </c>
      <c r="E95" s="1918"/>
      <c r="F95" s="1919"/>
      <c r="G95" s="1919"/>
      <c r="H95" s="566"/>
      <c r="I95" s="2282"/>
      <c r="J95" s="2132"/>
      <c r="K95" s="2132"/>
      <c r="L95" s="2132"/>
      <c r="M95" s="2132"/>
      <c r="N95" s="2132"/>
      <c r="O95" s="2132"/>
      <c r="P95" s="2132"/>
      <c r="Q95" s="2132"/>
      <c r="R95" s="2132"/>
      <c r="S95" s="2132"/>
      <c r="T95" s="2132"/>
      <c r="U95" s="2132"/>
      <c r="V95" s="2132"/>
      <c r="W95" s="2132"/>
      <c r="X95" s="2132"/>
      <c r="Y95" s="2132"/>
      <c r="Z95" s="2132"/>
      <c r="AA95" s="1435"/>
      <c r="AB95" s="1435"/>
      <c r="AC95" s="1435"/>
      <c r="AD95" s="1435"/>
      <c r="AE95" s="1435"/>
      <c r="AF95" s="1435"/>
      <c r="AG95" s="1435"/>
      <c r="AH95" s="1435"/>
      <c r="AI95" s="1435"/>
    </row>
    <row r="96" spans="1:35" s="1265" customFormat="1" ht="24">
      <c r="A96" s="1797" t="s">
        <v>1896</v>
      </c>
      <c r="B96" s="536" t="s">
        <v>328</v>
      </c>
      <c r="C96" s="559">
        <f ca="1">IF(C95&lt;=0,0,C95/C86)</f>
        <v>165.06299212598427</v>
      </c>
      <c r="D96" s="532" t="s">
        <v>163</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6"/>
      <c r="I96" s="2282"/>
      <c r="J96" s="2132"/>
      <c r="K96" s="2132"/>
      <c r="L96" s="2132"/>
      <c r="M96" s="2132"/>
      <c r="N96" s="2132"/>
      <c r="O96" s="2132"/>
      <c r="P96" s="2132"/>
      <c r="Q96" s="2132"/>
      <c r="R96" s="2132"/>
      <c r="S96" s="2132"/>
      <c r="T96" s="2132"/>
      <c r="U96" s="2132"/>
      <c r="V96" s="2132"/>
      <c r="W96" s="2132"/>
      <c r="X96" s="2132"/>
      <c r="Y96" s="2132"/>
      <c r="Z96" s="2132"/>
      <c r="AA96" s="1435"/>
      <c r="AB96" s="1435"/>
      <c r="AC96" s="1435"/>
      <c r="AD96" s="1435"/>
      <c r="AE96" s="1435"/>
      <c r="AF96" s="1435"/>
      <c r="AG96" s="1435"/>
      <c r="AH96" s="1435"/>
      <c r="AI96" s="1435"/>
    </row>
    <row r="97" spans="1:35" s="1265" customFormat="1" ht="24.75" thickBot="1">
      <c r="A97" s="1798" t="s">
        <v>1897</v>
      </c>
      <c r="B97" s="541" t="s">
        <v>329</v>
      </c>
      <c r="C97" s="560">
        <f ca="1">ROUND(IF(C95&lt;=0,0,IF(C96&gt;=200%,C95*60%-C86*35%,IF(C96&gt;=100%,C95*50%-C86*15%,IF(C96&gt;=50%,C95*40%-C86*5%,IF(C96&lt;50%,C95*30%,0))))),0)</f>
        <v>12533</v>
      </c>
      <c r="D97" s="561" t="s">
        <v>163</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2"/>
      <c r="J97" s="2132"/>
      <c r="K97" s="2132"/>
      <c r="L97" s="2132"/>
      <c r="M97" s="2132"/>
      <c r="N97" s="2132"/>
      <c r="O97" s="2132"/>
      <c r="P97" s="2132"/>
      <c r="Q97" s="2132"/>
      <c r="R97" s="2132"/>
      <c r="S97" s="2132"/>
      <c r="T97" s="2132"/>
      <c r="U97" s="2132"/>
      <c r="V97" s="2132"/>
      <c r="W97" s="2132"/>
      <c r="X97" s="2132"/>
      <c r="Y97" s="2132"/>
      <c r="Z97" s="2132"/>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4"/>
    </row>
    <row r="99" spans="1:35" ht="21.75" customHeight="1" thickBot="1">
      <c r="A99" s="1252" t="s">
        <v>225</v>
      </c>
      <c r="B99" s="1243"/>
      <c r="C99" s="1243"/>
      <c r="D99" s="1243"/>
      <c r="E99" s="229"/>
      <c r="F99" s="229"/>
      <c r="G99" s="229"/>
      <c r="H99" s="241"/>
      <c r="I99" s="2274"/>
    </row>
    <row r="100" spans="1:35" ht="18.75" customHeight="1">
      <c r="A100" s="3455" t="s">
        <v>226</v>
      </c>
      <c r="B100" s="3456"/>
      <c r="C100" s="3456"/>
      <c r="D100" s="3490"/>
      <c r="E100" s="3456" t="s">
        <v>2903</v>
      </c>
      <c r="F100" s="3456"/>
      <c r="G100" s="3456"/>
      <c r="H100" s="3490"/>
      <c r="I100" s="2274"/>
    </row>
    <row r="101" spans="1:35" ht="18.75" customHeight="1">
      <c r="A101" s="3498" t="s">
        <v>204</v>
      </c>
      <c r="B101" s="3499"/>
      <c r="C101" s="1266" t="str">
        <f>C4</f>
        <v>比较法-商业</v>
      </c>
      <c r="D101" s="1267" t="str">
        <f>D4</f>
        <v>收益法（1层商业）</v>
      </c>
      <c r="E101" s="3467" t="s">
        <v>1903</v>
      </c>
      <c r="F101" s="3468"/>
      <c r="G101" s="1268" t="s">
        <v>206</v>
      </c>
      <c r="H101" s="1983">
        <f ca="1">H118</f>
        <v>22145</v>
      </c>
      <c r="I101" s="2274"/>
    </row>
    <row r="102" spans="1:35" ht="18.75" customHeight="1">
      <c r="A102" s="3500" t="s">
        <v>205</v>
      </c>
      <c r="B102" s="1268" t="s">
        <v>206</v>
      </c>
      <c r="C102" s="1235">
        <f ca="1">C19</f>
        <v>22313</v>
      </c>
      <c r="D102" s="1236">
        <f ca="1">D19</f>
        <v>21976</v>
      </c>
      <c r="E102" s="3467"/>
      <c r="F102" s="3468"/>
      <c r="G102" s="1268" t="s">
        <v>207</v>
      </c>
      <c r="H102" s="711">
        <f ca="1">I118</f>
        <v>50468</v>
      </c>
      <c r="I102" s="2274"/>
    </row>
    <row r="103" spans="1:35" ht="42.75" customHeight="1">
      <c r="A103" s="3500"/>
      <c r="B103" s="1268" t="s">
        <v>207</v>
      </c>
      <c r="C103" s="1237">
        <f ca="1">C20</f>
        <v>50851</v>
      </c>
      <c r="D103" s="1238">
        <f ca="1">D20</f>
        <v>50083</v>
      </c>
      <c r="E103" s="3461" t="s">
        <v>3013</v>
      </c>
      <c r="F103" s="3462"/>
      <c r="G103" s="1269" t="s">
        <v>209</v>
      </c>
      <c r="H103" s="1983">
        <f>IF(D36="正常操作",H104+H105+H106,H105+H106)</f>
        <v>0</v>
      </c>
      <c r="I103" s="2274"/>
    </row>
    <row r="104" spans="1:35" ht="18.75" customHeight="1">
      <c r="A104" s="3500" t="s">
        <v>208</v>
      </c>
      <c r="B104" s="1270" t="s">
        <v>206</v>
      </c>
      <c r="C104" s="1239">
        <f ca="1">H118</f>
        <v>22145</v>
      </c>
      <c r="D104" s="1240"/>
      <c r="E104" s="13" t="s">
        <v>1902</v>
      </c>
      <c r="F104" s="6"/>
      <c r="G104" s="1269" t="s">
        <v>209</v>
      </c>
      <c r="H104" s="1984">
        <f>IF(D36="同一抵押权人同一抵押物续贷",C36&amp;"（未扣减，详见特别提示）",C36)</f>
        <v>0</v>
      </c>
      <c r="I104" s="2274"/>
    </row>
    <row r="105" spans="1:35" ht="18.75" customHeight="1" thickBot="1">
      <c r="A105" s="3514"/>
      <c r="B105" s="1271" t="s">
        <v>207</v>
      </c>
      <c r="C105" s="1241">
        <f ca="1">I118</f>
        <v>50468</v>
      </c>
      <c r="D105" s="1242"/>
      <c r="E105" s="13" t="s">
        <v>1904</v>
      </c>
      <c r="F105" s="6"/>
      <c r="G105" s="1269" t="s">
        <v>209</v>
      </c>
      <c r="H105" s="1984">
        <f>C37</f>
        <v>0</v>
      </c>
      <c r="I105" s="2274"/>
    </row>
    <row r="106" spans="1:35" ht="18.75" customHeight="1">
      <c r="A106" s="1243" t="s">
        <v>2000</v>
      </c>
      <c r="B106" s="1243"/>
      <c r="C106" s="1243"/>
      <c r="D106" s="1243"/>
      <c r="E106" s="467" t="s">
        <v>1905</v>
      </c>
      <c r="F106" s="6"/>
      <c r="G106" s="1269" t="s">
        <v>209</v>
      </c>
      <c r="H106" s="1984">
        <f>C38</f>
        <v>0</v>
      </c>
      <c r="I106" s="2274"/>
    </row>
    <row r="107" spans="1:35" ht="18.75" customHeight="1">
      <c r="A107" s="2274"/>
      <c r="B107" s="2274"/>
      <c r="C107" s="2274"/>
      <c r="D107" s="2274"/>
      <c r="E107" s="3502" t="str">
        <f>IF(项目基本情况!E8="已注销","——","3.房地产抵押价值")</f>
        <v>3.房地产抵押价值</v>
      </c>
      <c r="F107" s="3468"/>
      <c r="G107" s="1268" t="s">
        <v>206</v>
      </c>
      <c r="H107" s="1983">
        <f ca="1">IF(E107="——","——",H101-H103)</f>
        <v>22145</v>
      </c>
      <c r="I107" s="2274"/>
    </row>
    <row r="108" spans="1:35" ht="18.75" customHeight="1">
      <c r="A108" s="2274"/>
      <c r="B108" s="2274"/>
      <c r="C108" s="2274"/>
      <c r="D108" s="2274"/>
      <c r="E108" s="3502"/>
      <c r="F108" s="3468"/>
      <c r="G108" s="1268" t="s">
        <v>207</v>
      </c>
      <c r="H108" s="711">
        <f ca="1">ROUND(H107*10000/'数据-汇总表'!E3,0)</f>
        <v>3307</v>
      </c>
      <c r="I108" s="2274"/>
    </row>
    <row r="109" spans="1:35" ht="18.75" customHeight="1">
      <c r="A109" s="2274"/>
      <c r="B109" s="2274"/>
      <c r="C109" s="2274"/>
      <c r="D109" s="2274"/>
      <c r="E109" s="3502" t="str">
        <f>IF(项目基本情况!E8="已注销及未注销","4.抵押担保权已注销时的房地产抵押价值",IF(项目基本情况!E8="已注销","3.抵押担保权已注销时的房地产抵押价值","——"))</f>
        <v>——</v>
      </c>
      <c r="F109" s="3468"/>
      <c r="G109" s="1268" t="s">
        <v>206</v>
      </c>
      <c r="H109" s="685" t="str">
        <f>IF(E109="——","——",H101-H105-H106)</f>
        <v>——</v>
      </c>
      <c r="I109" s="2274"/>
    </row>
    <row r="110" spans="1:35" ht="18.75" customHeight="1">
      <c r="A110" s="2274"/>
      <c r="B110" s="2274"/>
      <c r="C110" s="2274"/>
      <c r="D110" s="2274"/>
      <c r="E110" s="3502"/>
      <c r="F110" s="3468"/>
      <c r="G110" s="1268" t="s">
        <v>207</v>
      </c>
      <c r="H110" s="711" t="str">
        <f>IF(H109="——","——",ROUND(H109*10000/'数据-汇总表'!E3,0))</f>
        <v>——</v>
      </c>
      <c r="I110" s="2274"/>
    </row>
    <row r="111" spans="1:35" ht="18.75" customHeight="1">
      <c r="A111" s="2274"/>
      <c r="B111" s="2274"/>
      <c r="C111" s="2274"/>
      <c r="D111" s="2274"/>
      <c r="E111" s="3503" t="str">
        <f>IF(项目基本情况!E9="抵押净值",IF(OR(项目基本情况!E8="已注销",项目基本情况!E8="房地产抵押价值"),"4.抵押净值","5.抵押净值"),"——")</f>
        <v>——</v>
      </c>
      <c r="F111" s="3504"/>
      <c r="G111" s="1268" t="s">
        <v>206</v>
      </c>
      <c r="H111" s="1983" t="str">
        <f>IF(E111="——","——",N59)</f>
        <v>——</v>
      </c>
      <c r="I111" s="2274"/>
    </row>
    <row r="112" spans="1:35" ht="18.75" customHeight="1" thickBot="1">
      <c r="A112" s="2274"/>
      <c r="B112" s="2274"/>
      <c r="C112" s="2274"/>
      <c r="D112" s="2274"/>
      <c r="E112" s="3505"/>
      <c r="F112" s="3506"/>
      <c r="G112" s="1272" t="s">
        <v>207</v>
      </c>
      <c r="H112" s="1423" t="str">
        <f>IF(E111="——","——",N61)</f>
        <v>——</v>
      </c>
      <c r="I112" s="2274"/>
    </row>
    <row r="113" spans="1:11" ht="18.75" customHeight="1">
      <c r="A113" s="2274"/>
      <c r="B113" s="2274"/>
      <c r="C113" s="2274"/>
      <c r="D113" s="2274"/>
      <c r="E113" s="3515" t="s">
        <v>2000</v>
      </c>
      <c r="F113" s="3515"/>
      <c r="G113" s="3515"/>
      <c r="H113" s="3515"/>
      <c r="I113" s="2274"/>
    </row>
    <row r="114" spans="1:11" ht="3.75" customHeight="1">
      <c r="A114" s="1243"/>
      <c r="B114" s="1243"/>
      <c r="C114" s="1243"/>
      <c r="D114" s="1243"/>
      <c r="E114" s="1258"/>
      <c r="F114" s="1258"/>
      <c r="G114" s="1258"/>
      <c r="H114" s="1258"/>
      <c r="I114" s="1243"/>
    </row>
    <row r="115" spans="1:11" ht="18.75" customHeight="1">
      <c r="A115" s="3528" t="s">
        <v>222</v>
      </c>
      <c r="B115" s="3529"/>
      <c r="C115" s="3529"/>
      <c r="D115" s="3529"/>
      <c r="E115" s="3529"/>
      <c r="F115" s="3529"/>
      <c r="G115" s="3529"/>
      <c r="H115" s="3529"/>
      <c r="I115" s="3530"/>
    </row>
    <row r="116" spans="1:11" ht="27" customHeight="1">
      <c r="A116" s="3435" t="s">
        <v>5</v>
      </c>
      <c r="B116" s="3477" t="s">
        <v>782</v>
      </c>
      <c r="C116" s="3477" t="s">
        <v>783</v>
      </c>
      <c r="D116" s="3486" t="s">
        <v>202</v>
      </c>
      <c r="E116" s="3487"/>
      <c r="F116" s="3524" t="s">
        <v>2380</v>
      </c>
      <c r="G116" s="3524"/>
      <c r="H116" s="3435" t="s">
        <v>6</v>
      </c>
      <c r="I116" s="3435"/>
    </row>
    <row r="117" spans="1:11" ht="18.75" customHeight="1">
      <c r="A117" s="3435"/>
      <c r="B117" s="3478"/>
      <c r="C117" s="3478"/>
      <c r="D117" s="1912" t="s">
        <v>7</v>
      </c>
      <c r="E117" s="1912" t="s">
        <v>784</v>
      </c>
      <c r="F117" s="1912" t="s">
        <v>7</v>
      </c>
      <c r="G117" s="1912" t="s">
        <v>8</v>
      </c>
      <c r="H117" s="1912" t="s">
        <v>7</v>
      </c>
      <c r="I117" s="1912" t="s">
        <v>8</v>
      </c>
    </row>
    <row r="118" spans="1:11" ht="24.75" customHeight="1">
      <c r="A118" s="2030" t="str">
        <f>项目基本情况!S2</f>
        <v>北京市丰台区汽车博物馆西路8号院1、2、3号楼房地产</v>
      </c>
      <c r="B118" s="1917">
        <f>M18</f>
        <v>4387.92</v>
      </c>
      <c r="C118" s="1917">
        <f>M19</f>
        <v>1048.05</v>
      </c>
      <c r="D118" s="1917">
        <f ca="1">ROUND(IF(D32="总价",C34,E118*B118/10000),0)</f>
        <v>18358</v>
      </c>
      <c r="E118" s="1917">
        <f ca="1">ROUND(IF(C33="自定义",IF(D32="楼面单价",C34,D118*10000/B118),I118-G118),0)</f>
        <v>41837</v>
      </c>
      <c r="F118" s="1917">
        <f ca="1">ROUND(IF(D32="总价",C35,G118*B118/10000),0)</f>
        <v>3787</v>
      </c>
      <c r="G118" s="1917">
        <f ca="1">ROUND(IF(D32="楼面单价",C35,F118*10000/B118),0)</f>
        <v>8631</v>
      </c>
      <c r="H118" s="1917">
        <f ca="1">ROUND(IF(D32="总价",C32,I118*B118/10000),0)</f>
        <v>22145</v>
      </c>
      <c r="I118" s="1917">
        <f ca="1">ROUND(IF(D32="楼面单价",C32,H118*10000/B118),0)</f>
        <v>50468</v>
      </c>
    </row>
    <row r="119" spans="1:11" ht="18.75" customHeight="1">
      <c r="A119" s="3435" t="s">
        <v>9</v>
      </c>
      <c r="B119" s="3435"/>
      <c r="C119" s="3435"/>
      <c r="D119" s="3479" t="str">
        <f ca="1">NUMBERSTRING(INT(D118*10000),2)&amp;"元整"</f>
        <v>壹亿捌仟叁佰伍拾捌万元整</v>
      </c>
      <c r="E119" s="3480"/>
      <c r="F119" s="3479" t="str">
        <f ca="1">NUMBERSTRING(INT(F118*10000),2)&amp;"元整"</f>
        <v>叁仟柒佰捌拾柒万元整</v>
      </c>
      <c r="G119" s="3480"/>
      <c r="H119" s="3479" t="str">
        <f ca="1">NUMBERSTRING(INT(H118*10000),2)&amp;"元整"</f>
        <v>贰亿贰仟壹佰肆拾伍万元整</v>
      </c>
      <c r="I119" s="3480"/>
    </row>
    <row r="120" spans="1:11" ht="18.75" customHeight="1">
      <c r="A120" s="3481" t="str">
        <f>MID(E103,3,LEN(E103)-2)</f>
        <v>估价师知悉的法定优先受偿款</v>
      </c>
      <c r="B120" s="3482"/>
      <c r="C120" s="3483"/>
      <c r="D120" s="3474">
        <f>H103</f>
        <v>0</v>
      </c>
      <c r="E120" s="3475"/>
      <c r="F120" s="3475"/>
      <c r="G120" s="3475"/>
      <c r="H120" s="3475"/>
      <c r="I120" s="3476"/>
      <c r="K120" s="1434" t="str">
        <f>IF(D120=0,"故，本次评估不存在"&amp;A120,"故，本次评估"&amp;A120&amp;"为人民币"&amp;D120&amp;"万元整。")</f>
        <v>故，本次评估不存在估价师知悉的法定优先受偿款</v>
      </c>
    </row>
    <row r="121" spans="1:11" ht="18.75" customHeight="1">
      <c r="A121" s="3525" t="s">
        <v>9</v>
      </c>
      <c r="B121" s="3526"/>
      <c r="C121" s="3527"/>
      <c r="D121" s="3479" t="str">
        <f>IF(D120=0,"零元整",NUMBERSTRING(INT(D120*10000),2)&amp;"元整")</f>
        <v>零元整</v>
      </c>
      <c r="E121" s="3484"/>
      <c r="F121" s="3484"/>
      <c r="G121" s="3484"/>
      <c r="H121" s="3484"/>
      <c r="I121" s="3480"/>
    </row>
    <row r="122" spans="1:11" ht="18.75" customHeight="1">
      <c r="A122" s="3488" t="str">
        <f>MID(E107,3,LEN(E107)-2)</f>
        <v>房地产抵押价值</v>
      </c>
      <c r="B122" s="3488"/>
      <c r="C122" s="3488"/>
      <c r="D122" s="3474">
        <f ca="1">H107</f>
        <v>22145</v>
      </c>
      <c r="E122" s="3475"/>
      <c r="F122" s="3475"/>
      <c r="G122" s="3475"/>
      <c r="H122" s="3475"/>
      <c r="I122" s="3476"/>
    </row>
    <row r="123" spans="1:11" ht="18.75" customHeight="1">
      <c r="A123" s="3435" t="s">
        <v>9</v>
      </c>
      <c r="B123" s="3435"/>
      <c r="C123" s="3435"/>
      <c r="D123" s="3479" t="str">
        <f ca="1">NUMBERSTRING(INT(D122*10000),2)&amp;"元整"</f>
        <v>贰亿贰仟壹佰肆拾伍万元整</v>
      </c>
      <c r="E123" s="3484"/>
      <c r="F123" s="3484"/>
      <c r="G123" s="3484"/>
      <c r="H123" s="3484"/>
      <c r="I123" s="3480"/>
    </row>
    <row r="124" spans="1:11" ht="18.75" customHeight="1">
      <c r="A124" s="3488" t="str">
        <f>MID(E109,3,LEN(E109)-2)</f>
        <v/>
      </c>
      <c r="B124" s="3488"/>
      <c r="C124" s="3488"/>
      <c r="D124" s="3474" t="str">
        <f>H109</f>
        <v>——</v>
      </c>
      <c r="E124" s="3475"/>
      <c r="F124" s="3475"/>
      <c r="G124" s="3475"/>
      <c r="H124" s="3475"/>
      <c r="I124" s="3476"/>
    </row>
    <row r="125" spans="1:11" ht="18.75" customHeight="1">
      <c r="A125" s="3435" t="s">
        <v>9</v>
      </c>
      <c r="B125" s="3435"/>
      <c r="C125" s="3435"/>
      <c r="D125" s="3479" t="e">
        <f>NUMBERSTRING(INT(D124*10000),2)&amp;"元整"</f>
        <v>#VALUE!</v>
      </c>
      <c r="E125" s="3484"/>
      <c r="F125" s="3484"/>
      <c r="G125" s="3484"/>
      <c r="H125" s="3484"/>
      <c r="I125" s="3480"/>
    </row>
    <row r="126" spans="1:11" ht="18.75" customHeight="1">
      <c r="A126" s="3488" t="str">
        <f>MID(E111,3,LEN(E111)-2)</f>
        <v/>
      </c>
      <c r="B126" s="3488"/>
      <c r="C126" s="3488"/>
      <c r="D126" s="3474" t="str">
        <f>H111</f>
        <v>——</v>
      </c>
      <c r="E126" s="3475"/>
      <c r="F126" s="3475"/>
      <c r="G126" s="3475"/>
      <c r="H126" s="3475"/>
      <c r="I126" s="3476"/>
    </row>
    <row r="127" spans="1:11" ht="18.75" customHeight="1">
      <c r="A127" s="3435" t="s">
        <v>9</v>
      </c>
      <c r="B127" s="3435"/>
      <c r="C127" s="3435"/>
      <c r="D127" s="3479" t="e">
        <f>NUMBERSTRING(INT(D126*10000),2)&amp;"元整"</f>
        <v>#VALUE!</v>
      </c>
      <c r="E127" s="3484"/>
      <c r="F127" s="3484"/>
      <c r="G127" s="3484"/>
      <c r="H127" s="3484"/>
      <c r="I127" s="3480"/>
    </row>
    <row r="128" spans="1:11" ht="21.75" customHeight="1">
      <c r="A128" s="3485" t="s">
        <v>1999</v>
      </c>
      <c r="B128" s="3485"/>
      <c r="C128" s="3485"/>
      <c r="D128" s="3485"/>
      <c r="E128" s="3485"/>
      <c r="F128" s="3485"/>
      <c r="G128" s="3485"/>
      <c r="H128" s="3485"/>
      <c r="I128" s="3485"/>
    </row>
    <row r="129" spans="1:35" ht="21.75" customHeight="1">
      <c r="A129" s="2025" t="s">
        <v>785</v>
      </c>
      <c r="B129" s="2026"/>
      <c r="C129" s="468" t="s">
        <v>146</v>
      </c>
      <c r="D129" s="2027"/>
      <c r="E129" s="2027"/>
      <c r="F129" s="2027"/>
      <c r="G129" s="2027"/>
      <c r="H129" s="2028"/>
      <c r="I129" s="2029"/>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786</v>
      </c>
      <c r="G135" s="1448"/>
      <c r="H135" s="1448"/>
      <c r="I135" s="1449" t="s">
        <v>787</v>
      </c>
    </row>
    <row r="136" spans="1:35" ht="21.75" customHeight="1">
      <c r="A136" s="1446"/>
      <c r="B136" s="1450" t="s">
        <v>788</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789</v>
      </c>
    </row>
    <row r="139" spans="1:35" ht="21.75" customHeight="1">
      <c r="A139" s="1446"/>
      <c r="B139" s="1450" t="s">
        <v>790</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789</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89" priority="21" stopIfTrue="1" operator="equal">
      <formula>25</formula>
    </cfRule>
  </conditionalFormatting>
  <conditionalFormatting sqref="C8:C9">
    <cfRule type="cellIs" dxfId="188" priority="19" stopIfTrue="1" operator="equal">
      <formula>15</formula>
    </cfRule>
  </conditionalFormatting>
  <conditionalFormatting sqref="C14:C16">
    <cfRule type="cellIs" dxfId="187" priority="13" stopIfTrue="1" operator="equal">
      <formula>30</formula>
    </cfRule>
  </conditionalFormatting>
  <conditionalFormatting sqref="D5:D7">
    <cfRule type="cellIs" dxfId="186" priority="10" stopIfTrue="1" operator="equal">
      <formula>25</formula>
    </cfRule>
  </conditionalFormatting>
  <conditionalFormatting sqref="D8:D9">
    <cfRule type="cellIs" dxfId="185" priority="9" stopIfTrue="1" operator="equal">
      <formula>15</formula>
    </cfRule>
  </conditionalFormatting>
  <conditionalFormatting sqref="C10:D13">
    <cfRule type="cellIs" dxfId="184" priority="8" stopIfTrue="1" operator="equal">
      <formula>15</formula>
    </cfRule>
  </conditionalFormatting>
  <conditionalFormatting sqref="D14:D16">
    <cfRule type="cellIs" dxfId="183" priority="6" stopIfTrue="1" operator="equal">
      <formula>30</formula>
    </cfRule>
  </conditionalFormatting>
  <conditionalFormatting sqref="C90">
    <cfRule type="expression" dxfId="182" priority="3" stopIfTrue="1">
      <formula>$H$88&lt;&gt;"仅含出让金"</formula>
    </cfRule>
  </conditionalFormatting>
  <conditionalFormatting sqref="C91">
    <cfRule type="expression" dxfId="181" priority="2" stopIfTrue="1">
      <formula>$H$91="由企业提供"</formula>
    </cfRule>
  </conditionalFormatting>
  <conditionalFormatting sqref="E36">
    <cfRule type="expression" dxfId="18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814</v>
      </c>
      <c r="B1" s="2749"/>
      <c r="C1" s="574"/>
      <c r="D1" s="574"/>
      <c r="E1" s="574"/>
      <c r="F1" s="574"/>
      <c r="G1" s="2750">
        <f>MATCH(B1,'数据-取费表'!A6:A16,0)+5</f>
        <v>9</v>
      </c>
    </row>
    <row r="2" spans="1:9" s="576" customFormat="1" ht="18" customHeight="1">
      <c r="A2" s="577" t="s">
        <v>442</v>
      </c>
      <c r="B2" s="578">
        <f ca="1">IF(D2="——",C52,C52-E2)</f>
        <v>31081</v>
      </c>
      <c r="C2" s="85" t="s">
        <v>864</v>
      </c>
      <c r="D2" s="2870" t="s">
        <v>526</v>
      </c>
      <c r="E2" s="2868" t="e">
        <f ca="1">SUMIF(INDIRECT("'"&amp;G2&amp;"'"&amp;"!A:A"),"承租人权益价值",INDIRECT("'"&amp;G2&amp;"'"&amp;"!c:c"))</f>
        <v>#REF!</v>
      </c>
      <c r="F2" s="2866" t="s">
        <v>864</v>
      </c>
      <c r="G2" s="2869"/>
    </row>
    <row r="3" spans="1:9" s="576" customFormat="1" ht="18" customHeight="1" thickBot="1">
      <c r="A3" s="579" t="s">
        <v>443</v>
      </c>
      <c r="B3" s="580">
        <f ca="1">ROUND(B2*10000/(IF(B1="",'数据-汇总表'!E3,INDIRECT("'数据-取费表'!k"&amp;$G$1))),0)</f>
        <v>4641</v>
      </c>
      <c r="C3" s="85" t="s">
        <v>865</v>
      </c>
      <c r="D3" s="575"/>
      <c r="E3" s="575"/>
      <c r="F3" s="575"/>
      <c r="G3" s="575"/>
    </row>
    <row r="4" spans="1:9" s="584" customFormat="1" ht="15.75">
      <c r="A4" s="581" t="s">
        <v>817</v>
      </c>
      <c r="B4" s="582"/>
      <c r="C4" s="582"/>
      <c r="D4" s="582"/>
      <c r="E4" s="582"/>
      <c r="F4" s="582"/>
      <c r="G4" s="583"/>
    </row>
    <row r="5" spans="1:9" s="590" customFormat="1" ht="13.5" customHeight="1">
      <c r="A5" s="631" t="s">
        <v>2504</v>
      </c>
      <c r="B5" s="586" t="s">
        <v>818</v>
      </c>
      <c r="C5" s="587">
        <f>C6+C7+C8</f>
        <v>0</v>
      </c>
      <c r="D5" s="587" t="s">
        <v>819</v>
      </c>
      <c r="E5" s="588" t="s">
        <v>820</v>
      </c>
      <c r="F5" s="588" t="s">
        <v>821</v>
      </c>
      <c r="G5" s="589"/>
    </row>
    <row r="6" spans="1:9" s="590" customFormat="1" ht="13.5" customHeight="1">
      <c r="A6" s="1801" t="s">
        <v>1915</v>
      </c>
      <c r="B6" s="591" t="s">
        <v>822</v>
      </c>
      <c r="C6" s="592"/>
      <c r="D6" s="593"/>
      <c r="E6" s="594"/>
      <c r="F6" s="594"/>
      <c r="G6" s="595"/>
    </row>
    <row r="7" spans="1:9" s="590" customFormat="1" ht="13.5" customHeight="1">
      <c r="A7" s="1801" t="s">
        <v>1916</v>
      </c>
      <c r="B7" s="591" t="s">
        <v>343</v>
      </c>
      <c r="C7" s="596">
        <f>ROUND(C6*F7,0)</f>
        <v>0</v>
      </c>
      <c r="D7" s="596"/>
      <c r="E7" s="594"/>
      <c r="F7" s="597">
        <f>'数据-取费表'!B48+'数据-取费表'!B49</f>
        <v>3.0499999999999999E-2</v>
      </c>
      <c r="G7" s="595"/>
    </row>
    <row r="8" spans="1:9" s="599" customFormat="1">
      <c r="A8" s="1801" t="s">
        <v>1917</v>
      </c>
      <c r="B8" s="591" t="s">
        <v>823</v>
      </c>
      <c r="C8" s="596">
        <f>IF(G8="已包含在土地购买价格中","0",IF(B1="",'数据-取费表'!B29,IF(G9="全部缴纳",C9+C10,H9)))</f>
        <v>0</v>
      </c>
      <c r="D8" s="598"/>
      <c r="E8" s="596"/>
      <c r="F8" s="597"/>
      <c r="G8" s="84"/>
    </row>
    <row r="9" spans="1:9" s="590" customFormat="1" ht="13.5" customHeight="1">
      <c r="A9" s="1802" t="s">
        <v>1924</v>
      </c>
      <c r="B9" s="600" t="s">
        <v>824</v>
      </c>
      <c r="C9" s="601">
        <f ca="1">ROUND(D9*E9/10000,0)</f>
        <v>0</v>
      </c>
      <c r="D9" s="1906">
        <f ca="1">IF(B1="",'数据-汇总表'!E5,IF(INDIRECT("'数据-取费表'!c"&amp;$G$1)="住宅",INDIRECT("'数据-取费表'!k"&amp;$G$1),0))</f>
        <v>0</v>
      </c>
      <c r="E9" s="601">
        <f>'数据-取费表'!B27</f>
        <v>0</v>
      </c>
      <c r="F9" s="597"/>
      <c r="G9" s="2800"/>
      <c r="H9" s="2801"/>
      <c r="I9" s="2802" t="s">
        <v>2686</v>
      </c>
    </row>
    <row r="10" spans="1:9" s="590" customFormat="1" ht="13.5" customHeight="1">
      <c r="A10" s="1802" t="s">
        <v>1925</v>
      </c>
      <c r="B10" s="600" t="s">
        <v>825</v>
      </c>
      <c r="C10" s="601">
        <f ca="1">ROUND(D10*E10/10000,0)</f>
        <v>1339</v>
      </c>
      <c r="D10" s="1906">
        <f ca="1">IF(B1="",'数据-汇总表'!E6,IF(INDIRECT("'数据-取费表'!c"&amp;$G$1)="住宅",INDIRECT("'数据-取费表'!s"&amp;$G$1),INDIRECT("'数据-取费表'!k"&amp;$G$1)+INDIRECT("'数据-取费表'!s"&amp;$G$1)))</f>
        <v>66965.320000000065</v>
      </c>
      <c r="E10" s="601">
        <f>'数据-取费表'!B28</f>
        <v>200</v>
      </c>
      <c r="F10" s="597"/>
      <c r="G10" s="602"/>
    </row>
    <row r="11" spans="1:9" s="590" customFormat="1" ht="13.5" hidden="1" customHeight="1">
      <c r="A11" s="603" t="s">
        <v>42</v>
      </c>
      <c r="B11" s="591" t="s">
        <v>826</v>
      </c>
      <c r="C11" s="587"/>
      <c r="D11" s="1908"/>
      <c r="E11" s="594"/>
      <c r="F11" s="594"/>
      <c r="G11" s="595"/>
    </row>
    <row r="12" spans="1:9" s="590" customFormat="1" ht="13.5" hidden="1" customHeight="1">
      <c r="A12" s="603" t="s">
        <v>43</v>
      </c>
      <c r="B12" s="591" t="s">
        <v>827</v>
      </c>
      <c r="C12" s="587">
        <v>0</v>
      </c>
      <c r="D12" s="1908"/>
      <c r="E12" s="604"/>
      <c r="F12" s="597">
        <v>3.0499999999999999E-2</v>
      </c>
      <c r="G12" s="595"/>
    </row>
    <row r="13" spans="1:9" s="590" customFormat="1" ht="13.5" hidden="1" customHeight="1">
      <c r="A13" s="603" t="s">
        <v>44</v>
      </c>
      <c r="B13" s="591" t="s">
        <v>828</v>
      </c>
      <c r="C13" s="587"/>
      <c r="D13" s="1908"/>
      <c r="E13" s="594"/>
      <c r="F13" s="594"/>
      <c r="G13" s="595"/>
    </row>
    <row r="14" spans="1:9" s="590" customFormat="1" ht="13.5" hidden="1" customHeight="1">
      <c r="A14" s="603" t="s">
        <v>45</v>
      </c>
      <c r="B14" s="591" t="s">
        <v>823</v>
      </c>
      <c r="C14" s="587"/>
      <c r="D14" s="1908"/>
      <c r="E14" s="594"/>
      <c r="F14" s="594"/>
      <c r="G14" s="595" t="s">
        <v>829</v>
      </c>
    </row>
    <row r="15" spans="1:9" s="590" customFormat="1" ht="13.5" hidden="1" customHeight="1">
      <c r="A15" s="603" t="s">
        <v>46</v>
      </c>
      <c r="B15" s="591" t="s">
        <v>830</v>
      </c>
      <c r="C15" s="596"/>
      <c r="D15" s="1908"/>
      <c r="E15" s="594"/>
      <c r="F15" s="594"/>
      <c r="G15" s="595" t="s">
        <v>831</v>
      </c>
    </row>
    <row r="16" spans="1:9" s="590" customFormat="1" ht="13.5" hidden="1" customHeight="1">
      <c r="A16" s="603" t="s">
        <v>47</v>
      </c>
      <c r="B16" s="591" t="s">
        <v>823</v>
      </c>
      <c r="C16" s="596"/>
      <c r="D16" s="1908"/>
      <c r="E16" s="594"/>
      <c r="F16" s="594"/>
      <c r="G16" s="595"/>
    </row>
    <row r="17" spans="1:7" s="590" customFormat="1" ht="13.5" hidden="1" customHeight="1">
      <c r="A17" s="603" t="s">
        <v>48</v>
      </c>
      <c r="B17" s="591" t="s">
        <v>832</v>
      </c>
      <c r="C17" s="605"/>
      <c r="D17" s="1909"/>
      <c r="E17" s="605"/>
      <c r="F17" s="605"/>
      <c r="G17" s="595" t="s">
        <v>831</v>
      </c>
    </row>
    <row r="18" spans="1:7" s="590" customFormat="1" ht="13.5" hidden="1" customHeight="1">
      <c r="A18" s="603" t="s">
        <v>49</v>
      </c>
      <c r="B18" s="591" t="s">
        <v>833</v>
      </c>
      <c r="C18" s="596">
        <v>0</v>
      </c>
      <c r="D18" s="1908"/>
      <c r="E18" s="594"/>
      <c r="F18" s="597">
        <v>3.0499999999999999E-2</v>
      </c>
      <c r="G18" s="595" t="s">
        <v>834</v>
      </c>
    </row>
    <row r="19" spans="1:7" s="599" customFormat="1" ht="13.5" customHeight="1">
      <c r="A19" s="1800" t="s">
        <v>2505</v>
      </c>
      <c r="B19" s="586" t="s">
        <v>842</v>
      </c>
      <c r="C19" s="587">
        <f ca="1">IF(G19="已包含在土地取得成本中","0",ROUND(D19*E19/10000,0))</f>
        <v>1339</v>
      </c>
      <c r="D19" s="1910">
        <f ca="1">D9+D10</f>
        <v>66965.320000000065</v>
      </c>
      <c r="E19" s="587">
        <f>'数据-取费表'!B31</f>
        <v>200</v>
      </c>
      <c r="F19" s="607"/>
      <c r="G19" s="84"/>
    </row>
    <row r="20" spans="1:7" s="590" customFormat="1" ht="13.5" customHeight="1">
      <c r="A20" s="1800" t="s">
        <v>2507</v>
      </c>
      <c r="B20" s="586" t="s">
        <v>835</v>
      </c>
      <c r="C20" s="608">
        <f ca="1">ROUND((C5+C19)*F20,0)</f>
        <v>27</v>
      </c>
      <c r="D20" s="608"/>
      <c r="E20" s="608"/>
      <c r="F20" s="609">
        <f>'数据-取费表'!B37</f>
        <v>0.02</v>
      </c>
      <c r="G20" s="2617" t="s">
        <v>2518</v>
      </c>
    </row>
    <row r="21" spans="1:7" s="590" customFormat="1" ht="13.5" customHeight="1">
      <c r="A21" s="1800" t="s">
        <v>2509</v>
      </c>
      <c r="B21" s="586" t="s">
        <v>836</v>
      </c>
      <c r="C21" s="611">
        <f>F21</f>
        <v>0.02</v>
      </c>
      <c r="D21" s="612" t="s">
        <v>857</v>
      </c>
      <c r="E21" s="608"/>
      <c r="F21" s="609">
        <f>'数据-取费表'!B38</f>
        <v>0.02</v>
      </c>
      <c r="G21" s="610" t="s">
        <v>837</v>
      </c>
    </row>
    <row r="22" spans="1:7" s="590" customFormat="1" ht="13.5" customHeight="1">
      <c r="A22" s="1800" t="s">
        <v>1910</v>
      </c>
      <c r="B22" s="586" t="s">
        <v>838</v>
      </c>
      <c r="C22" s="2696">
        <f ca="1">ROUND(SUM(C23:C25),0)</f>
        <v>131</v>
      </c>
      <c r="D22" s="611">
        <f ca="1">C26</f>
        <v>1E-3</v>
      </c>
      <c r="E22" s="612" t="s">
        <v>857</v>
      </c>
      <c r="F22" s="613">
        <f ca="1">'数据-取费表'!B40</f>
        <v>4.7500000000000001E-2</v>
      </c>
      <c r="G22" s="2617" t="str">
        <f>IF('数据-取费表'!B22&lt;=1,"单利计息","复利计息")</f>
        <v>复利计息</v>
      </c>
    </row>
    <row r="23" spans="1:7" s="590" customFormat="1" ht="13.5" customHeight="1">
      <c r="A23" s="1803" t="s">
        <v>1915</v>
      </c>
      <c r="B23" s="591" t="s">
        <v>2511</v>
      </c>
      <c r="C23" s="2697">
        <f ca="1">ROUND(IF('数据-取费表'!B22&lt;=1,C5*F22*'数据-取费表'!B23,C5*(POWER((1+F22),'数据-取费表'!B23)-1)),0)</f>
        <v>0</v>
      </c>
      <c r="D23" s="614"/>
      <c r="E23" s="614"/>
      <c r="F23" s="615"/>
      <c r="G23" s="616" t="s">
        <v>839</v>
      </c>
    </row>
    <row r="24" spans="1:7" s="590" customFormat="1" ht="13.5" customHeight="1">
      <c r="A24" s="1803" t="s">
        <v>1916</v>
      </c>
      <c r="B24" s="591" t="s">
        <v>2506</v>
      </c>
      <c r="C24" s="2697">
        <f ca="1">ROUND(IF('数据-取费表'!B22&lt;=1,C19*F22*('数据-取费表'!B19/2+'数据-取费表'!B21),C19*(POWER((1+F22),('数据-取费表'!B19/2+'数据-取费表'!B21))-1)),0)</f>
        <v>130</v>
      </c>
      <c r="D24" s="614"/>
      <c r="E24" s="614"/>
      <c r="F24" s="615"/>
      <c r="G24" s="616" t="s">
        <v>840</v>
      </c>
    </row>
    <row r="25" spans="1:7" s="590" customFormat="1" ht="24">
      <c r="A25" s="1803" t="s">
        <v>1917</v>
      </c>
      <c r="B25" s="591" t="s">
        <v>2508</v>
      </c>
      <c r="C25" s="2697">
        <f ca="1">ROUND(IF('数据-取费表'!B22&lt;=1,C20*F22*'数据-取费表'!B23/2,C20*(POWER((1+F22),'数据-取费表'!B23/2)-1)),0)</f>
        <v>1</v>
      </c>
      <c r="D25" s="614"/>
      <c r="E25" s="617"/>
      <c r="F25" s="615"/>
      <c r="G25" s="618" t="s">
        <v>841</v>
      </c>
    </row>
    <row r="26" spans="1:7" s="590" customFormat="1">
      <c r="A26" s="1803" t="s">
        <v>1919</v>
      </c>
      <c r="B26" s="591" t="s">
        <v>2510</v>
      </c>
      <c r="C26" s="614">
        <f ca="1">ROUND(IF('数据-取费表'!B22&lt;=1,F21*F22*'数据-取费表'!B23/2,F21*(POWER((1+F22),'数据-取费表'!B23/2)-1)),4)</f>
        <v>1E-3</v>
      </c>
      <c r="D26" s="614"/>
      <c r="E26" s="617"/>
      <c r="F26" s="615"/>
      <c r="G26" s="619"/>
    </row>
    <row r="27" spans="1:7" s="590" customFormat="1" ht="24.75">
      <c r="A27" s="1800" t="s">
        <v>1911</v>
      </c>
      <c r="B27" s="620" t="s">
        <v>843</v>
      </c>
      <c r="C27" s="621">
        <f ca="1">C28</f>
        <v>219</v>
      </c>
      <c r="D27" s="611">
        <f ca="1">C29</f>
        <v>3.2000000000000002E-3</v>
      </c>
      <c r="E27" s="612" t="s">
        <v>857</v>
      </c>
      <c r="F27" s="622">
        <f ca="1">IF(B1="",'数据-取费表'!Q16,INDIRECT("'数据-取费表'!q"&amp;$G$1))</f>
        <v>0.16</v>
      </c>
      <c r="G27" s="623" t="s">
        <v>2519</v>
      </c>
    </row>
    <row r="28" spans="1:7" s="590" customFormat="1" ht="13.5" customHeight="1">
      <c r="A28" s="1803" t="s">
        <v>1915</v>
      </c>
      <c r="B28" s="624" t="s">
        <v>2512</v>
      </c>
      <c r="C28" s="625">
        <f ca="1">ROUND((C5+C19+C20)*F27*'数据-取费表'!B21/'数据-取费表'!B20,0)</f>
        <v>219</v>
      </c>
      <c r="D28" s="611"/>
      <c r="E28" s="612"/>
      <c r="F28" s="622"/>
      <c r="G28" s="623"/>
    </row>
    <row r="29" spans="1:7" s="590" customFormat="1" ht="13.5" customHeight="1">
      <c r="A29" s="1803" t="s">
        <v>1916</v>
      </c>
      <c r="B29" s="624" t="s">
        <v>2513</v>
      </c>
      <c r="C29" s="614">
        <f ca="1">ROUND(C21*F27*'数据-取费表'!B21/'数据-取费表'!B20,4)</f>
        <v>3.2000000000000002E-3</v>
      </c>
      <c r="D29" s="611"/>
      <c r="E29" s="612"/>
      <c r="F29" s="622"/>
      <c r="G29" s="623"/>
    </row>
    <row r="30" spans="1:7" s="590" customFormat="1" ht="13.5" customHeight="1">
      <c r="A30" s="1800" t="s">
        <v>1912</v>
      </c>
      <c r="B30" s="586" t="s">
        <v>344</v>
      </c>
      <c r="C30" s="611">
        <f>ROUND(F30/(1+'数据-取费表'!C42),4)</f>
        <v>5.33E-2</v>
      </c>
      <c r="D30" s="612" t="s">
        <v>2940</v>
      </c>
      <c r="E30" s="617"/>
      <c r="F30" s="613">
        <f>'数据-取费表'!B41</f>
        <v>5.6000000000000001E-2</v>
      </c>
      <c r="G30" s="2617" t="s">
        <v>2941</v>
      </c>
    </row>
    <row r="31" spans="1:7" ht="16.5" customHeight="1">
      <c r="A31" s="585">
        <v>1</v>
      </c>
      <c r="B31" s="586" t="s">
        <v>859</v>
      </c>
      <c r="C31" s="587">
        <f ca="1">ROUND((C5+C19+C20+C22+C27)/(1-C21-D22-D27-C30),0)</f>
        <v>1860</v>
      </c>
      <c r="D31" s="606"/>
      <c r="E31" s="587"/>
      <c r="F31" s="626"/>
      <c r="G31" s="610" t="s">
        <v>2520</v>
      </c>
    </row>
    <row r="32" spans="1:7" s="584" customFormat="1" ht="15.75">
      <c r="A32" s="628" t="s">
        <v>845</v>
      </c>
      <c r="B32" s="629"/>
      <c r="C32" s="629"/>
      <c r="D32" s="629"/>
      <c r="E32" s="629"/>
      <c r="F32" s="629"/>
      <c r="G32" s="630"/>
    </row>
    <row r="33" spans="1:7" s="590" customFormat="1" ht="13.5" customHeight="1">
      <c r="A33" s="631" t="s">
        <v>1906</v>
      </c>
      <c r="B33" s="586" t="s">
        <v>846</v>
      </c>
      <c r="C33" s="632">
        <f ca="1">SUM(C34:C38)</f>
        <v>22332</v>
      </c>
      <c r="D33" s="608"/>
      <c r="E33" s="588"/>
      <c r="F33" s="617"/>
      <c r="G33" s="610"/>
    </row>
    <row r="34" spans="1:7" s="634" customFormat="1" ht="13.5" customHeight="1">
      <c r="A34" s="1803" t="s">
        <v>1915</v>
      </c>
      <c r="B34" s="591" t="s">
        <v>345</v>
      </c>
      <c r="C34" s="596">
        <f ca="1">IF(B1="",IF(F34=100%,'数据-取费表'!M16,'数据-取费表'!O16),IF(F34=100%,INDIRECT("'数据-取费表'!m"&amp;$G$1)+INDIRECT("'数据-取费表'!t"&amp;$G$1),INDIRECT("'数据-取费表'!o"&amp;$G$1)+INDIRECT("'数据-取费表'!aq"&amp;$G$1)))</f>
        <v>20089</v>
      </c>
      <c r="D34" s="593"/>
      <c r="E34" s="596"/>
      <c r="F34" s="633">
        <f ca="1">IF('数据-取费表'!B24=0,1,IF(B1="",'数据-取费表'!N16,INDIRECT("'数据-取费表'!n"&amp;$G$1)))</f>
        <v>1</v>
      </c>
      <c r="G34" s="595" t="s">
        <v>847</v>
      </c>
    </row>
    <row r="35" spans="1:7" ht="13.5" customHeight="1">
      <c r="A35" s="1803" t="s">
        <v>1920</v>
      </c>
      <c r="B35" s="591" t="s">
        <v>346</v>
      </c>
      <c r="C35" s="596">
        <f ca="1">ROUND(C34*F35,0)</f>
        <v>603</v>
      </c>
      <c r="D35" s="596"/>
      <c r="E35" s="596"/>
      <c r="F35" s="635">
        <f>'数据-取费表'!B33</f>
        <v>0.03</v>
      </c>
      <c r="G35" s="595" t="s">
        <v>848</v>
      </c>
    </row>
    <row r="36" spans="1:7" ht="24">
      <c r="A36" s="1803" t="s">
        <v>1921</v>
      </c>
      <c r="B36" s="591" t="s">
        <v>347</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348</v>
      </c>
    </row>
    <row r="37" spans="1:7" s="634" customFormat="1" ht="13.5" customHeight="1">
      <c r="A37" s="1803" t="s">
        <v>1922</v>
      </c>
      <c r="B37" s="591" t="s">
        <v>849</v>
      </c>
      <c r="C37" s="625">
        <f ca="1">ROUND(E37*D37*F34/10000,0)</f>
        <v>1339</v>
      </c>
      <c r="D37" s="593">
        <f ca="1">D19</f>
        <v>66965.320000000065</v>
      </c>
      <c r="E37" s="625">
        <f>'数据-取费表'!B35</f>
        <v>200</v>
      </c>
      <c r="F37" s="635"/>
      <c r="G37" s="637" t="s">
        <v>850</v>
      </c>
    </row>
    <row r="38" spans="1:7" ht="13.5" customHeight="1">
      <c r="A38" s="1803" t="s">
        <v>1923</v>
      </c>
      <c r="B38" s="591" t="s">
        <v>349</v>
      </c>
      <c r="C38" s="596">
        <f ca="1">ROUND(C34*F38,0)</f>
        <v>301</v>
      </c>
      <c r="D38" s="596"/>
      <c r="E38" s="596"/>
      <c r="F38" s="635">
        <f>'数据-取费表'!B36</f>
        <v>1.4999999999999999E-2</v>
      </c>
      <c r="G38" s="595" t="s">
        <v>848</v>
      </c>
    </row>
    <row r="39" spans="1:7" s="590" customFormat="1" ht="13.5" customHeight="1">
      <c r="A39" s="1800" t="s">
        <v>1907</v>
      </c>
      <c r="B39" s="586" t="s">
        <v>835</v>
      </c>
      <c r="C39" s="608">
        <f ca="1">ROUND(C33*F20,0)</f>
        <v>447</v>
      </c>
      <c r="D39" s="608"/>
      <c r="E39" s="608"/>
      <c r="F39" s="609"/>
      <c r="G39" s="2617" t="s">
        <v>2521</v>
      </c>
    </row>
    <row r="40" spans="1:7" s="590" customFormat="1" ht="13.5" customHeight="1">
      <c r="A40" s="1800" t="s">
        <v>1908</v>
      </c>
      <c r="B40" s="586" t="s">
        <v>836</v>
      </c>
      <c r="C40" s="3236">
        <f>F21</f>
        <v>0.02</v>
      </c>
      <c r="D40" s="612" t="s">
        <v>860</v>
      </c>
      <c r="E40" s="608"/>
      <c r="F40" s="609"/>
      <c r="G40" s="610" t="s">
        <v>851</v>
      </c>
    </row>
    <row r="41" spans="1:7" s="590" customFormat="1" ht="13.5" customHeight="1">
      <c r="A41" s="1800" t="s">
        <v>1909</v>
      </c>
      <c r="B41" s="586" t="s">
        <v>838</v>
      </c>
      <c r="C41" s="608">
        <f ca="1">ROUND(SUM(C42:C43),0)</f>
        <v>1082</v>
      </c>
      <c r="D41" s="611">
        <f ca="1">C44</f>
        <v>1E-3</v>
      </c>
      <c r="E41" s="612" t="s">
        <v>860</v>
      </c>
      <c r="F41" s="613"/>
      <c r="G41" s="2617" t="str">
        <f>IF('数据-取费表'!B22&lt;=1,"单利计息","复利计息")</f>
        <v>复利计息</v>
      </c>
    </row>
    <row r="42" spans="1:7" ht="13.5" customHeight="1">
      <c r="A42" s="1803" t="s">
        <v>1915</v>
      </c>
      <c r="B42" s="591" t="s">
        <v>2511</v>
      </c>
      <c r="C42" s="614">
        <f ca="1">ROUND(IF('数据-取费表'!B22&lt;=1,C33*F22*'数据-取费表'!B21/2,C33*(POWER((1+F22),'数据-取费表'!B21/2)-1)),0)</f>
        <v>1061</v>
      </c>
      <c r="D42" s="614"/>
      <c r="E42" s="614"/>
      <c r="F42" s="615"/>
      <c r="G42" s="3563" t="s">
        <v>852</v>
      </c>
    </row>
    <row r="43" spans="1:7" ht="13.5" customHeight="1">
      <c r="A43" s="1803" t="s">
        <v>1916</v>
      </c>
      <c r="B43" s="591" t="s">
        <v>2514</v>
      </c>
      <c r="C43" s="614">
        <f ca="1">ROUND(IF('数据-取费表'!B22&lt;=1,C39*F22*'数据-取费表'!B21/2,C39*(POWER((1+F22),'数据-取费表'!B21/2)-1)),0)</f>
        <v>21</v>
      </c>
      <c r="D43" s="614"/>
      <c r="E43" s="614"/>
      <c r="F43" s="615"/>
      <c r="G43" s="3564"/>
    </row>
    <row r="44" spans="1:7" ht="13.5" customHeight="1">
      <c r="A44" s="1803" t="s">
        <v>1917</v>
      </c>
      <c r="B44" s="591" t="s">
        <v>2516</v>
      </c>
      <c r="C44" s="614">
        <f ca="1">ROUND(IF('数据-取费表'!B22&lt;=1,C40*F22*'数据-取费表'!B21/2,C40*(POWER((1+F22),'数据-取费表'!B21/2)-1)),4)</f>
        <v>1E-3</v>
      </c>
      <c r="D44" s="614"/>
      <c r="E44" s="614"/>
      <c r="F44" s="615"/>
      <c r="G44" s="3565"/>
    </row>
    <row r="45" spans="1:7" s="590" customFormat="1" ht="13.5" customHeight="1">
      <c r="A45" s="1800" t="s">
        <v>1910</v>
      </c>
      <c r="B45" s="620" t="s">
        <v>843</v>
      </c>
      <c r="C45" s="621">
        <f ca="1">C46</f>
        <v>3645</v>
      </c>
      <c r="D45" s="611">
        <f ca="1">C47</f>
        <v>3.2000000000000002E-3</v>
      </c>
      <c r="E45" s="612" t="s">
        <v>860</v>
      </c>
      <c r="F45" s="622"/>
      <c r="G45" s="623" t="s">
        <v>2522</v>
      </c>
    </row>
    <row r="46" spans="1:7" s="590" customFormat="1" ht="13.5" customHeight="1">
      <c r="A46" s="1803" t="s">
        <v>1915</v>
      </c>
      <c r="B46" s="624" t="s">
        <v>2515</v>
      </c>
      <c r="C46" s="625">
        <f ca="1">ROUND((C33+C39)*F27,0)</f>
        <v>3645</v>
      </c>
      <c r="D46" s="639"/>
      <c r="E46" s="612"/>
      <c r="F46" s="622"/>
      <c r="G46" s="623"/>
    </row>
    <row r="47" spans="1:7" s="590" customFormat="1" ht="13.5" customHeight="1">
      <c r="A47" s="1803" t="s">
        <v>1916</v>
      </c>
      <c r="B47" s="624" t="s">
        <v>2517</v>
      </c>
      <c r="C47" s="614">
        <f ca="1">ROUND(C40*F27,4)</f>
        <v>3.2000000000000002E-3</v>
      </c>
      <c r="D47" s="639"/>
      <c r="E47" s="612"/>
      <c r="F47" s="622"/>
      <c r="G47" s="623"/>
    </row>
    <row r="48" spans="1:7" s="590" customFormat="1" ht="13.5" customHeight="1">
      <c r="A48" s="1800" t="s">
        <v>1911</v>
      </c>
      <c r="B48" s="586" t="s">
        <v>853</v>
      </c>
      <c r="C48" s="3236">
        <f>ROUND(F30/(1+'数据-取费表'!C42),4)</f>
        <v>5.33E-2</v>
      </c>
      <c r="D48" s="612" t="s">
        <v>2942</v>
      </c>
      <c r="E48" s="608"/>
      <c r="F48" s="613"/>
      <c r="G48" s="2617" t="s">
        <v>2943</v>
      </c>
    </row>
    <row r="49" spans="1:7" ht="16.5" customHeight="1">
      <c r="A49" s="1800" t="s">
        <v>1912</v>
      </c>
      <c r="B49" s="586" t="s">
        <v>862</v>
      </c>
      <c r="C49" s="608">
        <f ca="1">ROUND((C33+C39+C41+C45)/(1-C40-D41-D45-C48),0)</f>
        <v>29817</v>
      </c>
      <c r="D49" s="608"/>
      <c r="E49" s="608"/>
      <c r="F49" s="640"/>
      <c r="G49" s="610" t="s">
        <v>2523</v>
      </c>
    </row>
    <row r="50" spans="1:7" s="634" customFormat="1" ht="24">
      <c r="A50" s="1800" t="s">
        <v>1913</v>
      </c>
      <c r="B50" s="586" t="s">
        <v>855</v>
      </c>
      <c r="C50" s="608"/>
      <c r="D50" s="608"/>
      <c r="E50" s="608"/>
      <c r="F50" s="640">
        <f>IF('数据-取费表'!B24=0,'数据-取费表'!N16,1)</f>
        <v>0.98</v>
      </c>
      <c r="G50" s="623" t="s">
        <v>856</v>
      </c>
    </row>
    <row r="51" spans="1:7" ht="16.5" customHeight="1">
      <c r="A51" s="1800" t="s">
        <v>1914</v>
      </c>
      <c r="B51" s="586" t="s">
        <v>863</v>
      </c>
      <c r="C51" s="608">
        <f ca="1">ROUND(C49*F50,0)</f>
        <v>29221</v>
      </c>
      <c r="D51" s="608"/>
      <c r="E51" s="608"/>
      <c r="F51" s="640"/>
      <c r="G51" s="610" t="s">
        <v>350</v>
      </c>
    </row>
    <row r="52" spans="1:7" s="584" customFormat="1" ht="16.5" thickBot="1">
      <c r="A52" s="641" t="s">
        <v>351</v>
      </c>
      <c r="B52" s="642"/>
      <c r="C52" s="643">
        <f ca="1">C31+C51</f>
        <v>31081</v>
      </c>
      <c r="D52" s="642"/>
      <c r="E52" s="642"/>
      <c r="F52" s="642"/>
      <c r="G52" s="644"/>
    </row>
    <row r="55" spans="1:7" ht="15">
      <c r="B55" s="646" t="s">
        <v>352</v>
      </c>
      <c r="C55" s="647"/>
    </row>
    <row r="56" spans="1:7">
      <c r="B56" s="2872" t="s">
        <v>2698</v>
      </c>
      <c r="C56" s="651">
        <f ca="1">1-C57</f>
        <v>6.0000000000000053E-2</v>
      </c>
    </row>
    <row r="57" spans="1:7">
      <c r="B57" s="2872" t="s">
        <v>2697</v>
      </c>
      <c r="C57" s="650">
        <f ca="1">ROUND(C51/C52,3)</f>
        <v>0.94</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6" customWidth="1"/>
    <col min="2" max="9" width="10" style="1886" customWidth="1"/>
    <col min="10" max="16384" width="9" style="1886"/>
  </cols>
  <sheetData>
    <row r="36" spans="1:9">
      <c r="A36" s="1885" t="s">
        <v>1956</v>
      </c>
      <c r="B36" s="1885" t="s">
        <v>1957</v>
      </c>
    </row>
    <row r="37" spans="1:9" ht="27.75" customHeight="1">
      <c r="A37" s="1885"/>
      <c r="B37" s="3370" t="str">
        <f>项目基本情况!B1</f>
        <v>北京市丰台区汽车博物馆西路8号院1、2、3号楼房地产抵押价值预评估</v>
      </c>
      <c r="C37" s="3370"/>
      <c r="D37" s="3370"/>
      <c r="E37" s="3370"/>
      <c r="F37" s="3370"/>
      <c r="G37" s="3370"/>
      <c r="H37" s="3370"/>
      <c r="I37" s="3370"/>
    </row>
    <row r="38" spans="1:9">
      <c r="A38" s="1887"/>
      <c r="B38" s="1887"/>
    </row>
    <row r="39" spans="1:9">
      <c r="A39" s="1885" t="s">
        <v>1956</v>
      </c>
      <c r="B39" s="1885" t="s">
        <v>1958</v>
      </c>
    </row>
    <row r="40" spans="1:9">
      <c r="A40" s="1885"/>
      <c r="B40" s="1885" t="str">
        <f>项目基本情况!B5</f>
        <v>北京丰科建房地产开发有限公司</v>
      </c>
    </row>
    <row r="41" spans="1:9">
      <c r="A41" s="1885"/>
      <c r="B41" s="1885"/>
    </row>
    <row r="42" spans="1:9">
      <c r="A42" s="1885" t="s">
        <v>1956</v>
      </c>
      <c r="B42" s="1885" t="s">
        <v>1959</v>
      </c>
    </row>
    <row r="43" spans="1:9">
      <c r="A43" s="1885"/>
      <c r="B43" s="1885" t="s">
        <v>1960</v>
      </c>
    </row>
    <row r="44" spans="1:9">
      <c r="A44" s="1885"/>
      <c r="B44" s="1885"/>
    </row>
    <row r="45" spans="1:9">
      <c r="A45" s="1885" t="s">
        <v>1956</v>
      </c>
      <c r="B45" s="1885" t="s">
        <v>1961</v>
      </c>
    </row>
    <row r="46" spans="1:9" s="1885" customFormat="1" ht="12.75">
      <c r="B46" s="1885" t="str">
        <f ca="1">项目基本情况!K4</f>
        <v>刘梅（注册号：1120140022)、吴薇（注册号：1419970001)</v>
      </c>
    </row>
    <row r="47" spans="1:9">
      <c r="A47" s="1885"/>
      <c r="B47" s="1885" t="str">
        <f>项目基本情况!K5</f>
        <v/>
      </c>
    </row>
    <row r="48" spans="1:9">
      <c r="A48" s="1885" t="s">
        <v>1956</v>
      </c>
      <c r="B48" s="1885" t="s">
        <v>1962</v>
      </c>
    </row>
    <row r="49" spans="2:2">
      <c r="B49" s="1885"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814</v>
      </c>
      <c r="B1" s="2749"/>
      <c r="C1" s="2754" t="s">
        <v>2628</v>
      </c>
      <c r="D1" s="574"/>
      <c r="E1" s="574"/>
      <c r="F1" s="574"/>
      <c r="G1" s="2750">
        <f>MATCH(B1,'数据-取费表'!A6:A16,0)+5</f>
        <v>9</v>
      </c>
      <c r="H1" s="2581" t="str">
        <f>IF(ISERROR(FIND("住宅",B1)),"非住宅","住宅")</f>
        <v>非住宅</v>
      </c>
    </row>
    <row r="2" spans="1:8" s="576" customFormat="1" ht="18" customHeight="1">
      <c r="A2" s="577" t="s">
        <v>341</v>
      </c>
      <c r="B2" s="578">
        <f ca="1">ROUND(IF(D2="——",C52/10000,C52/10000-E2),0)</f>
        <v>32942</v>
      </c>
      <c r="C2" s="85" t="s">
        <v>864</v>
      </c>
      <c r="D2" s="2870" t="s">
        <v>526</v>
      </c>
      <c r="E2" s="2868" t="e">
        <f ca="1">SUMIF(INDIRECT("'"&amp;G2&amp;"'"&amp;"!A:A"),"承租人权益价值",INDIRECT("'"&amp;G2&amp;"'"&amp;"!c:c"))</f>
        <v>#REF!</v>
      </c>
      <c r="F2" s="2866" t="s">
        <v>864</v>
      </c>
      <c r="G2" s="2869"/>
    </row>
    <row r="3" spans="1:8" s="576" customFormat="1" ht="18" customHeight="1" thickBot="1">
      <c r="A3" s="579" t="s">
        <v>342</v>
      </c>
      <c r="B3" s="580">
        <f ca="1">ROUND(B2*10000/(IF(B1="",'数据-汇总表'!E3,INDIRECT("'数据-取费表'!k"&amp;$G$1))),0)</f>
        <v>4919</v>
      </c>
      <c r="C3" s="85" t="s">
        <v>865</v>
      </c>
      <c r="D3" s="575"/>
      <c r="E3" s="575"/>
      <c r="F3" s="575"/>
      <c r="G3" s="575"/>
    </row>
    <row r="4" spans="1:8" s="584" customFormat="1" ht="15.75">
      <c r="A4" s="581" t="s">
        <v>817</v>
      </c>
      <c r="B4" s="582"/>
      <c r="C4" s="582"/>
      <c r="D4" s="582"/>
      <c r="E4" s="582"/>
      <c r="F4" s="582"/>
      <c r="G4" s="583"/>
    </row>
    <row r="5" spans="1:8" s="590" customFormat="1" ht="13.5" customHeight="1">
      <c r="A5" s="631" t="s">
        <v>1906</v>
      </c>
      <c r="B5" s="586" t="s">
        <v>818</v>
      </c>
      <c r="C5" s="587">
        <f ca="1">C6+C7+C8</f>
        <v>13393064</v>
      </c>
      <c r="D5" s="587" t="s">
        <v>819</v>
      </c>
      <c r="E5" s="588" t="s">
        <v>820</v>
      </c>
      <c r="F5" s="588" t="s">
        <v>821</v>
      </c>
      <c r="G5" s="589"/>
    </row>
    <row r="6" spans="1:8" s="590" customFormat="1" ht="13.5" customHeight="1">
      <c r="A6" s="1801" t="s">
        <v>1915</v>
      </c>
      <c r="B6" s="591" t="s">
        <v>822</v>
      </c>
      <c r="C6" s="592"/>
      <c r="D6" s="593"/>
      <c r="E6" s="594"/>
      <c r="F6" s="594"/>
      <c r="G6" s="595"/>
    </row>
    <row r="7" spans="1:8" s="590" customFormat="1" ht="13.5" customHeight="1">
      <c r="A7" s="1801" t="s">
        <v>1916</v>
      </c>
      <c r="B7" s="591" t="s">
        <v>343</v>
      </c>
      <c r="C7" s="596">
        <f>ROUND(C6*F7,0)</f>
        <v>0</v>
      </c>
      <c r="D7" s="596"/>
      <c r="E7" s="594"/>
      <c r="F7" s="597">
        <f>'数据-取费表'!B48+'数据-取费表'!B49</f>
        <v>3.0499999999999999E-2</v>
      </c>
      <c r="G7" s="595"/>
    </row>
    <row r="8" spans="1:8" s="599" customFormat="1">
      <c r="A8" s="1801" t="s">
        <v>1917</v>
      </c>
      <c r="B8" s="591" t="s">
        <v>823</v>
      </c>
      <c r="C8" s="596">
        <f ca="1">IF(G8="已包含在土地购买价格中",0,C9+C10)</f>
        <v>13393064</v>
      </c>
      <c r="D8" s="598"/>
      <c r="E8" s="596"/>
      <c r="F8" s="597"/>
      <c r="G8" s="84"/>
    </row>
    <row r="9" spans="1:8" s="590" customFormat="1" ht="13.5" customHeight="1">
      <c r="A9" s="1802" t="s">
        <v>1924</v>
      </c>
      <c r="B9" s="600" t="s">
        <v>824</v>
      </c>
      <c r="C9" s="601">
        <f ca="1">ROUND(D9*E9,0)</f>
        <v>0</v>
      </c>
      <c r="D9" s="1906">
        <f ca="1">IF(B1="",'数据-汇总表'!E5,IF(INDIRECT("'数据-取费表'!c"&amp;$G$1)="住宅",INDIRECT("'数据-取费表'!k"&amp;$G$1),0))</f>
        <v>0</v>
      </c>
      <c r="E9" s="601">
        <f>'数据-取费表'!B27</f>
        <v>0</v>
      </c>
      <c r="F9" s="597"/>
      <c r="G9" s="602"/>
    </row>
    <row r="10" spans="1:8" s="590" customFormat="1" ht="13.5" customHeight="1">
      <c r="A10" s="1802" t="s">
        <v>1925</v>
      </c>
      <c r="B10" s="600" t="s">
        <v>825</v>
      </c>
      <c r="C10" s="601">
        <f ca="1">ROUND(D10*E10,0)</f>
        <v>13393064</v>
      </c>
      <c r="D10" s="1906">
        <f ca="1">IF(B1="",'数据-汇总表'!E6,IF(INDIRECT("'数据-取费表'!c"&amp;$G$1)="住宅",INDIRECT("'数据-取费表'!s"&amp;$G$1),INDIRECT("'数据-取费表'!k"&amp;$G$1)+INDIRECT("'数据-取费表'!s"&amp;$G$1)))</f>
        <v>66965.320000000065</v>
      </c>
      <c r="E10" s="601">
        <f>'数据-取费表'!B28</f>
        <v>200</v>
      </c>
      <c r="F10" s="597"/>
      <c r="G10" s="602"/>
    </row>
    <row r="11" spans="1:8" s="590" customFormat="1" ht="13.5" hidden="1" customHeight="1">
      <c r="A11" s="603" t="s">
        <v>42</v>
      </c>
      <c r="B11" s="591" t="s">
        <v>826</v>
      </c>
      <c r="C11" s="587"/>
      <c r="D11" s="1908"/>
      <c r="E11" s="594"/>
      <c r="F11" s="594"/>
      <c r="G11" s="595"/>
    </row>
    <row r="12" spans="1:8" s="590" customFormat="1" ht="13.5" hidden="1" customHeight="1">
      <c r="A12" s="603" t="s">
        <v>43</v>
      </c>
      <c r="B12" s="591" t="s">
        <v>827</v>
      </c>
      <c r="C12" s="587">
        <v>0</v>
      </c>
      <c r="D12" s="1908"/>
      <c r="E12" s="604"/>
      <c r="F12" s="597">
        <v>3.0499999999999999E-2</v>
      </c>
      <c r="G12" s="595"/>
    </row>
    <row r="13" spans="1:8" s="590" customFormat="1" ht="13.5" hidden="1" customHeight="1">
      <c r="A13" s="603" t="s">
        <v>44</v>
      </c>
      <c r="B13" s="591" t="s">
        <v>828</v>
      </c>
      <c r="C13" s="587"/>
      <c r="D13" s="1908"/>
      <c r="E13" s="594"/>
      <c r="F13" s="594"/>
      <c r="G13" s="595"/>
    </row>
    <row r="14" spans="1:8" s="590" customFormat="1" ht="13.5" hidden="1" customHeight="1">
      <c r="A14" s="603" t="s">
        <v>45</v>
      </c>
      <c r="B14" s="591" t="s">
        <v>823</v>
      </c>
      <c r="C14" s="587"/>
      <c r="D14" s="1908"/>
      <c r="E14" s="594"/>
      <c r="F14" s="594"/>
      <c r="G14" s="595" t="s">
        <v>829</v>
      </c>
    </row>
    <row r="15" spans="1:8" s="590" customFormat="1" ht="13.5" hidden="1" customHeight="1">
      <c r="A15" s="603" t="s">
        <v>46</v>
      </c>
      <c r="B15" s="591" t="s">
        <v>830</v>
      </c>
      <c r="C15" s="596"/>
      <c r="D15" s="1908"/>
      <c r="E15" s="594"/>
      <c r="F15" s="594"/>
      <c r="G15" s="595" t="s">
        <v>831</v>
      </c>
    </row>
    <row r="16" spans="1:8" s="590" customFormat="1" ht="13.5" hidden="1" customHeight="1">
      <c r="A16" s="603" t="s">
        <v>47</v>
      </c>
      <c r="B16" s="591" t="s">
        <v>823</v>
      </c>
      <c r="C16" s="596"/>
      <c r="D16" s="1908"/>
      <c r="E16" s="594"/>
      <c r="F16" s="594"/>
      <c r="G16" s="595"/>
    </row>
    <row r="17" spans="1:7" s="590" customFormat="1" ht="13.5" hidden="1" customHeight="1">
      <c r="A17" s="603" t="s">
        <v>48</v>
      </c>
      <c r="B17" s="591" t="s">
        <v>832</v>
      </c>
      <c r="C17" s="605"/>
      <c r="D17" s="1909"/>
      <c r="E17" s="605"/>
      <c r="F17" s="605"/>
      <c r="G17" s="595" t="s">
        <v>831</v>
      </c>
    </row>
    <row r="18" spans="1:7" s="590" customFormat="1" ht="13.5" hidden="1" customHeight="1">
      <c r="A18" s="603" t="s">
        <v>49</v>
      </c>
      <c r="B18" s="591" t="s">
        <v>833</v>
      </c>
      <c r="C18" s="596">
        <v>0</v>
      </c>
      <c r="D18" s="1908"/>
      <c r="E18" s="594"/>
      <c r="F18" s="597">
        <v>3.0499999999999999E-2</v>
      </c>
      <c r="G18" s="595" t="s">
        <v>834</v>
      </c>
    </row>
    <row r="19" spans="1:7" s="599" customFormat="1" ht="13.5" customHeight="1">
      <c r="A19" s="1800" t="s">
        <v>1907</v>
      </c>
      <c r="B19" s="586" t="s">
        <v>842</v>
      </c>
      <c r="C19" s="587">
        <f ca="1">IF(G19="已包含在土地取得成本中","0",ROUND(D19*E19,0))</f>
        <v>13393064</v>
      </c>
      <c r="D19" s="1910">
        <f ca="1">D9+D10</f>
        <v>66965.320000000065</v>
      </c>
      <c r="E19" s="587">
        <f>'数据-取费表'!B31</f>
        <v>200</v>
      </c>
      <c r="F19" s="607"/>
      <c r="G19" s="84"/>
    </row>
    <row r="20" spans="1:7" s="590" customFormat="1" ht="13.5" customHeight="1">
      <c r="A20" s="1800" t="s">
        <v>1908</v>
      </c>
      <c r="B20" s="586" t="s">
        <v>835</v>
      </c>
      <c r="C20" s="608">
        <f ca="1">ROUND((C5+C19)*F20,0)</f>
        <v>535723</v>
      </c>
      <c r="D20" s="608"/>
      <c r="E20" s="608"/>
      <c r="F20" s="609">
        <f>'数据-取费表'!B37</f>
        <v>0.02</v>
      </c>
      <c r="G20" s="2617" t="s">
        <v>2518</v>
      </c>
    </row>
    <row r="21" spans="1:7" s="590" customFormat="1" ht="13.5" customHeight="1">
      <c r="A21" s="1800" t="s">
        <v>1909</v>
      </c>
      <c r="B21" s="586" t="s">
        <v>836</v>
      </c>
      <c r="C21" s="611">
        <f>F21</f>
        <v>0.02</v>
      </c>
      <c r="D21" s="612" t="s">
        <v>857</v>
      </c>
      <c r="E21" s="608"/>
      <c r="F21" s="609">
        <f>'数据-取费表'!B38</f>
        <v>0.02</v>
      </c>
      <c r="G21" s="610" t="s">
        <v>837</v>
      </c>
    </row>
    <row r="22" spans="1:7" s="590" customFormat="1" ht="13.5" customHeight="1">
      <c r="A22" s="1800" t="s">
        <v>1910</v>
      </c>
      <c r="B22" s="586" t="s">
        <v>838</v>
      </c>
      <c r="C22" s="2751">
        <f ca="1">ROUND(SUM(C23:C25),0)</f>
        <v>2630565</v>
      </c>
      <c r="D22" s="611">
        <f ca="1">C26</f>
        <v>1E-3</v>
      </c>
      <c r="E22" s="612" t="s">
        <v>857</v>
      </c>
      <c r="F22" s="613">
        <f ca="1">'数据-取费表'!B40</f>
        <v>4.7500000000000001E-2</v>
      </c>
      <c r="G22" s="2617" t="str">
        <f>IF('数据-取费表'!B22&lt;=1,"单利计息","复利计息")</f>
        <v>复利计息</v>
      </c>
    </row>
    <row r="23" spans="1:7" s="590" customFormat="1" ht="13.5" customHeight="1">
      <c r="A23" s="1803" t="s">
        <v>1915</v>
      </c>
      <c r="B23" s="591" t="s">
        <v>2511</v>
      </c>
      <c r="C23" s="2752">
        <f ca="1">ROUND(IF('数据-取费表'!B22&lt;=1,C5*F22*'数据-取费表'!B22,C5*(POWER((1+F22),'数据-取费表'!B22)-1)),0)</f>
        <v>1302559</v>
      </c>
      <c r="D23" s="614"/>
      <c r="E23" s="614"/>
      <c r="F23" s="615"/>
      <c r="G23" s="616" t="s">
        <v>839</v>
      </c>
    </row>
    <row r="24" spans="1:7" s="590" customFormat="1" ht="13.5" customHeight="1">
      <c r="A24" s="1803" t="s">
        <v>1916</v>
      </c>
      <c r="B24" s="591" t="s">
        <v>2506</v>
      </c>
      <c r="C24" s="2752">
        <f ca="1">ROUND(IF('数据-取费表'!B22&lt;=1,C19*F22*('数据-取费表'!B19/2+'数据-取费表'!B20),C19*(POWER((1+F22),('数据-取费表'!B19/2+'数据-取费表'!B20))-1)),0)</f>
        <v>1302559</v>
      </c>
      <c r="D24" s="614"/>
      <c r="E24" s="614"/>
      <c r="F24" s="615"/>
      <c r="G24" s="616" t="s">
        <v>840</v>
      </c>
    </row>
    <row r="25" spans="1:7" s="590" customFormat="1" ht="24">
      <c r="A25" s="1803" t="s">
        <v>1917</v>
      </c>
      <c r="B25" s="591" t="s">
        <v>2508</v>
      </c>
      <c r="C25" s="2752">
        <f ca="1">ROUND(IF('数据-取费表'!B22&lt;=1,C20*F22*'数据-取费表'!B22/2,C20*(POWER((1+F22),'数据-取费表'!B22/2)-1)),0)</f>
        <v>25447</v>
      </c>
      <c r="D25" s="614"/>
      <c r="E25" s="617"/>
      <c r="F25" s="615"/>
      <c r="G25" s="618" t="s">
        <v>841</v>
      </c>
    </row>
    <row r="26" spans="1:7" s="590" customFormat="1">
      <c r="A26" s="1803" t="s">
        <v>1919</v>
      </c>
      <c r="B26" s="591" t="s">
        <v>2510</v>
      </c>
      <c r="C26" s="614">
        <f ca="1">ROUND(IF('数据-取费表'!B22&lt;=1,F21*F22*'数据-取费表'!B22/2,F21*(POWER((1+F22),'数据-取费表'!B22/2)-1)),4)</f>
        <v>1E-3</v>
      </c>
      <c r="D26" s="614"/>
      <c r="E26" s="617"/>
      <c r="F26" s="615"/>
      <c r="G26" s="619"/>
    </row>
    <row r="27" spans="1:7" s="590" customFormat="1" ht="24.75">
      <c r="A27" s="1800" t="s">
        <v>1911</v>
      </c>
      <c r="B27" s="620" t="s">
        <v>843</v>
      </c>
      <c r="C27" s="621">
        <f ca="1">C28</f>
        <v>4371496</v>
      </c>
      <c r="D27" s="611">
        <f ca="1">C29</f>
        <v>3.2000000000000002E-3</v>
      </c>
      <c r="E27" s="612" t="s">
        <v>857</v>
      </c>
      <c r="F27" s="622">
        <f ca="1">IF(B1="",'数据-取费表'!Q16,INDIRECT("'数据-取费表'!q"&amp;$G$1))</f>
        <v>0.16</v>
      </c>
      <c r="G27" s="623" t="s">
        <v>2519</v>
      </c>
    </row>
    <row r="28" spans="1:7" s="590" customFormat="1" ht="13.5" customHeight="1">
      <c r="A28" s="1803" t="s">
        <v>1915</v>
      </c>
      <c r="B28" s="624" t="s">
        <v>2512</v>
      </c>
      <c r="C28" s="625">
        <f ca="1">ROUND((C5+C19+C20)*F27,0)</f>
        <v>4371496</v>
      </c>
      <c r="D28" s="611"/>
      <c r="E28" s="612"/>
      <c r="F28" s="622"/>
      <c r="G28" s="623"/>
    </row>
    <row r="29" spans="1:7" s="590" customFormat="1" ht="13.5" customHeight="1">
      <c r="A29" s="1803" t="s">
        <v>1916</v>
      </c>
      <c r="B29" s="624" t="s">
        <v>2513</v>
      </c>
      <c r="C29" s="614">
        <f ca="1">ROUND(C21*F27,4)</f>
        <v>3.2000000000000002E-3</v>
      </c>
      <c r="D29" s="611"/>
      <c r="E29" s="612"/>
      <c r="F29" s="622"/>
      <c r="G29" s="623"/>
    </row>
    <row r="30" spans="1:7" s="590" customFormat="1" ht="13.5" customHeight="1">
      <c r="A30" s="1800" t="s">
        <v>1912</v>
      </c>
      <c r="B30" s="586" t="s">
        <v>344</v>
      </c>
      <c r="C30" s="611">
        <f>ROUND(F30/(1+'数据-取费表'!C42),4)</f>
        <v>5.33E-2</v>
      </c>
      <c r="D30" s="612" t="s">
        <v>2944</v>
      </c>
      <c r="E30" s="617"/>
      <c r="F30" s="613">
        <f>'数据-取费表'!B41</f>
        <v>5.6000000000000001E-2</v>
      </c>
      <c r="G30" s="2617" t="s">
        <v>2945</v>
      </c>
    </row>
    <row r="31" spans="1:7" ht="16.5" customHeight="1">
      <c r="A31" s="585">
        <v>1</v>
      </c>
      <c r="B31" s="586" t="s">
        <v>859</v>
      </c>
      <c r="C31" s="587">
        <f ca="1">ROUND((C5+C19+C20+C22+C27)/(1-C21-D22-D27-C30),0)</f>
        <v>37207493</v>
      </c>
      <c r="D31" s="606"/>
      <c r="E31" s="587"/>
      <c r="F31" s="626"/>
      <c r="G31" s="610" t="s">
        <v>2520</v>
      </c>
    </row>
    <row r="32" spans="1:7" s="584" customFormat="1" ht="15.75">
      <c r="A32" s="628" t="s">
        <v>2623</v>
      </c>
      <c r="B32" s="629"/>
      <c r="C32" s="629"/>
      <c r="D32" s="629"/>
      <c r="E32" s="629"/>
      <c r="F32" s="629"/>
      <c r="G32" s="630"/>
    </row>
    <row r="33" spans="1:7" s="590" customFormat="1" ht="13.5" customHeight="1">
      <c r="A33" s="631" t="s">
        <v>1906</v>
      </c>
      <c r="B33" s="2753" t="s">
        <v>2624</v>
      </c>
      <c r="C33" s="632">
        <f ca="1">SUM(C34:C38)</f>
        <v>223329342</v>
      </c>
      <c r="D33" s="608"/>
      <c r="E33" s="588"/>
      <c r="F33" s="617"/>
      <c r="G33" s="610"/>
    </row>
    <row r="34" spans="1:7" s="634" customFormat="1" ht="13.5" customHeight="1">
      <c r="A34" s="1803" t="s">
        <v>1915</v>
      </c>
      <c r="B34" s="591" t="s">
        <v>345</v>
      </c>
      <c r="C34" s="596">
        <f ca="1">ROUND(IF(B1="",SUMPRODUCT('数据-取费表'!K6:K14,'数据-取费表'!L6:L14),INDIRECT("'数据-取费表'!l"&amp;$G$1)*INDIRECT("'数据-取费表'!k"&amp;$G$1)+'数据-取费表'!L14*INDIRECT("'数据-取费表'!S"&amp;$G$1)),0)</f>
        <v>200895960</v>
      </c>
      <c r="D34" s="593"/>
      <c r="E34" s="596"/>
      <c r="F34" s="633"/>
      <c r="G34" s="595"/>
    </row>
    <row r="35" spans="1:7" ht="13.5" customHeight="1">
      <c r="A35" s="1803" t="s">
        <v>1920</v>
      </c>
      <c r="B35" s="591" t="s">
        <v>346</v>
      </c>
      <c r="C35" s="596">
        <f ca="1">ROUND(C34*F35,0)</f>
        <v>6026879</v>
      </c>
      <c r="D35" s="596"/>
      <c r="E35" s="596"/>
      <c r="F35" s="635">
        <f>'数据-取费表'!B33</f>
        <v>0.03</v>
      </c>
      <c r="G35" s="595" t="s">
        <v>848</v>
      </c>
    </row>
    <row r="36" spans="1:7" ht="24">
      <c r="A36" s="1803" t="s">
        <v>1921</v>
      </c>
      <c r="B36" s="591" t="s">
        <v>347</v>
      </c>
      <c r="C36" s="596">
        <f ca="1">ROUND(IF(B1="",SUM('数据-取费表'!AP6:AP13)*F36,IF(INDIRECT("'数据-取费表'!c"&amp;$G$1)="住宅",INDIRECT("'数据-取费表'!k"&amp;$G$1)*INDIRECT("'数据-取费表'!l"&amp;$G$1)*F36,0)),0)</f>
        <v>0</v>
      </c>
      <c r="D36" s="596"/>
      <c r="E36" s="596"/>
      <c r="F36" s="635">
        <f>'数据-取费表'!B34</f>
        <v>0</v>
      </c>
      <c r="G36" s="636" t="s">
        <v>348</v>
      </c>
    </row>
    <row r="37" spans="1:7" s="634" customFormat="1" ht="13.5" customHeight="1">
      <c r="A37" s="1803" t="s">
        <v>1922</v>
      </c>
      <c r="B37" s="591" t="s">
        <v>849</v>
      </c>
      <c r="C37" s="625">
        <f ca="1">ROUND(E37*D37,0)</f>
        <v>13393064</v>
      </c>
      <c r="D37" s="593">
        <f ca="1">D19</f>
        <v>66965.320000000065</v>
      </c>
      <c r="E37" s="625">
        <f>'数据-取费表'!B35</f>
        <v>200</v>
      </c>
      <c r="F37" s="635"/>
      <c r="G37" s="637"/>
    </row>
    <row r="38" spans="1:7" ht="13.5" customHeight="1">
      <c r="A38" s="1803" t="s">
        <v>1923</v>
      </c>
      <c r="B38" s="591" t="s">
        <v>349</v>
      </c>
      <c r="C38" s="596">
        <f ca="1">ROUND(C34*F38,0)</f>
        <v>3013439</v>
      </c>
      <c r="D38" s="596"/>
      <c r="E38" s="596"/>
      <c r="F38" s="635">
        <f>'数据-取费表'!B36</f>
        <v>1.4999999999999999E-2</v>
      </c>
      <c r="G38" s="595" t="s">
        <v>848</v>
      </c>
    </row>
    <row r="39" spans="1:7" s="590" customFormat="1" ht="13.5" customHeight="1">
      <c r="A39" s="1800" t="s">
        <v>1907</v>
      </c>
      <c r="B39" s="586" t="s">
        <v>835</v>
      </c>
      <c r="C39" s="608">
        <f ca="1">ROUND(C33*F20,0)</f>
        <v>4466587</v>
      </c>
      <c r="D39" s="608"/>
      <c r="E39" s="608"/>
      <c r="F39" s="609"/>
      <c r="G39" s="2617" t="s">
        <v>2521</v>
      </c>
    </row>
    <row r="40" spans="1:7" s="590" customFormat="1" ht="13.5" customHeight="1">
      <c r="A40" s="1800" t="s">
        <v>1908</v>
      </c>
      <c r="B40" s="586" t="s">
        <v>836</v>
      </c>
      <c r="C40" s="3236">
        <f>F21</f>
        <v>0.02</v>
      </c>
      <c r="D40" s="612" t="s">
        <v>860</v>
      </c>
      <c r="E40" s="608"/>
      <c r="F40" s="609"/>
      <c r="G40" s="610" t="s">
        <v>851</v>
      </c>
    </row>
    <row r="41" spans="1:7" s="590" customFormat="1" ht="13.5" customHeight="1">
      <c r="A41" s="1800" t="s">
        <v>1909</v>
      </c>
      <c r="B41" s="586" t="s">
        <v>838</v>
      </c>
      <c r="C41" s="608">
        <f ca="1">ROUND(SUM(C42:C43),0)</f>
        <v>10820307</v>
      </c>
      <c r="D41" s="611">
        <f ca="1">C44</f>
        <v>1E-3</v>
      </c>
      <c r="E41" s="612" t="s">
        <v>860</v>
      </c>
      <c r="F41" s="613"/>
      <c r="G41" s="2617" t="str">
        <f>IF('数据-取费表'!B22&lt;=1,"单利计息","复利计息")</f>
        <v>复利计息</v>
      </c>
    </row>
    <row r="42" spans="1:7" ht="13.5" customHeight="1">
      <c r="A42" s="1803" t="s">
        <v>1915</v>
      </c>
      <c r="B42" s="591" t="s">
        <v>2511</v>
      </c>
      <c r="C42" s="614">
        <f ca="1">ROUND(IF('数据-取费表'!B22&lt;=1,C33*F22*'数据-取费表'!B20/2,C33*(POWER((1+F22),'数据-取费表'!B20/2)-1)),0)</f>
        <v>10608144</v>
      </c>
      <c r="D42" s="614"/>
      <c r="E42" s="614"/>
      <c r="F42" s="615"/>
      <c r="G42" s="3566" t="s">
        <v>2627</v>
      </c>
    </row>
    <row r="43" spans="1:7" ht="13.5" customHeight="1">
      <c r="A43" s="1803" t="s">
        <v>1916</v>
      </c>
      <c r="B43" s="591" t="s">
        <v>2506</v>
      </c>
      <c r="C43" s="614">
        <f ca="1">ROUND(IF('数据-取费表'!B22&lt;=1,C39*F22*'数据-取费表'!B20/2,C39*(POWER((1+F22),'数据-取费表'!B20/2)-1)),0)</f>
        <v>212163</v>
      </c>
      <c r="D43" s="614"/>
      <c r="E43" s="614"/>
      <c r="F43" s="615"/>
      <c r="G43" s="3564"/>
    </row>
    <row r="44" spans="1:7" ht="13.5" customHeight="1">
      <c r="A44" s="1803" t="s">
        <v>1917</v>
      </c>
      <c r="B44" s="591" t="s">
        <v>2508</v>
      </c>
      <c r="C44" s="614">
        <f ca="1">ROUND(IF('数据-取费表'!B22&lt;=1,C40*F22*'数据-取费表'!B20/2,C40*(POWER((1+F22),'数据-取费表'!B20/2)-1)),4)</f>
        <v>1E-3</v>
      </c>
      <c r="D44" s="614"/>
      <c r="E44" s="614"/>
      <c r="F44" s="615"/>
      <c r="G44" s="3565"/>
    </row>
    <row r="45" spans="1:7" s="590" customFormat="1" ht="13.5" customHeight="1">
      <c r="A45" s="1800" t="s">
        <v>1910</v>
      </c>
      <c r="B45" s="620" t="s">
        <v>843</v>
      </c>
      <c r="C45" s="621">
        <f ca="1">C46</f>
        <v>36447349</v>
      </c>
      <c r="D45" s="611">
        <f ca="1">C47</f>
        <v>3.2000000000000002E-3</v>
      </c>
      <c r="E45" s="612" t="s">
        <v>860</v>
      </c>
      <c r="F45" s="622"/>
      <c r="G45" s="623" t="s">
        <v>2522</v>
      </c>
    </row>
    <row r="46" spans="1:7" s="590" customFormat="1" ht="13.5" customHeight="1">
      <c r="A46" s="1803" t="s">
        <v>1915</v>
      </c>
      <c r="B46" s="624" t="s">
        <v>2515</v>
      </c>
      <c r="C46" s="625">
        <f ca="1">ROUND((C33+C39)*F27,0)</f>
        <v>36447349</v>
      </c>
      <c r="D46" s="639"/>
      <c r="E46" s="612"/>
      <c r="F46" s="622"/>
      <c r="G46" s="623"/>
    </row>
    <row r="47" spans="1:7" s="590" customFormat="1" ht="13.5" customHeight="1">
      <c r="A47" s="1803" t="s">
        <v>1916</v>
      </c>
      <c r="B47" s="624" t="s">
        <v>2517</v>
      </c>
      <c r="C47" s="614">
        <f ca="1">ROUND(C40*F27,4)</f>
        <v>3.2000000000000002E-3</v>
      </c>
      <c r="D47" s="639"/>
      <c r="E47" s="612"/>
      <c r="F47" s="622"/>
      <c r="G47" s="623"/>
    </row>
    <row r="48" spans="1:7" s="590" customFormat="1" ht="13.5" customHeight="1">
      <c r="A48" s="1800" t="s">
        <v>1911</v>
      </c>
      <c r="B48" s="586" t="s">
        <v>853</v>
      </c>
      <c r="C48" s="638">
        <f>ROUND(F30/(1+'数据-取费表'!C42),4)</f>
        <v>5.33E-2</v>
      </c>
      <c r="D48" s="612" t="s">
        <v>2942</v>
      </c>
      <c r="E48" s="608"/>
      <c r="F48" s="613"/>
      <c r="G48" s="2617" t="s">
        <v>2943</v>
      </c>
    </row>
    <row r="49" spans="1:7" ht="16.5" customHeight="1">
      <c r="A49" s="1800" t="s">
        <v>1912</v>
      </c>
      <c r="B49" s="586" t="s">
        <v>2625</v>
      </c>
      <c r="C49" s="608">
        <f ca="1">ROUND((C33+C39+C41+C45)/(1-C40-D41-D45-C48),0)</f>
        <v>298171908</v>
      </c>
      <c r="D49" s="608"/>
      <c r="E49" s="608"/>
      <c r="F49" s="640"/>
      <c r="G49" s="610" t="s">
        <v>2523</v>
      </c>
    </row>
    <row r="50" spans="1:7" s="634" customFormat="1">
      <c r="A50" s="1800" t="s">
        <v>1913</v>
      </c>
      <c r="B50" s="586" t="s">
        <v>855</v>
      </c>
      <c r="C50" s="608"/>
      <c r="D50" s="608"/>
      <c r="E50" s="608"/>
      <c r="F50" s="640">
        <f>IF('数据-取费表'!B24=0,'数据-取费表'!N16,1)</f>
        <v>0.98</v>
      </c>
      <c r="G50" s="623"/>
    </row>
    <row r="51" spans="1:7" ht="16.5" customHeight="1">
      <c r="A51" s="1800" t="s">
        <v>1914</v>
      </c>
      <c r="B51" s="586" t="s">
        <v>2626</v>
      </c>
      <c r="C51" s="608">
        <f ca="1">ROUND(C49*F50,0)</f>
        <v>292208470</v>
      </c>
      <c r="D51" s="608"/>
      <c r="E51" s="608"/>
      <c r="F51" s="640"/>
      <c r="G51" s="610" t="s">
        <v>350</v>
      </c>
    </row>
    <row r="52" spans="1:7" s="584" customFormat="1" ht="16.5" thickBot="1">
      <c r="A52" s="641" t="s">
        <v>351</v>
      </c>
      <c r="B52" s="642"/>
      <c r="C52" s="643">
        <f ca="1">C31+C51</f>
        <v>329415963</v>
      </c>
      <c r="D52" s="642"/>
      <c r="E52" s="642"/>
      <c r="F52" s="642"/>
      <c r="G52" s="644"/>
    </row>
    <row r="55" spans="1:7" ht="15">
      <c r="B55" s="646" t="s">
        <v>352</v>
      </c>
      <c r="C55" s="647"/>
    </row>
    <row r="56" spans="1:7">
      <c r="B56" s="2872" t="s">
        <v>2698</v>
      </c>
      <c r="C56" s="651">
        <f ca="1">1-C57</f>
        <v>0.11299999999999999</v>
      </c>
    </row>
    <row r="57" spans="1:7">
      <c r="B57" s="2872" t="s">
        <v>2697</v>
      </c>
      <c r="C57" s="650">
        <f ca="1">ROUND(C51/C52,3)</f>
        <v>0.88700000000000001</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26" sqref="C26"/>
    </sheetView>
  </sheetViews>
  <sheetFormatPr defaultColWidth="6.625" defaultRowHeight="12.75"/>
  <cols>
    <col min="1" max="1" width="9.75" style="1466" customWidth="1"/>
    <col min="2" max="2" width="25.75" style="1804" customWidth="1"/>
    <col min="3" max="3" width="10.375" style="1848" customWidth="1"/>
    <col min="4" max="4" width="9.875" style="1804" customWidth="1"/>
    <col min="5" max="5" width="9.5" style="1466"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2" t="s">
        <v>866</v>
      </c>
      <c r="B1" s="3051"/>
      <c r="C1" s="3052"/>
      <c r="D1" s="3050"/>
      <c r="E1" s="652"/>
      <c r="F1" s="652"/>
      <c r="G1" s="3051"/>
      <c r="H1" s="652"/>
      <c r="I1" s="652"/>
      <c r="J1" s="652"/>
      <c r="K1" s="652">
        <f>MATCH(C1,'数据-取费表'!A6:A16,0)+5</f>
        <v>9</v>
      </c>
    </row>
    <row r="2" spans="1:33" ht="18" customHeight="1">
      <c r="A2" s="577" t="s">
        <v>815</v>
      </c>
      <c r="B2" s="580">
        <f ca="1">C32</f>
        <v>-1540</v>
      </c>
      <c r="C2" s="88" t="s">
        <v>1093</v>
      </c>
      <c r="D2" s="652"/>
      <c r="E2" s="652"/>
      <c r="F2" s="652"/>
      <c r="G2" s="652"/>
      <c r="H2" s="652"/>
      <c r="I2" s="652"/>
      <c r="J2" s="652"/>
      <c r="K2" s="652"/>
    </row>
    <row r="3" spans="1:33" ht="18" customHeight="1" thickBot="1">
      <c r="A3" s="579" t="s">
        <v>816</v>
      </c>
      <c r="B3" s="580">
        <f ca="1">ROUND(B2*10000/IF(C1="",'数据-汇总表'!E3,INDIRECT("'数据-取费表'!K"&amp;$K$1)),0)</f>
        <v>-230</v>
      </c>
      <c r="C3" s="88" t="s">
        <v>865</v>
      </c>
      <c r="D3" s="652"/>
      <c r="E3" s="652"/>
      <c r="F3" s="652"/>
      <c r="G3" s="652"/>
      <c r="H3" s="652"/>
      <c r="I3" s="652"/>
      <c r="J3" s="652"/>
      <c r="K3" s="652"/>
    </row>
    <row r="4" spans="1:33" s="1808" customFormat="1" ht="16.5" customHeight="1">
      <c r="A4" s="1805" t="s">
        <v>867</v>
      </c>
      <c r="B4" s="1806"/>
      <c r="C4" s="1849">
        <f>SUM(C8:K8)</f>
        <v>0</v>
      </c>
      <c r="D4" s="1806"/>
      <c r="E4" s="1806"/>
      <c r="F4" s="1806"/>
      <c r="G4" s="1806"/>
      <c r="H4" s="1806"/>
      <c r="I4" s="1806"/>
      <c r="J4" s="1806"/>
      <c r="K4" s="1807"/>
    </row>
    <row r="5" spans="1:33" s="1812" customFormat="1" ht="24">
      <c r="A5" s="1809" t="s">
        <v>868</v>
      </c>
      <c r="B5" s="1810" t="s">
        <v>869</v>
      </c>
      <c r="C5" s="1273" t="s">
        <v>200</v>
      </c>
      <c r="D5" s="1273" t="s">
        <v>201</v>
      </c>
      <c r="E5" s="1273" t="s">
        <v>191</v>
      </c>
      <c r="F5" s="1273"/>
      <c r="G5" s="1273"/>
      <c r="H5" s="1273"/>
      <c r="I5" s="1273"/>
      <c r="J5" s="1273"/>
      <c r="K5" s="1273"/>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1926</v>
      </c>
      <c r="B6" s="471" t="s">
        <v>870</v>
      </c>
      <c r="C6" s="1814"/>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1907</v>
      </c>
      <c r="B7" s="471" t="s">
        <v>871</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1908</v>
      </c>
      <c r="B8" s="509" t="s">
        <v>872</v>
      </c>
      <c r="C8" s="1851"/>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873</v>
      </c>
      <c r="B9" s="1806"/>
      <c r="C9" s="1806"/>
      <c r="D9" s="1806"/>
      <c r="E9" s="1806"/>
      <c r="F9" s="1806"/>
      <c r="G9" s="1806"/>
      <c r="H9" s="1806"/>
      <c r="I9" s="1806"/>
      <c r="J9" s="1806"/>
      <c r="K9" s="1807"/>
    </row>
    <row r="10" spans="1:33" s="1823" customFormat="1" ht="13.5" customHeight="1">
      <c r="A10" s="1809" t="s">
        <v>868</v>
      </c>
      <c r="B10" s="295" t="s">
        <v>869</v>
      </c>
      <c r="C10" s="1819" t="s">
        <v>874</v>
      </c>
      <c r="D10" s="1820" t="s">
        <v>875</v>
      </c>
      <c r="E10" s="1820" t="s">
        <v>876</v>
      </c>
      <c r="F10" s="1820" t="s">
        <v>877</v>
      </c>
      <c r="G10" s="295"/>
      <c r="H10" s="1821"/>
      <c r="I10" s="1821"/>
      <c r="J10" s="1821"/>
      <c r="K10" s="1822"/>
    </row>
    <row r="11" spans="1:33" s="1828" customFormat="1" ht="13.5" customHeight="1">
      <c r="A11" s="1824" t="s">
        <v>2948</v>
      </c>
      <c r="B11" s="1825" t="s">
        <v>878</v>
      </c>
      <c r="C11" s="655">
        <f ca="1">IF(C1="",'数据-取费表'!P16,INDIRECT("'数据-取费表'!p"&amp;$K$1)+INDIRECT("'数据-取费表'!ar"&amp;$K$1))</f>
        <v>0</v>
      </c>
      <c r="D11" s="1826"/>
      <c r="E11" s="715"/>
      <c r="F11" s="1827">
        <f ca="1">1-IF('数据-取费表'!B24=0,1,IF(C1="",'数据-取费表'!N16,INDIRECT("'数据-取费表'!n"&amp;$K$1)))</f>
        <v>0</v>
      </c>
      <c r="G11" s="295"/>
      <c r="H11" s="1821"/>
      <c r="I11" s="1821"/>
      <c r="J11" s="1821"/>
      <c r="K11" s="1822"/>
    </row>
    <row r="12" spans="1:33" s="1828" customFormat="1" ht="13.5" customHeight="1">
      <c r="A12" s="1824" t="s">
        <v>2949</v>
      </c>
      <c r="B12" s="1825" t="s">
        <v>879</v>
      </c>
      <c r="C12" s="313">
        <f ca="1">ROUND(C11*F12,0)</f>
        <v>0</v>
      </c>
      <c r="D12" s="1826"/>
      <c r="E12" s="715"/>
      <c r="F12" s="1829">
        <f>'数据-取费表'!B33</f>
        <v>0.03</v>
      </c>
      <c r="G12" s="295" t="s">
        <v>880</v>
      </c>
      <c r="H12" s="1821"/>
      <c r="I12" s="1821"/>
      <c r="J12" s="1821"/>
      <c r="K12" s="1822"/>
    </row>
    <row r="13" spans="1:33" s="1828" customFormat="1" ht="13.5" customHeight="1">
      <c r="A13" s="1824" t="s">
        <v>2950</v>
      </c>
      <c r="B13" s="1825" t="s">
        <v>881</v>
      </c>
      <c r="C13" s="313">
        <f ca="1">ROUND(IF(C1="",SUMIF('数据-取费表'!C:C,"住宅",'数据-取费表'!P:P)*F13,IF(INDIRECT("'数据-取费表'!c"&amp;$K$1)="住宅",INDIRECT("'数据-取费表'!P"&amp;$K$1)*F13,0)),0)</f>
        <v>0</v>
      </c>
      <c r="D13" s="1907"/>
      <c r="E13" s="715"/>
      <c r="F13" s="1829">
        <f>'数据-取费表'!B34</f>
        <v>0</v>
      </c>
      <c r="G13" s="295" t="s">
        <v>882</v>
      </c>
      <c r="H13" s="1821"/>
      <c r="I13" s="1821"/>
      <c r="J13" s="1821"/>
      <c r="K13" s="1822"/>
    </row>
    <row r="14" spans="1:33" s="1830" customFormat="1" ht="13.5" customHeight="1">
      <c r="A14" s="1824" t="s">
        <v>2951</v>
      </c>
      <c r="B14" s="1825" t="s">
        <v>883</v>
      </c>
      <c r="C14" s="313">
        <f ca="1">ROUND(D14*E14*F11/10000,0)</f>
        <v>0</v>
      </c>
      <c r="D14" s="1907">
        <f ca="1">IF(C1="",'数据-汇总表'!E3,INDIRECT("'数据-取费表'!K"&amp;$K$1)+INDIRECT("'数据-取费表'!S"&amp;$K$1))</f>
        <v>66965.320000000065</v>
      </c>
      <c r="E14" s="313">
        <f>'数据-取费表'!B35</f>
        <v>200</v>
      </c>
      <c r="F14" s="1829"/>
      <c r="G14" s="295" t="s">
        <v>884</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2952</v>
      </c>
      <c r="B15" s="1825" t="s">
        <v>890</v>
      </c>
      <c r="C15" s="1836">
        <f ca="1">ROUND(C11*F15,0)</f>
        <v>0</v>
      </c>
      <c r="D15" s="1831"/>
      <c r="E15" s="1836"/>
      <c r="F15" s="1837">
        <f>'数据-取费表'!B36</f>
        <v>1.4999999999999999E-2</v>
      </c>
      <c r="G15" s="471" t="s">
        <v>891</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1927</v>
      </c>
      <c r="B16" s="3237" t="s">
        <v>2953</v>
      </c>
      <c r="C16" s="1836">
        <f ca="1">SUM(C11:C15)</f>
        <v>0</v>
      </c>
      <c r="D16" s="1831"/>
      <c r="E16" s="1836"/>
      <c r="F16" s="1837"/>
      <c r="G16" s="471"/>
      <c r="H16" s="3048"/>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1928</v>
      </c>
      <c r="B17" s="1825" t="s">
        <v>885</v>
      </c>
      <c r="C17" s="313">
        <f ca="1">ROUND(D17*E17/10000,0)</f>
        <v>0</v>
      </c>
      <c r="D17" s="1907">
        <f ca="1">D14</f>
        <v>66965.320000000065</v>
      </c>
      <c r="E17" s="313">
        <f>'数据-取费表'!B32</f>
        <v>0</v>
      </c>
      <c r="F17" s="1831"/>
      <c r="G17" s="471" t="s">
        <v>886</v>
      </c>
      <c r="H17" s="3048"/>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2954</v>
      </c>
      <c r="B18" s="1825" t="s">
        <v>887</v>
      </c>
      <c r="C18" s="313">
        <f ca="1">C19+C20-IF(C1="",'数据-取费表'!B29,IF(G18="已全部缴纳",C19+C20,H18))</f>
        <v>1339</v>
      </c>
      <c r="D18" s="1907"/>
      <c r="E18" s="313"/>
      <c r="F18" s="1829"/>
      <c r="G18" s="3047"/>
      <c r="H18" s="3045"/>
      <c r="I18" s="3046" t="s">
        <v>2798</v>
      </c>
      <c r="J18" s="1832"/>
      <c r="K18" s="1833"/>
    </row>
    <row r="19" spans="1:33" s="1828" customFormat="1" ht="13.5" customHeight="1">
      <c r="A19" s="1824" t="s">
        <v>1929</v>
      </c>
      <c r="B19" s="1825" t="s">
        <v>888</v>
      </c>
      <c r="C19" s="313">
        <f ca="1">ROUND(D19*E19/10000,0)</f>
        <v>0</v>
      </c>
      <c r="D19" s="1907">
        <f ca="1">IF(C1="",'数据-汇总表'!E5,IF(INDIRECT("'数据-取费表'!c"&amp;$K$1)="住宅",INDIRECT("'数据-取费表'!k"&amp;$K$1),0))</f>
        <v>0</v>
      </c>
      <c r="E19" s="313">
        <f>'数据-取费表'!B27</f>
        <v>0</v>
      </c>
      <c r="F19" s="1829"/>
      <c r="G19" s="303"/>
      <c r="H19" s="3049"/>
      <c r="I19" s="1834"/>
      <c r="J19" s="1834"/>
      <c r="K19" s="1835"/>
    </row>
    <row r="20" spans="1:33" s="1828" customFormat="1" ht="13.5" customHeight="1">
      <c r="A20" s="1824" t="s">
        <v>1930</v>
      </c>
      <c r="B20" s="1825" t="s">
        <v>889</v>
      </c>
      <c r="C20" s="313">
        <f ca="1">ROUND(D20*E20/10000,0)</f>
        <v>1339</v>
      </c>
      <c r="D20" s="1907">
        <f ca="1">IF(C1="",'数据-汇总表'!E6,IF(INDIRECT("'数据-取费表'!c"&amp;$K$1)="住宅",INDIRECT("'数据-取费表'!s"&amp;$K$1),INDIRECT("'数据-取费表'!k"&amp;$K$1)+INDIRECT("'数据-取费表'!s"&amp;$K$1)))</f>
        <v>66965.320000000065</v>
      </c>
      <c r="E20" s="313">
        <f>'数据-取费表'!B28</f>
        <v>200</v>
      </c>
      <c r="F20" s="1829"/>
      <c r="G20" s="303"/>
      <c r="H20" s="1834"/>
      <c r="I20" s="1834"/>
      <c r="J20" s="1834"/>
      <c r="K20" s="1835"/>
    </row>
    <row r="21" spans="1:33" s="1828" customFormat="1" ht="13.5" customHeight="1">
      <c r="A21" s="1813" t="s">
        <v>1926</v>
      </c>
      <c r="B21" s="1838" t="s">
        <v>892</v>
      </c>
      <c r="C21" s="1839">
        <f ca="1">C16+C17+C18</f>
        <v>1339</v>
      </c>
      <c r="D21" s="1840"/>
      <c r="E21" s="657"/>
      <c r="F21" s="657"/>
      <c r="G21" s="471" t="s">
        <v>2524</v>
      </c>
      <c r="H21" s="1832"/>
      <c r="I21" s="1832"/>
      <c r="J21" s="1832"/>
      <c r="K21" s="1833"/>
    </row>
    <row r="22" spans="1:33" s="1828" customFormat="1" ht="13.5" customHeight="1">
      <c r="A22" s="1818" t="s">
        <v>1907</v>
      </c>
      <c r="B22" s="1838" t="s">
        <v>893</v>
      </c>
      <c r="C22" s="1839">
        <f ca="1">ROUND(C21*F22,0)</f>
        <v>27</v>
      </c>
      <c r="D22" s="657"/>
      <c r="E22" s="657"/>
      <c r="F22" s="1841">
        <f>'数据-取费表'!B37</f>
        <v>0.02</v>
      </c>
      <c r="G22" s="295" t="s">
        <v>894</v>
      </c>
      <c r="H22" s="1821"/>
      <c r="I22" s="1821"/>
      <c r="J22" s="1821"/>
      <c r="K22" s="1822"/>
    </row>
    <row r="23" spans="1:33" s="1828" customFormat="1" ht="13.5" customHeight="1">
      <c r="A23" s="1818" t="s">
        <v>1908</v>
      </c>
      <c r="B23" s="1838" t="s">
        <v>895</v>
      </c>
      <c r="C23" s="1839">
        <f ca="1">ROUND(C4*F23*F11,0)</f>
        <v>0</v>
      </c>
      <c r="D23" s="657"/>
      <c r="E23" s="657"/>
      <c r="F23" s="1841">
        <f>'数据-取费表'!B38</f>
        <v>0.02</v>
      </c>
      <c r="G23" s="295" t="s">
        <v>896</v>
      </c>
      <c r="H23" s="1821"/>
      <c r="I23" s="1821"/>
      <c r="J23" s="1821"/>
      <c r="K23" s="1822"/>
    </row>
    <row r="24" spans="1:33" s="1828" customFormat="1" ht="13.5" customHeight="1">
      <c r="A24" s="1818" t="s">
        <v>1909</v>
      </c>
      <c r="B24" s="1838" t="s">
        <v>897</v>
      </c>
      <c r="C24" s="656">
        <f>ROUND(F24/(1+'数据-取费表'!C42),4)</f>
        <v>2.9000000000000001E-2</v>
      </c>
      <c r="D24" s="657" t="s">
        <v>50</v>
      </c>
      <c r="E24" s="657"/>
      <c r="F24" s="1841">
        <f>'数据-取费表'!B48+'数据-取费表'!B49</f>
        <v>3.0499999999999999E-2</v>
      </c>
      <c r="G24" s="2020" t="s">
        <v>2946</v>
      </c>
      <c r="H24" s="1843"/>
      <c r="I24" s="1843"/>
      <c r="J24" s="1843"/>
      <c r="K24" s="1844"/>
    </row>
    <row r="25" spans="1:33" s="1828" customFormat="1" ht="13.5" customHeight="1">
      <c r="A25" s="1818" t="s">
        <v>1910</v>
      </c>
      <c r="B25" s="1840" t="s">
        <v>898</v>
      </c>
      <c r="C25" s="2699">
        <f ca="1">C27</f>
        <v>0</v>
      </c>
      <c r="D25" s="656">
        <f ca="1">C26</f>
        <v>0</v>
      </c>
      <c r="E25" s="658" t="s">
        <v>50</v>
      </c>
      <c r="F25" s="659">
        <f ca="1">'数据-取费表'!B40</f>
        <v>4.7500000000000001E-2</v>
      </c>
      <c r="G25" s="2698"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1927</v>
      </c>
      <c r="B26" s="1845" t="s">
        <v>899</v>
      </c>
      <c r="C26" s="2700">
        <f ca="1">ROUND(IF('数据-取费表'!B22&lt;=1,(1+C24)*F25*'数据-取费表'!B24,(1+C24)*(POWER((1+F25),'数据-取费表'!B24)-1)),4)</f>
        <v>0</v>
      </c>
      <c r="D26" s="660"/>
      <c r="E26" s="661"/>
      <c r="F26" s="662"/>
      <c r="G26" s="2705"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1928</v>
      </c>
      <c r="B27" s="1845" t="s">
        <v>2614</v>
      </c>
      <c r="C27" s="2701">
        <f ca="1">ROUND(IF('数据-取费表'!B22&lt;=1,(C21+C22+C23)*F25*'数据-取费表'!B24/2,(C21+C22+C23)*(POWER((1+F25),'数据-取费表'!B24/2)-1)),0)</f>
        <v>0</v>
      </c>
      <c r="D27" s="660"/>
      <c r="E27" s="661"/>
      <c r="F27" s="662"/>
      <c r="G27" s="2705" t="str">
        <f>IF('数据-取费表'!B22&lt;=1,"（1）-（3）项×年利率×建设期÷2","（1）-（3）项×((1+年利率)^(建设期÷2)-1)")</f>
        <v>（1）-（3）项×((1+年利率)^(建设期÷2)-1)</v>
      </c>
      <c r="H27" s="1832"/>
      <c r="I27" s="1832"/>
      <c r="J27" s="1832"/>
      <c r="K27" s="1833"/>
    </row>
    <row r="28" spans="1:33" s="665" customFormat="1" ht="13.5" customHeight="1">
      <c r="A28" s="1818" t="s">
        <v>1911</v>
      </c>
      <c r="B28" s="3238" t="s">
        <v>2955</v>
      </c>
      <c r="C28" s="663">
        <f ca="1">C30</f>
        <v>219</v>
      </c>
      <c r="D28" s="656">
        <f ca="1">C29</f>
        <v>0</v>
      </c>
      <c r="E28" s="658" t="s">
        <v>50</v>
      </c>
      <c r="F28" s="664">
        <f ca="1">IF(C1="",'数据-取费表'!Q16,INDIRECT("'数据-取费表'!q"&amp;$K$1))</f>
        <v>0.16</v>
      </c>
      <c r="G28" s="1842"/>
      <c r="H28" s="1843"/>
      <c r="I28" s="1843"/>
      <c r="J28" s="1843"/>
      <c r="K28" s="1844"/>
    </row>
    <row r="29" spans="1:33" s="667" customFormat="1" ht="13.5" customHeight="1">
      <c r="A29" s="1824" t="s">
        <v>1927</v>
      </c>
      <c r="B29" s="1847" t="s">
        <v>900</v>
      </c>
      <c r="C29" s="660">
        <f ca="1">ROUND((1+C24)*F28*'数据-取费表'!B24/'数据-取费表'!B20,4)</f>
        <v>0</v>
      </c>
      <c r="D29" s="660"/>
      <c r="E29" s="661"/>
      <c r="F29" s="666"/>
      <c r="G29" s="471" t="s">
        <v>901</v>
      </c>
      <c r="H29" s="1832"/>
      <c r="I29" s="1832"/>
      <c r="J29" s="1832"/>
      <c r="K29" s="1833"/>
    </row>
    <row r="30" spans="1:33" s="667" customFormat="1" ht="13.5" customHeight="1">
      <c r="A30" s="1824" t="s">
        <v>1928</v>
      </c>
      <c r="B30" s="2706" t="s">
        <v>2615</v>
      </c>
      <c r="C30" s="668">
        <f ca="1">ROUND((C21+C22+C23)*F28,0)</f>
        <v>219</v>
      </c>
      <c r="D30" s="660"/>
      <c r="E30" s="661"/>
      <c r="F30" s="666"/>
      <c r="G30" s="471"/>
      <c r="H30" s="1832"/>
      <c r="I30" s="1832"/>
      <c r="J30" s="1832"/>
      <c r="K30" s="1833"/>
    </row>
    <row r="31" spans="1:33" s="1828" customFormat="1" ht="13.5" customHeight="1" thickBot="1">
      <c r="A31" s="1859" t="s">
        <v>1912</v>
      </c>
      <c r="B31" s="1860" t="s">
        <v>902</v>
      </c>
      <c r="C31" s="1861">
        <f>ROUND(C4*F31/(1+'数据-取费表'!C42),0)</f>
        <v>0</v>
      </c>
      <c r="D31" s="1862"/>
      <c r="E31" s="1863"/>
      <c r="F31" s="1864">
        <f>'数据-取费表'!B41</f>
        <v>5.6000000000000001E-2</v>
      </c>
      <c r="G31" s="1865" t="s">
        <v>903</v>
      </c>
      <c r="H31" s="1866"/>
      <c r="I31" s="1866"/>
      <c r="J31" s="1866"/>
      <c r="K31" s="1867"/>
    </row>
    <row r="32" spans="1:33" s="1823" customFormat="1" ht="13.5" customHeight="1" thickBot="1">
      <c r="A32" s="1854" t="s">
        <v>2947</v>
      </c>
      <c r="B32" s="1855"/>
      <c r="C32" s="1856">
        <f ca="1">ROUND((C4-C21-C22-C23-C25-C28-C31)/(1+C24+D25+D28),0)</f>
        <v>-1540</v>
      </c>
      <c r="D32" s="1855"/>
      <c r="E32" s="1855"/>
      <c r="F32" s="1855"/>
      <c r="G32" s="1857" t="s">
        <v>904</v>
      </c>
      <c r="H32" s="1855"/>
      <c r="I32" s="1855"/>
      <c r="J32" s="1855"/>
      <c r="K32" s="1858"/>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 zoomScaleNormal="100" zoomScaleSheetLayoutView="100" zoomScalePageLayoutView="80" workbookViewId="0">
      <selection activeCell="J38" sqref="J38"/>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757</v>
      </c>
      <c r="B1" s="1243"/>
      <c r="C1" s="2095" t="s">
        <v>3445</v>
      </c>
      <c r="D1" s="1243"/>
      <c r="E1" s="1243"/>
      <c r="F1" s="2079" t="s">
        <v>2105</v>
      </c>
      <c r="G1" s="2052" t="s">
        <v>3554</v>
      </c>
      <c r="H1" s="2108" t="str">
        <f>IF(G1="现房","——","估价对象范围")</f>
        <v>——</v>
      </c>
      <c r="I1" s="2085"/>
    </row>
    <row r="2" spans="1:12" ht="21.75" customHeight="1" thickBot="1">
      <c r="A2" s="3538" t="str">
        <f>项目基本情况!S2</f>
        <v>北京市丰台区汽车博物馆西路8号院1、2、3号楼房地产</v>
      </c>
      <c r="B2" s="3539"/>
      <c r="C2" s="3539"/>
      <c r="D2" s="3539"/>
      <c r="E2" s="3539"/>
      <c r="F2" s="3539"/>
      <c r="G2" s="3539"/>
      <c r="H2" s="3539"/>
      <c r="I2" s="3540"/>
    </row>
    <row r="3" spans="1:12" ht="12">
      <c r="A3" s="3542" t="s">
        <v>10</v>
      </c>
      <c r="B3" s="3543"/>
      <c r="C3" s="3543"/>
      <c r="D3" s="3543"/>
      <c r="E3" s="3543"/>
      <c r="F3" s="3543"/>
      <c r="G3" s="3543"/>
      <c r="H3" s="3543"/>
      <c r="I3" s="3543"/>
    </row>
    <row r="4" spans="1:12" ht="13.5">
      <c r="A4" s="429" t="s">
        <v>11</v>
      </c>
      <c r="B4" s="430" t="s">
        <v>12</v>
      </c>
      <c r="C4" s="431" t="s">
        <v>3558</v>
      </c>
      <c r="D4" s="431" t="s">
        <v>3551</v>
      </c>
      <c r="E4" s="3547" t="s">
        <v>758</v>
      </c>
      <c r="F4" s="3548"/>
      <c r="G4" s="3548"/>
      <c r="H4" s="3548"/>
      <c r="I4" s="3549"/>
      <c r="K4" s="2181" t="str">
        <f>IF(ISNUMBER(FIND("比较法",'结果表（办公）'!C4)),"比较法",IF(ISNUMBER(FIND("成本法",'结果表（办公）'!C4)),"成本法",IF(ISNUMBER(FIND("假设开发法",'结果表（办公）'!C4)),"假设开发法",IF(ISNUMBER(FIND("收益法",'结果表（办公）'!C4)),"收益法","基准地价系数修正法"))))</f>
        <v>比较法</v>
      </c>
      <c r="L4" s="218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513" t="s">
        <v>13</v>
      </c>
      <c r="B5" s="3541">
        <v>25</v>
      </c>
      <c r="C5" s="3544"/>
      <c r="D5" s="3531"/>
      <c r="E5" s="471" t="s">
        <v>802</v>
      </c>
      <c r="F5" s="432"/>
      <c r="G5" s="432"/>
      <c r="H5" s="432"/>
      <c r="I5" s="433"/>
    </row>
    <row r="6" spans="1:12" ht="12.75">
      <c r="A6" s="3513"/>
      <c r="B6" s="3541"/>
      <c r="C6" s="3546"/>
      <c r="D6" s="3531"/>
      <c r="E6" s="471" t="s">
        <v>803</v>
      </c>
      <c r="F6" s="432"/>
      <c r="G6" s="432"/>
      <c r="H6" s="432"/>
      <c r="I6" s="433"/>
    </row>
    <row r="7" spans="1:12" ht="12.75">
      <c r="A7" s="3513"/>
      <c r="B7" s="3541"/>
      <c r="C7" s="3545"/>
      <c r="D7" s="3531"/>
      <c r="E7" s="471" t="s">
        <v>804</v>
      </c>
      <c r="F7" s="432"/>
      <c r="G7" s="432"/>
      <c r="H7" s="432"/>
      <c r="I7" s="433"/>
    </row>
    <row r="8" spans="1:12" ht="12.75">
      <c r="A8" s="3513" t="s">
        <v>14</v>
      </c>
      <c r="B8" s="3541">
        <v>15</v>
      </c>
      <c r="C8" s="3544"/>
      <c r="D8" s="3531"/>
      <c r="E8" s="471" t="s">
        <v>805</v>
      </c>
      <c r="F8" s="432"/>
      <c r="G8" s="432"/>
      <c r="H8" s="432"/>
      <c r="I8" s="433"/>
    </row>
    <row r="9" spans="1:12" ht="12.75">
      <c r="A9" s="3513"/>
      <c r="B9" s="3541"/>
      <c r="C9" s="3545"/>
      <c r="D9" s="3531"/>
      <c r="E9" s="471" t="s">
        <v>806</v>
      </c>
      <c r="F9" s="432"/>
      <c r="G9" s="432"/>
      <c r="H9" s="432"/>
      <c r="I9" s="433"/>
    </row>
    <row r="10" spans="1:12" ht="12.75">
      <c r="A10" s="3513" t="s">
        <v>15</v>
      </c>
      <c r="B10" s="3541">
        <v>15</v>
      </c>
      <c r="C10" s="3544"/>
      <c r="D10" s="3531"/>
      <c r="E10" s="471" t="s">
        <v>807</v>
      </c>
      <c r="F10" s="432"/>
      <c r="G10" s="432"/>
      <c r="H10" s="432"/>
      <c r="I10" s="433"/>
    </row>
    <row r="11" spans="1:12" ht="12.75">
      <c r="A11" s="3513"/>
      <c r="B11" s="3541"/>
      <c r="C11" s="3545"/>
      <c r="D11" s="3531"/>
      <c r="E11" s="471" t="s">
        <v>808</v>
      </c>
      <c r="F11" s="432"/>
      <c r="G11" s="432"/>
      <c r="H11" s="432"/>
      <c r="I11" s="433"/>
    </row>
    <row r="12" spans="1:12" ht="12.75">
      <c r="A12" s="3513" t="s">
        <v>16</v>
      </c>
      <c r="B12" s="3541">
        <v>15</v>
      </c>
      <c r="C12" s="3544"/>
      <c r="D12" s="3531"/>
      <c r="E12" s="471" t="s">
        <v>809</v>
      </c>
      <c r="F12" s="432"/>
      <c r="G12" s="432"/>
      <c r="H12" s="432"/>
      <c r="I12" s="433"/>
    </row>
    <row r="13" spans="1:12" ht="12.75">
      <c r="A13" s="3513"/>
      <c r="B13" s="3541"/>
      <c r="C13" s="3545"/>
      <c r="D13" s="3531"/>
      <c r="E13" s="471" t="s">
        <v>810</v>
      </c>
      <c r="F13" s="432"/>
      <c r="G13" s="432"/>
      <c r="H13" s="432"/>
      <c r="I13" s="433"/>
    </row>
    <row r="14" spans="1:12" ht="12.75">
      <c r="A14" s="3513" t="s">
        <v>17</v>
      </c>
      <c r="B14" s="3541">
        <v>30</v>
      </c>
      <c r="C14" s="3544">
        <v>5</v>
      </c>
      <c r="D14" s="3531">
        <v>5</v>
      </c>
      <c r="E14" s="471" t="s">
        <v>811</v>
      </c>
      <c r="F14" s="432"/>
      <c r="G14" s="432"/>
      <c r="H14" s="432"/>
      <c r="I14" s="433"/>
    </row>
    <row r="15" spans="1:12" ht="12.75">
      <c r="A15" s="3513"/>
      <c r="B15" s="3541"/>
      <c r="C15" s="3546"/>
      <c r="D15" s="3531"/>
      <c r="E15" s="471" t="s">
        <v>812</v>
      </c>
      <c r="F15" s="432"/>
      <c r="G15" s="432"/>
      <c r="H15" s="432"/>
      <c r="I15" s="433"/>
    </row>
    <row r="16" spans="1:12" ht="12.75">
      <c r="A16" s="3513"/>
      <c r="B16" s="3541"/>
      <c r="C16" s="3545"/>
      <c r="D16" s="3531"/>
      <c r="E16" s="471" t="s">
        <v>813</v>
      </c>
      <c r="F16" s="432"/>
      <c r="G16" s="432"/>
      <c r="H16" s="432"/>
      <c r="I16" s="433"/>
    </row>
    <row r="17" spans="1:35" ht="14.25">
      <c r="A17" s="434" t="s">
        <v>18</v>
      </c>
      <c r="B17" s="38"/>
      <c r="C17" s="472">
        <f>SUM(C5:C16)</f>
        <v>5</v>
      </c>
      <c r="D17" s="472">
        <f>SUM(D5:D16)</f>
        <v>5</v>
      </c>
      <c r="E17" s="2274"/>
      <c r="F17" s="2274"/>
      <c r="G17" s="2274"/>
      <c r="H17" s="2274"/>
      <c r="I17" s="2274"/>
      <c r="K17" s="2181"/>
      <c r="L17" s="2182" t="s">
        <v>2313</v>
      </c>
      <c r="M17" s="2182" t="s">
        <v>2314</v>
      </c>
    </row>
    <row r="18" spans="1:35" ht="15" thickBot="1">
      <c r="A18" s="435" t="s">
        <v>19</v>
      </c>
      <c r="B18" s="18"/>
      <c r="C18" s="473">
        <f>ROUND(C17/SUM(C17:D17),2)</f>
        <v>0.5</v>
      </c>
      <c r="D18" s="473">
        <f>1-C18</f>
        <v>0.5</v>
      </c>
      <c r="E18" s="2274"/>
      <c r="F18" s="2274"/>
      <c r="G18" s="2274"/>
      <c r="H18" s="2274"/>
      <c r="I18" s="2274"/>
      <c r="K18" s="2181" t="s">
        <v>2127</v>
      </c>
      <c r="L18" s="2181">
        <f>IF(C1="",'数据-汇总表'!E3,SUMIF(项目类型,C1,'数据-汇总表'!E17:E26)+SUMIF(项目类型,C1,'数据-汇总表'!I17:I26))</f>
        <v>56450.890000000058</v>
      </c>
      <c r="M18" s="2181">
        <f>IF(C1="",'数据-汇总表'!E3,SUMIF(项目类型,C1,'数据-汇总表'!E17:E26))</f>
        <v>56450.890000000058</v>
      </c>
    </row>
    <row r="19" spans="1:35" ht="14.25">
      <c r="A19" s="436" t="s">
        <v>176</v>
      </c>
      <c r="B19" s="437" t="s">
        <v>20</v>
      </c>
      <c r="C19" s="474">
        <f ca="1">SUMIF(INDIRECT("'"&amp;C4&amp;"'"&amp;"!A:A"),'结果表（办公）'!B19,INDIRECT("'"&amp;C4&amp;"'"&amp;"!B:B"))</f>
        <v>277501</v>
      </c>
      <c r="D19" s="475">
        <f ca="1">SUMIF(INDIRECT("'"&amp;D4&amp;"'"&amp;"!A:A"),'结果表（办公）'!B19,INDIRECT("'"&amp;D4&amp;"'"&amp;"!B:B"))</f>
        <v>266290</v>
      </c>
      <c r="E19" s="436" t="s">
        <v>175</v>
      </c>
      <c r="F19" s="437" t="s">
        <v>20</v>
      </c>
      <c r="G19" s="476">
        <f ca="1">ROUND(C19*$C$18+D19*$D$18,0)</f>
        <v>271896</v>
      </c>
      <c r="H19" s="438" t="s">
        <v>224</v>
      </c>
      <c r="I19" s="2274"/>
      <c r="K19" s="2181" t="s">
        <v>2128</v>
      </c>
      <c r="L19" s="2181">
        <f>IF(C1="",'数据-汇总表'!D3,SUMIF(项目类型,C1,'数据-汇总表'!D17:D26)+SUMIF(项目类型,C1,'数据-汇总表'!H17:H27))</f>
        <v>13483.3</v>
      </c>
      <c r="M19" s="2181">
        <f>IF(C1="",'数据-汇总表'!D3,SUMIF(项目类型,C1,'数据-汇总表'!D17:D26))</f>
        <v>13483.3</v>
      </c>
    </row>
    <row r="20" spans="1:35" ht="14.25">
      <c r="A20" s="439"/>
      <c r="B20" s="440" t="s">
        <v>21</v>
      </c>
      <c r="C20" s="477">
        <f ca="1">SUMIF(INDIRECT("'"&amp;C4&amp;"'"&amp;"!A:A"),'结果表（办公）'!B20,INDIRECT("'"&amp;C4&amp;"'"&amp;"!B:B"))</f>
        <v>49158</v>
      </c>
      <c r="D20" s="478">
        <f ca="1">SUMIF(INDIRECT("'"&amp;D4&amp;"'"&amp;"!A:A"),'结果表（办公）'!B20,INDIRECT("'"&amp;D4&amp;"'"&amp;"!B:B"))</f>
        <v>47172</v>
      </c>
      <c r="E20" s="439"/>
      <c r="F20" s="440" t="s">
        <v>21</v>
      </c>
      <c r="G20" s="479">
        <f ca="1">ROUND(C20*$C$18+D20*$D$18,0)</f>
        <v>48165</v>
      </c>
      <c r="H20" s="441" t="s">
        <v>223</v>
      </c>
      <c r="I20" s="2274"/>
    </row>
    <row r="21" spans="1:35" ht="15" customHeight="1" thickBot="1">
      <c r="A21" s="443"/>
      <c r="B21" s="444" t="s">
        <v>22</v>
      </c>
      <c r="C21" s="1422">
        <f ca="1">ROUND(C19*10000/L19,0)</f>
        <v>205811</v>
      </c>
      <c r="D21" s="1423">
        <f ca="1">ROUND(D19*10000/L19,0)</f>
        <v>197496</v>
      </c>
      <c r="E21" s="443"/>
      <c r="F21" s="444" t="s">
        <v>22</v>
      </c>
      <c r="G21" s="480">
        <f ca="1">ROUND(G19*10000/L19,0)</f>
        <v>201654</v>
      </c>
      <c r="H21" s="445" t="s">
        <v>223</v>
      </c>
      <c r="I21" s="2274"/>
    </row>
    <row r="22" spans="1:35" ht="15" thickBot="1">
      <c r="A22" s="275" t="s">
        <v>177</v>
      </c>
      <c r="B22" s="1424"/>
      <c r="C22" s="1425"/>
      <c r="D22" s="1426">
        <f ca="1">IF(C19&lt;D19,D19/C19-1,C19/D19-1)</f>
        <v>4.2100717263134246E-2</v>
      </c>
      <c r="E22" s="2274"/>
      <c r="F22" s="2274"/>
      <c r="G22" s="2274"/>
      <c r="H22" s="2274"/>
      <c r="I22" s="2274"/>
    </row>
    <row r="23" spans="1:35" ht="12.75" thickBot="1">
      <c r="A23" s="1243"/>
      <c r="B23" s="1243"/>
      <c r="C23" s="1243"/>
      <c r="D23" s="1243"/>
      <c r="E23" s="2274"/>
      <c r="F23" s="2274"/>
      <c r="G23" s="2274"/>
      <c r="H23" s="2274"/>
      <c r="I23" s="2274"/>
    </row>
    <row r="24" spans="1:35" ht="14.25">
      <c r="A24" s="3556" t="s">
        <v>173</v>
      </c>
      <c r="B24" s="437" t="s">
        <v>20</v>
      </c>
      <c r="C24" s="476">
        <f>IF(B30=0,0,D30)</f>
        <v>0</v>
      </c>
      <c r="D24" s="446"/>
      <c r="E24" s="2274"/>
      <c r="F24" s="2274"/>
      <c r="G24" s="2274"/>
      <c r="H24" s="2274"/>
      <c r="I24" s="2274"/>
    </row>
    <row r="25" spans="1:35" ht="14.25">
      <c r="A25" s="3557"/>
      <c r="B25" s="440" t="s">
        <v>21</v>
      </c>
      <c r="C25" s="481">
        <f>IF(B30=0,0,C30)</f>
        <v>0</v>
      </c>
      <c r="D25" s="447"/>
      <c r="E25" s="2274"/>
      <c r="F25" s="2274"/>
      <c r="G25" s="2274"/>
      <c r="H25" s="2274"/>
      <c r="I25" s="2274"/>
    </row>
    <row r="26" spans="1:35" ht="13.5" customHeight="1">
      <c r="A26" s="448" t="s">
        <v>174</v>
      </c>
      <c r="B26" s="449" t="s">
        <v>116</v>
      </c>
      <c r="C26" s="449" t="s">
        <v>117</v>
      </c>
      <c r="D26" s="450" t="s">
        <v>118</v>
      </c>
      <c r="E26" s="2274"/>
      <c r="F26" s="2274"/>
      <c r="G26" s="2274"/>
      <c r="H26" s="2274"/>
      <c r="I26" s="2274"/>
    </row>
    <row r="27" spans="1:35" ht="14.25">
      <c r="A27" s="448"/>
      <c r="B27" s="482">
        <v>0</v>
      </c>
      <c r="C27" s="482">
        <v>0</v>
      </c>
      <c r="D27" s="483">
        <f>ROUND(C27*B27/10000,0)</f>
        <v>0</v>
      </c>
      <c r="E27" s="2274"/>
      <c r="F27" s="2274"/>
      <c r="G27" s="2274"/>
      <c r="H27" s="2274"/>
      <c r="I27" s="2274"/>
    </row>
    <row r="28" spans="1:35" ht="14.25">
      <c r="A28" s="448"/>
      <c r="B28" s="482"/>
      <c r="C28" s="482"/>
      <c r="D28" s="483"/>
      <c r="E28" s="2274"/>
      <c r="F28" s="2274"/>
      <c r="G28" s="2274"/>
      <c r="H28" s="2274"/>
      <c r="I28" s="2274"/>
    </row>
    <row r="29" spans="1:35" ht="14.25">
      <c r="A29" s="448"/>
      <c r="B29" s="482"/>
      <c r="C29" s="482"/>
      <c r="D29" s="483"/>
      <c r="E29" s="2274"/>
      <c r="F29" s="2274"/>
      <c r="G29" s="2274"/>
      <c r="H29" s="2274"/>
      <c r="I29" s="2274"/>
    </row>
    <row r="30" spans="1:35" ht="14.25">
      <c r="A30" s="451" t="s">
        <v>172</v>
      </c>
      <c r="B30" s="484">
        <f>SUM(B27:B29)</f>
        <v>0</v>
      </c>
      <c r="C30" s="484" t="e">
        <f>ROUND(D30*10000/B30,0)</f>
        <v>#DIV/0!</v>
      </c>
      <c r="D30" s="484">
        <f>SUM(D27:D29)</f>
        <v>0</v>
      </c>
      <c r="E30" s="2274"/>
      <c r="F30" s="2274"/>
      <c r="G30" s="2274"/>
      <c r="H30" s="2274"/>
      <c r="I30" s="2274"/>
    </row>
    <row r="31" spans="1:35" s="1245" customFormat="1" ht="14.25" thickBot="1">
      <c r="A31" s="452"/>
      <c r="B31" s="452"/>
      <c r="C31" s="452"/>
      <c r="D31" s="452"/>
      <c r="E31" s="2274"/>
      <c r="F31" s="2274"/>
      <c r="G31" s="2274"/>
      <c r="H31" s="2274"/>
      <c r="I31" s="2274"/>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171</v>
      </c>
      <c r="B32" s="454"/>
      <c r="C32" s="485">
        <f ca="1">IF(D32="总价",G19-C24,G20-C25)</f>
        <v>271896</v>
      </c>
      <c r="D32" s="2089" t="s">
        <v>206</v>
      </c>
      <c r="E32" s="2274"/>
      <c r="F32" s="2274"/>
      <c r="G32" s="2274"/>
      <c r="H32" s="2274"/>
      <c r="I32" s="2274"/>
    </row>
    <row r="33" spans="1:15" ht="13.5">
      <c r="A33" s="457" t="s">
        <v>759</v>
      </c>
      <c r="B33" s="2088"/>
      <c r="C33" s="2874" t="s">
        <v>3559</v>
      </c>
      <c r="D33" s="2877" t="s">
        <v>3551</v>
      </c>
      <c r="E33" s="2086" t="s">
        <v>2107</v>
      </c>
      <c r="F33" s="3337" t="str">
        <f>IF(D32="楼面单价","取值（单价）","取值（总价）")</f>
        <v>取值（总价）</v>
      </c>
      <c r="G33" s="2274"/>
      <c r="H33" s="2274"/>
      <c r="I33" s="2274"/>
    </row>
    <row r="34" spans="1:15" ht="15">
      <c r="A34" s="458"/>
      <c r="B34" s="459" t="s">
        <v>762</v>
      </c>
      <c r="C34" s="489">
        <f ca="1">IF(C33="自定义",F34,C32-C35)</f>
        <v>211263</v>
      </c>
      <c r="D34" s="2090">
        <f ca="1">IF(C33="自定义",ROUND(C34/C32,3),IF(C33="收益比率",SUMIF(INDIRECT("'"&amp;D33&amp;"'"&amp;"!b:b"),"土地收益比率",INDIRECT("'"&amp;D33&amp;"'"&amp;"!c:c")),SUMIF(INDIRECT("'"&amp;D33&amp;"'"&amp;"!b:b"),"土地成本比率",INDIRECT("'"&amp;D33&amp;"'"&amp;"!c:c"))))</f>
        <v>0.77700000000000002</v>
      </c>
      <c r="E34" s="2875" t="s">
        <v>2108</v>
      </c>
      <c r="F34" s="3251"/>
      <c r="G34" s="2274"/>
      <c r="H34" s="2274"/>
      <c r="I34" s="2274"/>
    </row>
    <row r="35" spans="1:15" ht="15.75" thickBot="1">
      <c r="A35" s="461"/>
      <c r="B35" s="2878" t="s">
        <v>764</v>
      </c>
      <c r="C35" s="2879">
        <f ca="1">IF(C33="自定义",F35,ROUND(C32*D35,0))</f>
        <v>60633</v>
      </c>
      <c r="D35" s="2880">
        <f ca="1">IF(C33="自定义",ROUND(C35/C32,3),IF(C33="收益比率",SUMIF(INDIRECT("'"&amp;D33&amp;"'"&amp;"!b:b"),"建筑物收益比率",INDIRECT("'"&amp;D33&amp;"'"&amp;"!c:c")),SUMIF(INDIRECT("'"&amp;D33&amp;"'"&amp;"!b:b"),"建筑物成本比率",INDIRECT("'"&amp;D33&amp;"'"&amp;"!c:c"))))</f>
        <v>0.223</v>
      </c>
      <c r="E35" s="2876" t="s">
        <v>2109</v>
      </c>
      <c r="F35" s="495"/>
      <c r="G35" s="2274"/>
      <c r="H35" s="2274"/>
      <c r="I35" s="2274"/>
    </row>
    <row r="36" spans="1:15" ht="15.75" thickBot="1">
      <c r="A36" s="3532" t="s">
        <v>760</v>
      </c>
      <c r="B36" s="455" t="s">
        <v>761</v>
      </c>
      <c r="C36" s="486"/>
      <c r="D36" s="456"/>
      <c r="E36" s="1246"/>
      <c r="F36" s="2275"/>
      <c r="G36" s="2274"/>
      <c r="H36" s="2274"/>
      <c r="I36" s="2274"/>
    </row>
    <row r="37" spans="1:15" ht="15.75" thickBot="1">
      <c r="A37" s="3533"/>
      <c r="B37" s="13" t="s">
        <v>763</v>
      </c>
      <c r="C37" s="488"/>
      <c r="D37" s="2223"/>
      <c r="E37" s="2223"/>
      <c r="F37" s="2275"/>
      <c r="G37" s="2274"/>
      <c r="H37" s="2274"/>
      <c r="I37" s="2274"/>
    </row>
    <row r="38" spans="1:15" ht="15.75" thickBot="1">
      <c r="A38" s="3534"/>
      <c r="B38" s="460" t="s">
        <v>765</v>
      </c>
      <c r="C38" s="1137"/>
      <c r="D38" s="1247" t="s">
        <v>766</v>
      </c>
      <c r="E38" s="2223"/>
      <c r="F38" s="2275"/>
      <c r="G38" s="2274"/>
      <c r="H38" s="2274"/>
      <c r="I38" s="2274"/>
    </row>
    <row r="39" spans="1:15" ht="13.5">
      <c r="A39" s="439" t="s">
        <v>767</v>
      </c>
      <c r="B39" s="462" t="s">
        <v>116</v>
      </c>
      <c r="C39" s="463" t="s">
        <v>769</v>
      </c>
      <c r="D39" s="463" t="s">
        <v>770</v>
      </c>
      <c r="E39" s="464" t="s">
        <v>118</v>
      </c>
      <c r="F39" s="2275"/>
      <c r="G39" s="2274"/>
      <c r="H39" s="2274"/>
      <c r="I39" s="2274"/>
    </row>
    <row r="40" spans="1:15" ht="13.5">
      <c r="A40" s="1248" t="s">
        <v>772</v>
      </c>
      <c r="B40" s="490"/>
      <c r="C40" s="491"/>
      <c r="D40" s="491"/>
      <c r="E40" s="492"/>
      <c r="F40" s="2275"/>
      <c r="G40" s="2274"/>
      <c r="H40" s="2274"/>
      <c r="I40" s="2274"/>
    </row>
    <row r="41" spans="1:15" ht="13.5">
      <c r="A41" s="1248" t="s">
        <v>773</v>
      </c>
      <c r="B41" s="490"/>
      <c r="C41" s="491"/>
      <c r="D41" s="491"/>
      <c r="E41" s="492"/>
      <c r="F41" s="2275"/>
      <c r="G41" s="2274"/>
      <c r="H41" s="2274"/>
      <c r="I41" s="2274"/>
    </row>
    <row r="42" spans="1:15" ht="14.25" thickBot="1">
      <c r="A42" s="1249"/>
      <c r="B42" s="493"/>
      <c r="C42" s="494"/>
      <c r="D42" s="494"/>
      <c r="E42" s="495"/>
      <c r="F42" s="2275"/>
      <c r="G42" s="2274"/>
      <c r="H42" s="2274"/>
      <c r="I42" s="2274"/>
    </row>
    <row r="43" spans="1:15" ht="12">
      <c r="A43" s="241"/>
      <c r="B43" s="241"/>
      <c r="C43" s="241"/>
      <c r="D43" s="241"/>
      <c r="E43" s="241"/>
      <c r="F43" s="1250"/>
      <c r="G43" s="1250"/>
      <c r="H43" s="1250"/>
      <c r="I43" s="1251"/>
    </row>
    <row r="44" spans="1:15" ht="18.75">
      <c r="A44" s="1252" t="s">
        <v>774</v>
      </c>
      <c r="B44" s="1253"/>
      <c r="C44" s="1253"/>
      <c r="D44" s="1254"/>
      <c r="E44" s="1254"/>
      <c r="F44" s="1255"/>
      <c r="G44" s="1255"/>
      <c r="H44" s="1255"/>
      <c r="I44" s="1255"/>
      <c r="J44" s="3268" t="s">
        <v>210</v>
      </c>
      <c r="K44" s="3269"/>
      <c r="L44" s="3269"/>
      <c r="M44" s="3269"/>
      <c r="N44" s="3269"/>
      <c r="O44" s="3269"/>
    </row>
    <row r="45" spans="1:15" ht="14.25" customHeight="1" thickBot="1">
      <c r="A45" s="3553" t="s">
        <v>794</v>
      </c>
      <c r="B45" s="3554"/>
      <c r="C45" s="3555"/>
      <c r="D45" s="496">
        <f ca="1">ROUND(H101*F45,0)</f>
        <v>271896</v>
      </c>
      <c r="E45" s="497" t="s">
        <v>795</v>
      </c>
      <c r="F45" s="498">
        <v>1</v>
      </c>
      <c r="G45" s="499" t="s">
        <v>796</v>
      </c>
      <c r="H45" s="2274"/>
      <c r="I45" s="2274"/>
      <c r="J45" s="3463" t="s">
        <v>211</v>
      </c>
      <c r="K45" s="3463"/>
      <c r="L45" s="3463"/>
      <c r="M45" s="3463"/>
      <c r="N45" s="3463"/>
      <c r="O45" s="3463"/>
    </row>
    <row r="46" spans="1:15" ht="14.25" customHeight="1">
      <c r="A46" s="3550" t="s">
        <v>283</v>
      </c>
      <c r="B46" s="3551"/>
      <c r="C46" s="3551"/>
      <c r="D46" s="3551"/>
      <c r="E46" s="3551"/>
      <c r="F46" s="3551"/>
      <c r="G46" s="3552"/>
      <c r="H46" s="2276"/>
      <c r="I46" s="2229"/>
      <c r="J46" s="3343">
        <v>1</v>
      </c>
      <c r="K46" s="3463" t="s">
        <v>212</v>
      </c>
      <c r="L46" s="3463"/>
      <c r="M46" s="3464"/>
      <c r="N46" s="3464"/>
      <c r="O46" s="3464"/>
    </row>
    <row r="47" spans="1:15" ht="12" customHeight="1">
      <c r="A47" s="501" t="s">
        <v>284</v>
      </c>
      <c r="B47" s="502"/>
      <c r="C47" s="503"/>
      <c r="D47" s="504" t="s">
        <v>285</v>
      </c>
      <c r="E47" s="313" t="s">
        <v>286</v>
      </c>
      <c r="F47" s="505" t="s">
        <v>797</v>
      </c>
      <c r="G47" s="506" t="s">
        <v>798</v>
      </c>
      <c r="H47" s="2276"/>
      <c r="I47" s="2229"/>
      <c r="J47" s="3343">
        <v>2</v>
      </c>
      <c r="K47" s="3463" t="s">
        <v>213</v>
      </c>
      <c r="L47" s="3463"/>
      <c r="M47" s="3465">
        <f>'数据-取费表'!B2</f>
        <v>42956</v>
      </c>
      <c r="N47" s="3465"/>
      <c r="O47" s="3465"/>
    </row>
    <row r="48" spans="1:15" ht="25.5">
      <c r="A48" s="3536" t="s">
        <v>287</v>
      </c>
      <c r="B48" s="3537"/>
      <c r="C48" s="3537"/>
      <c r="D48" s="471">
        <f>IF(H48="情况1",0,IF(H48="情况2",D52,IF(H48="情况3",D53,IF(H48="情况4",D54))))</f>
        <v>0</v>
      </c>
      <c r="E48" s="3351" t="str">
        <f>IF(H48="情况4","(销售额-原购置价)×税（费）率","销售额×税（费）率")</f>
        <v>销售额×税（费）率</v>
      </c>
      <c r="F48" s="507" t="str">
        <f>IF(H48="情况1","免征",'数据-取费表'!B41)</f>
        <v>免征</v>
      </c>
      <c r="G48" s="465" t="s">
        <v>166</v>
      </c>
      <c r="H48" s="1432" t="s">
        <v>2410</v>
      </c>
      <c r="I48" s="2276"/>
      <c r="J48" s="3343">
        <v>3</v>
      </c>
      <c r="K48" s="3463" t="s">
        <v>776</v>
      </c>
      <c r="L48" s="3463"/>
      <c r="M48" s="3466">
        <f ca="1">H101</f>
        <v>271896</v>
      </c>
      <c r="N48" s="3466"/>
      <c r="O48" s="3466"/>
    </row>
    <row r="49" spans="1:35" ht="25.5" customHeight="1">
      <c r="A49" s="508" t="s">
        <v>799</v>
      </c>
      <c r="B49" s="3516" t="s">
        <v>800</v>
      </c>
      <c r="C49" s="3516"/>
      <c r="D49" s="509">
        <v>0</v>
      </c>
      <c r="E49" s="312" t="s">
        <v>801</v>
      </c>
      <c r="F49" s="317" t="s">
        <v>167</v>
      </c>
      <c r="G49" s="3495"/>
      <c r="H49" s="2274"/>
      <c r="I49" s="2277"/>
      <c r="J49" s="3343">
        <v>4</v>
      </c>
      <c r="K49" s="3463" t="str">
        <f>IF(项目基本情况!E8="房地产抵押价值","房地产抵押价值","抵押担保权已注销时的房地产抵押价值")</f>
        <v>房地产抵押价值</v>
      </c>
      <c r="L49" s="3463"/>
      <c r="M49" s="3466">
        <f ca="1">IF(项目基本情况!E8="房地产抵押价值",H107,H109)</f>
        <v>271896</v>
      </c>
      <c r="N49" s="3466"/>
      <c r="O49" s="3466"/>
    </row>
    <row r="50" spans="1:35" ht="25.5" customHeight="1">
      <c r="A50" s="510"/>
      <c r="B50" s="3516" t="s">
        <v>290</v>
      </c>
      <c r="C50" s="3516"/>
      <c r="D50" s="511"/>
      <c r="E50" s="320"/>
      <c r="F50" s="512"/>
      <c r="G50" s="3496"/>
      <c r="H50" s="2274"/>
      <c r="I50" s="2277"/>
      <c r="J50" s="3463" t="s">
        <v>214</v>
      </c>
      <c r="K50" s="3463"/>
      <c r="L50" s="3463"/>
      <c r="M50" s="3463"/>
      <c r="N50" s="3463"/>
      <c r="O50" s="3463"/>
    </row>
    <row r="51" spans="1:35" ht="12" customHeight="1">
      <c r="A51" s="513"/>
      <c r="B51" s="3516" t="s">
        <v>291</v>
      </c>
      <c r="C51" s="3516"/>
      <c r="D51" s="514"/>
      <c r="E51" s="319"/>
      <c r="F51" s="512"/>
      <c r="G51" s="3497"/>
      <c r="H51" s="2274"/>
      <c r="I51" s="2277"/>
      <c r="J51" s="3339" t="s">
        <v>215</v>
      </c>
      <c r="K51" s="3463" t="s">
        <v>216</v>
      </c>
      <c r="L51" s="3463"/>
      <c r="M51" s="3339" t="s">
        <v>2997</v>
      </c>
      <c r="N51" s="3339" t="s">
        <v>217</v>
      </c>
      <c r="O51" s="3339" t="s">
        <v>218</v>
      </c>
    </row>
    <row r="52" spans="1:35" ht="24" customHeight="1">
      <c r="A52" s="515" t="s">
        <v>292</v>
      </c>
      <c r="B52" s="3516" t="s">
        <v>293</v>
      </c>
      <c r="C52" s="3516"/>
      <c r="D52" s="514">
        <f ca="1">ROUND(D45*'数据-取费表'!B41/(1+'数据-取费表'!C42),0)</f>
        <v>14501</v>
      </c>
      <c r="E52" s="299" t="s">
        <v>294</v>
      </c>
      <c r="F52" s="516">
        <f>'数据-取费表'!B41</f>
        <v>5.6000000000000001E-2</v>
      </c>
      <c r="G52" s="466"/>
      <c r="H52" s="2274"/>
      <c r="I52" s="2277"/>
      <c r="J52" s="3343">
        <v>1</v>
      </c>
      <c r="K52" s="3489" t="s">
        <v>777</v>
      </c>
      <c r="L52" s="3489"/>
      <c r="M52" s="3271">
        <f>D48</f>
        <v>0</v>
      </c>
      <c r="N52" s="3342" t="str">
        <f>E48</f>
        <v>销售额×税（费）率</v>
      </c>
      <c r="O52" s="3272" t="str">
        <f>F48</f>
        <v>免征</v>
      </c>
    </row>
    <row r="53" spans="1:35" ht="12" customHeight="1">
      <c r="A53" s="515" t="s">
        <v>295</v>
      </c>
      <c r="B53" s="3517" t="s">
        <v>296</v>
      </c>
      <c r="C53" s="3518"/>
      <c r="D53" s="514">
        <f ca="1">ROUND(D45*'数据-取费表'!B41/(1+'数据-取费表'!C42),0)</f>
        <v>14501</v>
      </c>
      <c r="E53" s="299" t="s">
        <v>294</v>
      </c>
      <c r="F53" s="516">
        <f>'数据-取费表'!B41</f>
        <v>5.6000000000000001E-2</v>
      </c>
      <c r="G53" s="466"/>
      <c r="H53" s="2274"/>
      <c r="I53" s="2277"/>
      <c r="J53" s="3343">
        <v>2</v>
      </c>
      <c r="K53" s="3489" t="s">
        <v>778</v>
      </c>
      <c r="L53" s="3489"/>
      <c r="M53" s="3271">
        <f t="shared" ref="M53:O54" ca="1" si="0">D55</f>
        <v>136</v>
      </c>
      <c r="N53" s="3342" t="str">
        <f t="shared" si="0"/>
        <v>销售额×税（费）率</v>
      </c>
      <c r="O53" s="3272">
        <f t="shared" si="0"/>
        <v>5.0000000000000001E-4</v>
      </c>
    </row>
    <row r="54" spans="1:35" ht="12" customHeight="1">
      <c r="A54" s="515" t="s">
        <v>297</v>
      </c>
      <c r="B54" s="3517" t="s">
        <v>298</v>
      </c>
      <c r="C54" s="3518"/>
      <c r="D54" s="514">
        <f ca="1">C68</f>
        <v>14501</v>
      </c>
      <c r="E54" s="319" t="s">
        <v>299</v>
      </c>
      <c r="F54" s="516">
        <f>'数据-取费表'!B41</f>
        <v>5.6000000000000001E-2</v>
      </c>
      <c r="G54" s="466"/>
      <c r="H54" s="2278"/>
      <c r="I54" s="2277"/>
      <c r="J54" s="3343">
        <v>3</v>
      </c>
      <c r="K54" s="3489" t="s">
        <v>779</v>
      </c>
      <c r="L54" s="3489"/>
      <c r="M54" s="3271">
        <f t="shared" ca="1" si="0"/>
        <v>153893</v>
      </c>
      <c r="N54" s="3342" t="str">
        <f t="shared" si="0"/>
        <v>增值额×税（费）率</v>
      </c>
      <c r="O54" s="3273" t="str">
        <f t="shared" si="0"/>
        <v>——</v>
      </c>
    </row>
    <row r="55" spans="1:35" ht="24" customHeight="1">
      <c r="A55" s="3559" t="s">
        <v>300</v>
      </c>
      <c r="B55" s="3537"/>
      <c r="C55" s="3537"/>
      <c r="D55" s="517">
        <f ca="1">IF(H55="个人住宅",0,ROUND(D45*I55,0))</f>
        <v>136</v>
      </c>
      <c r="E55" s="299" t="s">
        <v>301</v>
      </c>
      <c r="F55" s="516">
        <f>IF(H55="正常",I55,"免征")</f>
        <v>5.0000000000000001E-4</v>
      </c>
      <c r="G55" s="466"/>
      <c r="H55" s="1432" t="s">
        <v>151</v>
      </c>
      <c r="I55" s="518">
        <f>'数据-取费表'!B49</f>
        <v>5.0000000000000001E-4</v>
      </c>
      <c r="J55" s="3343" t="str">
        <f>IF(H59="非个人房产","",4)</f>
        <v/>
      </c>
      <c r="K55" s="3489" t="str">
        <f>IF(H59="非个人房产","——","个人所得税")</f>
        <v>——</v>
      </c>
      <c r="L55" s="3489"/>
      <c r="M55" s="3274" t="str">
        <f>D59</f>
        <v>——</v>
      </c>
      <c r="N55" s="3275" t="str">
        <f>E59</f>
        <v>——</v>
      </c>
      <c r="O55" s="3276" t="str">
        <f>F59</f>
        <v>——</v>
      </c>
    </row>
    <row r="56" spans="1:35" ht="24.75">
      <c r="A56" s="3559" t="s">
        <v>302</v>
      </c>
      <c r="B56" s="3537"/>
      <c r="C56" s="3537"/>
      <c r="D56" s="517">
        <f ca="1">IF(H56="个人住宅",D57,D58)</f>
        <v>153893</v>
      </c>
      <c r="E56" s="299" t="s">
        <v>303</v>
      </c>
      <c r="F56" s="516" t="str">
        <f>IF(H56="正常",F58,"免征")</f>
        <v>——</v>
      </c>
      <c r="G56" s="1256" t="s">
        <v>780</v>
      </c>
      <c r="H56" s="1431" t="s">
        <v>151</v>
      </c>
      <c r="I56" s="2279"/>
      <c r="J56" s="3343" t="str">
        <f>IF(项目基本情况!K6="上海银行",IF(J55="",4,J55+1),"")</f>
        <v/>
      </c>
      <c r="K56" s="3469" t="str">
        <f>IF(项目基本情况!K6="上海银行","其他处置费用","")</f>
        <v/>
      </c>
      <c r="L56" s="3470"/>
      <c r="M56" s="3271" t="str">
        <f>IF(项目基本情况!K6="上海银行",M69,"")</f>
        <v/>
      </c>
      <c r="N56" s="3472" t="str">
        <f>IF(项目基本情况!K6="上海银行","包含处置中涉及的律师、诉讼、拍卖、评估等费用","")</f>
        <v/>
      </c>
      <c r="O56" s="3473"/>
    </row>
    <row r="57" spans="1:35" ht="12.75">
      <c r="A57" s="515" t="s">
        <v>288</v>
      </c>
      <c r="B57" s="3522" t="s">
        <v>304</v>
      </c>
      <c r="C57" s="3523"/>
      <c r="D57" s="519">
        <v>0</v>
      </c>
      <c r="E57" s="312" t="s">
        <v>289</v>
      </c>
      <c r="F57" s="487"/>
      <c r="G57" s="466"/>
      <c r="H57" s="2279"/>
      <c r="I57" s="2279"/>
      <c r="J57" s="3501">
        <f>IF(AND(J55="",J56=""),4,IF(项目基本情况!K6="上海银行",'结果表（办公）'!J56+1,'结果表（办公）'!J55+1))</f>
        <v>4</v>
      </c>
      <c r="K57" s="3489" t="s">
        <v>172</v>
      </c>
      <c r="L57" s="3277" t="s">
        <v>219</v>
      </c>
      <c r="M57" s="3278"/>
      <c r="N57" s="3279">
        <f ca="1">SUMIF(M52:M56,"&lt;9e307")</f>
        <v>154029</v>
      </c>
      <c r="O57" s="3280"/>
      <c r="P57" s="3267">
        <f ca="1">N57/M49</f>
        <v>0.56649969105834586</v>
      </c>
    </row>
    <row r="58" spans="1:35" ht="24.75">
      <c r="A58" s="515" t="s">
        <v>292</v>
      </c>
      <c r="B58" s="3522" t="s">
        <v>305</v>
      </c>
      <c r="C58" s="3535"/>
      <c r="D58" s="517">
        <f ca="1">IF(H58="转让取得",C81,C97)</f>
        <v>153893</v>
      </c>
      <c r="E58" s="299" t="s">
        <v>303</v>
      </c>
      <c r="F58" s="313" t="s">
        <v>167</v>
      </c>
      <c r="G58" s="466"/>
      <c r="H58" s="1431" t="s">
        <v>1127</v>
      </c>
      <c r="I58" s="2279"/>
      <c r="J58" s="3501"/>
      <c r="K58" s="3489"/>
      <c r="L58" s="3277" t="s">
        <v>220</v>
      </c>
      <c r="M58" s="3281"/>
      <c r="N58" s="3282" t="str">
        <f ca="1">NUMBERSTRING(INT(N57*10000),2)&amp;"元整"</f>
        <v>壹拾伍亿肆仟零贰拾玖万元整</v>
      </c>
      <c r="O58" s="3283"/>
    </row>
    <row r="59" spans="1:35" ht="24.75" thickBot="1">
      <c r="A59" s="3493" t="s">
        <v>306</v>
      </c>
      <c r="B59" s="3494"/>
      <c r="C59" s="3494"/>
      <c r="D59" s="520" t="str">
        <f>IF(H59="非个人房产","——",IF(H59="个人住宅",0,ROUND(D45*I59,0)))</f>
        <v>——</v>
      </c>
      <c r="E59" s="521" t="str">
        <f>IF(H59="非个人房产","——","销售额×税（费）率")</f>
        <v>——</v>
      </c>
      <c r="F59" s="522" t="str">
        <f>IF(H59="非个人房产","——",IF(H59="个人住宅","免征",I59))</f>
        <v>——</v>
      </c>
      <c r="G59" s="1257" t="s">
        <v>166</v>
      </c>
      <c r="H59" s="1431" t="s">
        <v>1126</v>
      </c>
      <c r="I59" s="523">
        <v>0.01</v>
      </c>
      <c r="J59" s="3491">
        <f>J57+1</f>
        <v>5</v>
      </c>
      <c r="K59" s="3489" t="s">
        <v>168</v>
      </c>
      <c r="L59" s="3342" t="s">
        <v>219</v>
      </c>
      <c r="M59" s="3284"/>
      <c r="N59" s="3285">
        <f ca="1">M49-N57</f>
        <v>117867</v>
      </c>
      <c r="O59" s="3286"/>
    </row>
    <row r="60" spans="1:35" ht="12" customHeight="1">
      <c r="A60" s="1258"/>
      <c r="B60" s="1243"/>
      <c r="C60" s="1243"/>
      <c r="D60" s="1243"/>
      <c r="E60" s="229"/>
      <c r="F60" s="2279"/>
      <c r="G60" s="2279"/>
      <c r="H60" s="2280"/>
      <c r="I60" s="2274"/>
      <c r="J60" s="3492"/>
      <c r="K60" s="3489"/>
      <c r="L60" s="3277" t="s">
        <v>220</v>
      </c>
      <c r="M60" s="3281"/>
      <c r="N60" s="3282" t="str">
        <f ca="1">NUMBERSTRING(INT(N59*10000),2)&amp;"元整"</f>
        <v>壹拾壹亿柒仟捌佰陆拾柒万元整</v>
      </c>
      <c r="O60" s="3283"/>
    </row>
    <row r="61" spans="1:35" ht="13.5" thickBot="1">
      <c r="A61" s="3558" t="s">
        <v>307</v>
      </c>
      <c r="B61" s="3558"/>
      <c r="C61" s="3558"/>
      <c r="D61" s="3558"/>
      <c r="E61" s="3558"/>
      <c r="F61" s="2279"/>
      <c r="G61" s="2279"/>
      <c r="H61" s="2280"/>
      <c r="I61" s="2274"/>
      <c r="J61" s="3343">
        <f>J59+1</f>
        <v>6</v>
      </c>
      <c r="K61" s="3489" t="s">
        <v>221</v>
      </c>
      <c r="L61" s="3489"/>
      <c r="M61" s="3287"/>
      <c r="N61" s="3288">
        <f ca="1">ROUND(N59*10000/'数据-汇总表'!E3,0)</f>
        <v>17601</v>
      </c>
      <c r="O61" s="3289"/>
    </row>
    <row r="62" spans="1:35" ht="12.75">
      <c r="A62" s="3510" t="s">
        <v>308</v>
      </c>
      <c r="B62" s="3511"/>
      <c r="C62" s="3347"/>
      <c r="D62" s="3347" t="s">
        <v>316</v>
      </c>
      <c r="E62" s="524" t="s">
        <v>317</v>
      </c>
      <c r="F62" s="2279"/>
      <c r="G62" s="2279"/>
      <c r="H62" s="2280"/>
      <c r="I62" s="2274"/>
    </row>
    <row r="63" spans="1:35" ht="12.75">
      <c r="A63" s="535" t="s">
        <v>1889</v>
      </c>
      <c r="B63" s="525" t="s">
        <v>309</v>
      </c>
      <c r="C63" s="526">
        <f ca="1">ROUND((C64+C65)/(1+'数据-取费表'!C42),0)</f>
        <v>258949</v>
      </c>
      <c r="D63" s="527"/>
      <c r="E63" s="528"/>
      <c r="F63" s="2279"/>
      <c r="G63" s="2279"/>
      <c r="H63" s="2280"/>
      <c r="I63" s="2274"/>
      <c r="J63" s="3471" t="s">
        <v>2990</v>
      </c>
      <c r="K63" s="3340" t="s">
        <v>2991</v>
      </c>
      <c r="L63" s="3264">
        <f ca="1">IF(M49&gt;10000,M49*0.5%,IF(AND(M49&gt;1000,M49&lt;=10000),M49*1%,IF(AND(M49&gt;100,M49&lt;=1000),M49*3%,IF(AND(M49&gt;10,M49&lt;=100),M49*5%,M49*8%))))</f>
        <v>1359.48</v>
      </c>
      <c r="M63" s="313">
        <f ca="1">ROUND(L63,1)</f>
        <v>1359.5</v>
      </c>
      <c r="Z63" s="1434"/>
      <c r="AI63" s="1244"/>
    </row>
    <row r="64" spans="1:35" ht="14.25" customHeight="1">
      <c r="A64" s="529" t="s">
        <v>1884</v>
      </c>
      <c r="B64" s="530" t="s">
        <v>310</v>
      </c>
      <c r="C64" s="531">
        <f ca="1">D45</f>
        <v>271896</v>
      </c>
      <c r="D64" s="532" t="s">
        <v>163</v>
      </c>
      <c r="E64" s="533"/>
      <c r="F64" s="2279"/>
      <c r="G64" s="2279"/>
      <c r="H64" s="2280"/>
      <c r="I64" s="2274"/>
      <c r="J64" s="3471"/>
      <c r="K64" s="3340" t="s">
        <v>2992</v>
      </c>
      <c r="L64" s="3264">
        <f ca="1">IF(M49&gt;2000,M49*0.5%,IF(AND(M49&gt;1000,M49&lt;=2000),M49*0.6%,IF(AND(M49&gt;500,M49&lt;=1000),M49*0.7%,IF(AND(M49&gt;200,M49&lt;=500),M49*0.8%,IF(AND(M49&gt;100,M49&lt;=200),M49*0.9%,IF(AND(M49&gt;50,M49&lt;=100),M49*1%,IF(AND(M49&gt;20,M49&lt;=50),M49*1.5%,IF(AND(M49&gt;10,M49&lt;=20),M49*2%,IF(AND(M49&gt;1,M49&lt;=10),M49*2.5%)))))))))</f>
        <v>1359.48</v>
      </c>
      <c r="M64" s="313">
        <f t="shared" ref="M64:M65" ca="1" si="1">ROUND(L64,1)</f>
        <v>1359.5</v>
      </c>
      <c r="N64" s="469" t="s">
        <v>2998</v>
      </c>
      <c r="Z64" s="1434"/>
      <c r="AI64" s="1244"/>
    </row>
    <row r="65" spans="1:35" ht="14.25" customHeight="1">
      <c r="A65" s="529" t="s">
        <v>1885</v>
      </c>
      <c r="B65" s="530" t="s">
        <v>311</v>
      </c>
      <c r="C65" s="534"/>
      <c r="D65" s="532"/>
      <c r="E65" s="533"/>
      <c r="F65" s="2279"/>
      <c r="G65" s="2279"/>
      <c r="H65" s="2280"/>
      <c r="I65" s="2274"/>
      <c r="J65" s="3471"/>
      <c r="K65" s="3340" t="s">
        <v>2993</v>
      </c>
      <c r="L65" s="3264">
        <f ca="1">IF(M49&gt;1000,M49*0.1%,IF(AND(M49&gt;500,M49&lt;=1000),M49*0.5%,IF(AND(M49&gt;50,M49&lt;=500),M49*1%,IF(AND(M49&gt;1,M49&lt;=50),M49*1.5%))))</f>
        <v>271.89600000000002</v>
      </c>
      <c r="M65" s="313">
        <f t="shared" ca="1" si="1"/>
        <v>271.89999999999998</v>
      </c>
      <c r="N65" s="469" t="s">
        <v>2998</v>
      </c>
      <c r="Z65" s="1434"/>
      <c r="AI65" s="1244"/>
    </row>
    <row r="66" spans="1:35" ht="14.25" customHeight="1">
      <c r="A66" s="535" t="s">
        <v>1886</v>
      </c>
      <c r="B66" s="536" t="s">
        <v>312</v>
      </c>
      <c r="C66" s="537"/>
      <c r="D66" s="538" t="s">
        <v>163</v>
      </c>
      <c r="E66" s="3316" t="s">
        <v>3037</v>
      </c>
      <c r="F66" s="2279"/>
      <c r="G66" s="2279"/>
      <c r="H66" s="2280"/>
      <c r="I66" s="2274"/>
      <c r="J66" s="3471"/>
      <c r="K66" s="3340" t="s">
        <v>2994</v>
      </c>
      <c r="L66" s="3264">
        <f ca="1">M49*0.5%</f>
        <v>1359.48</v>
      </c>
      <c r="M66" s="313">
        <f ca="1">IF(L66&gt;0.5,0.5,ROUND(L66,0))</f>
        <v>0.5</v>
      </c>
      <c r="N66" s="469" t="s">
        <v>3000</v>
      </c>
      <c r="Z66" s="1434"/>
      <c r="AI66" s="1244"/>
    </row>
    <row r="67" spans="1:35" ht="14.25" customHeight="1">
      <c r="A67" s="535" t="s">
        <v>1887</v>
      </c>
      <c r="B67" s="536" t="s">
        <v>313</v>
      </c>
      <c r="C67" s="539">
        <f ca="1">C63-C66</f>
        <v>258949</v>
      </c>
      <c r="D67" s="532" t="s">
        <v>163</v>
      </c>
      <c r="E67" s="533"/>
      <c r="F67" s="2279"/>
      <c r="G67" s="2279"/>
      <c r="H67" s="2280"/>
      <c r="I67" s="2274"/>
      <c r="J67" s="3471"/>
      <c r="K67" s="3340" t="s">
        <v>2995</v>
      </c>
      <c r="L67" s="3264">
        <f ca="1">IF(M49&gt;=10000,(8.25+(M49-10000)*0.01%),IF(AND(M49&gt;=8000,M49&lt;10000),(7.85+(M49-8000)*0.02%),IF(AND(M49&gt;=5000,M49&lt;8000),(6.65+(M49-5000)*0.04%),IF(AND(M49&gt;=2000,M49&lt;5000),(4.25+(PM49-2000)*0.08%),IF(AND(M49&gt;=1000,M49&lt;2000),(2.75+(M49-1000)*0.15%),IF(AND(M49&gt;=100,M49&lt;1000),(0.5+(M49-100)*0.25%),IF(AND(M49&gt;0,M49&lt;100),M49*0.5%)))))))</f>
        <v>34.439599999999999</v>
      </c>
      <c r="M67" s="313">
        <f ca="1">ROUND(L67*0.9,1)</f>
        <v>31</v>
      </c>
      <c r="Z67" s="1434"/>
      <c r="AI67" s="1244"/>
    </row>
    <row r="68" spans="1:35" ht="14.25" customHeight="1" thickBot="1">
      <c r="A68" s="540" t="s">
        <v>1888</v>
      </c>
      <c r="B68" s="541" t="s">
        <v>314</v>
      </c>
      <c r="C68" s="542">
        <f ca="1">IF(C67&lt;=0,0,ROUND(C67*D68,0))</f>
        <v>14501</v>
      </c>
      <c r="D68" s="543">
        <f>'数据-取费表'!B41</f>
        <v>5.6000000000000001E-2</v>
      </c>
      <c r="E68" s="544"/>
      <c r="F68" s="2279"/>
      <c r="G68" s="2279"/>
      <c r="H68" s="2280"/>
      <c r="I68" s="2274"/>
      <c r="J68" s="3471"/>
      <c r="K68" s="3340" t="s">
        <v>2996</v>
      </c>
      <c r="L68" s="3264">
        <f ca="1">IF(M49&gt;10000,M49*0.5%,IF(AND(M49&gt;5000,M49&lt;=10000),M49*1%,IF(AND(M49&gt;1000,M49&lt;=5000),M49*2%,IF(AND(M49&gt;200,M49&lt;=1000),M49*3%,M49*5%))))</f>
        <v>1359.48</v>
      </c>
      <c r="M68" s="313">
        <f ca="1">ROUND(L68,1)</f>
        <v>1359.5</v>
      </c>
      <c r="Z68" s="1434"/>
      <c r="AI68" s="1244"/>
    </row>
    <row r="69" spans="1:35" s="1245" customFormat="1" ht="16.5" customHeight="1">
      <c r="A69" s="1259"/>
      <c r="B69" s="1260"/>
      <c r="C69" s="1261"/>
      <c r="D69" s="1262"/>
      <c r="E69" s="1263"/>
      <c r="F69" s="229"/>
      <c r="G69" s="229"/>
      <c r="H69" s="241"/>
      <c r="I69" s="1243"/>
      <c r="J69" s="3471"/>
      <c r="K69" s="3340" t="s">
        <v>183</v>
      </c>
      <c r="L69" s="3265"/>
      <c r="M69" s="313">
        <f ca="1">ROUND(SUM(M63:M68),0)</f>
        <v>4382</v>
      </c>
      <c r="N69" s="3267">
        <f ca="1">M69/M49</f>
        <v>1.611645629211169E-2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20" t="s">
        <v>315</v>
      </c>
      <c r="B70" s="3521"/>
      <c r="C70" s="3521"/>
      <c r="D70" s="3521"/>
      <c r="E70" s="3521"/>
      <c r="F70" s="3521"/>
      <c r="G70" s="3521"/>
      <c r="H70" s="3521"/>
      <c r="I70" s="1264"/>
      <c r="N70" s="2132"/>
      <c r="O70" s="2132"/>
      <c r="P70" s="2132"/>
      <c r="Q70" s="2132"/>
      <c r="R70" s="2132"/>
      <c r="S70" s="2132"/>
      <c r="T70" s="2132"/>
      <c r="U70" s="2132"/>
      <c r="V70" s="2132"/>
      <c r="W70" s="2132"/>
      <c r="X70" s="2132"/>
      <c r="Y70" s="2132"/>
      <c r="Z70" s="2132"/>
      <c r="AA70" s="1435"/>
      <c r="AB70" s="1435"/>
      <c r="AC70" s="1435"/>
      <c r="AD70" s="1435"/>
      <c r="AE70" s="1435"/>
      <c r="AF70" s="1435"/>
      <c r="AG70" s="1435"/>
      <c r="AH70" s="1435"/>
      <c r="AI70" s="1435"/>
    </row>
    <row r="71" spans="1:35" s="1265" customFormat="1" ht="14.25">
      <c r="A71" s="3510" t="s">
        <v>308</v>
      </c>
      <c r="B71" s="3511"/>
      <c r="C71" s="3347"/>
      <c r="D71" s="3347" t="s">
        <v>316</v>
      </c>
      <c r="E71" s="545" t="s">
        <v>317</v>
      </c>
      <c r="F71" s="546"/>
      <c r="G71" s="546"/>
      <c r="H71" s="547"/>
      <c r="I71" s="2281"/>
      <c r="N71" s="2132"/>
      <c r="O71" s="2132"/>
      <c r="P71" s="2132"/>
      <c r="Q71" s="2132"/>
      <c r="R71" s="2132"/>
      <c r="S71" s="2132"/>
      <c r="T71" s="2132"/>
      <c r="U71" s="2132"/>
      <c r="V71" s="2132"/>
      <c r="W71" s="2132"/>
      <c r="X71" s="2132"/>
      <c r="Y71" s="2132"/>
      <c r="Z71" s="2132"/>
      <c r="AA71" s="1435"/>
      <c r="AB71" s="1435"/>
      <c r="AC71" s="1435"/>
      <c r="AD71" s="1435"/>
      <c r="AE71" s="1435"/>
      <c r="AF71" s="1435"/>
      <c r="AG71" s="1435"/>
      <c r="AH71" s="1435"/>
      <c r="AI71" s="1435"/>
    </row>
    <row r="72" spans="1:35" s="1265" customFormat="1" ht="14.25">
      <c r="A72" s="535" t="s">
        <v>1889</v>
      </c>
      <c r="B72" s="536" t="s">
        <v>318</v>
      </c>
      <c r="C72" s="539">
        <f ca="1">ROUND(D45/(1+'数据-取费表'!C42),0)</f>
        <v>258949</v>
      </c>
      <c r="D72" s="532" t="s">
        <v>163</v>
      </c>
      <c r="E72" s="3349"/>
      <c r="F72" s="3348"/>
      <c r="G72" s="3348"/>
      <c r="H72" s="548"/>
      <c r="I72" s="2281"/>
      <c r="N72" s="2132"/>
      <c r="O72" s="2132"/>
      <c r="P72" s="2132"/>
      <c r="Q72" s="2132"/>
      <c r="R72" s="2132"/>
      <c r="S72" s="2132"/>
      <c r="T72" s="2132"/>
      <c r="U72" s="2132"/>
      <c r="V72" s="2132"/>
      <c r="W72" s="2132"/>
      <c r="X72" s="2132"/>
      <c r="Y72" s="2132"/>
      <c r="Z72" s="2132"/>
      <c r="AA72" s="1435"/>
      <c r="AB72" s="1435"/>
      <c r="AC72" s="1435"/>
      <c r="AD72" s="1435"/>
      <c r="AE72" s="1435"/>
      <c r="AF72" s="1435"/>
      <c r="AG72" s="1435"/>
      <c r="AH72" s="1435"/>
      <c r="AI72" s="1435"/>
    </row>
    <row r="73" spans="1:35" s="1265" customFormat="1" ht="14.25">
      <c r="A73" s="535" t="s">
        <v>1886</v>
      </c>
      <c r="B73" s="505" t="s">
        <v>319</v>
      </c>
      <c r="C73" s="539">
        <f ca="1">C74+C78</f>
        <v>1554</v>
      </c>
      <c r="D73" s="532" t="s">
        <v>163</v>
      </c>
      <c r="E73" s="3349"/>
      <c r="F73" s="3348"/>
      <c r="G73" s="3348"/>
      <c r="H73" s="548"/>
      <c r="I73" s="2281"/>
      <c r="J73" s="2132"/>
      <c r="K73" s="2132"/>
      <c r="L73" s="2132"/>
      <c r="M73" s="2132"/>
      <c r="N73" s="2132"/>
      <c r="O73" s="2132"/>
      <c r="P73" s="2132"/>
      <c r="Q73" s="2132"/>
      <c r="R73" s="2132"/>
      <c r="S73" s="2132"/>
      <c r="T73" s="2132"/>
      <c r="U73" s="2132"/>
      <c r="V73" s="2132"/>
      <c r="W73" s="2132"/>
      <c r="X73" s="2132"/>
      <c r="Y73" s="2132"/>
      <c r="Z73" s="2132"/>
      <c r="AA73" s="1435"/>
      <c r="AB73" s="1435"/>
      <c r="AC73" s="1435"/>
      <c r="AD73" s="1435"/>
      <c r="AE73" s="1435"/>
      <c r="AF73" s="1435"/>
      <c r="AG73" s="1435"/>
      <c r="AH73" s="1435"/>
      <c r="AI73" s="1435"/>
    </row>
    <row r="74" spans="1:35" s="1265" customFormat="1" ht="24">
      <c r="A74" s="549" t="s">
        <v>1884</v>
      </c>
      <c r="B74" s="530" t="s">
        <v>320</v>
      </c>
      <c r="C74" s="532">
        <f>ROUND(IF(G77="2016年5月1日后购买",C75/(1+'数据-取费表'!C42)+C76+C77,C75+C76+C77),0)</f>
        <v>0</v>
      </c>
      <c r="D74" s="532" t="s">
        <v>163</v>
      </c>
      <c r="E74" s="3349"/>
      <c r="F74" s="3348"/>
      <c r="G74" s="3348"/>
      <c r="H74" s="548"/>
      <c r="I74" s="2281"/>
      <c r="J74" s="2132"/>
      <c r="K74" s="2132"/>
      <c r="L74" s="2132"/>
      <c r="M74" s="2132"/>
      <c r="N74" s="2132"/>
      <c r="O74" s="2132"/>
      <c r="P74" s="2132"/>
      <c r="Q74" s="2132"/>
      <c r="R74" s="2132"/>
      <c r="S74" s="2132"/>
      <c r="T74" s="2132"/>
      <c r="U74" s="2132"/>
      <c r="V74" s="2132"/>
      <c r="W74" s="2132"/>
      <c r="X74" s="2132"/>
      <c r="Y74" s="2132"/>
      <c r="Z74" s="2132"/>
      <c r="AA74" s="1435"/>
      <c r="AB74" s="1435"/>
      <c r="AC74" s="1435"/>
      <c r="AD74" s="1435"/>
      <c r="AE74" s="1435"/>
      <c r="AF74" s="1435"/>
      <c r="AG74" s="1435"/>
      <c r="AH74" s="1435"/>
      <c r="AI74" s="1435"/>
    </row>
    <row r="75" spans="1:35" s="1265" customFormat="1" ht="13.5">
      <c r="A75" s="549" t="s">
        <v>1891</v>
      </c>
      <c r="B75" s="530" t="s">
        <v>321</v>
      </c>
      <c r="C75" s="550"/>
      <c r="D75" s="532" t="s">
        <v>163</v>
      </c>
      <c r="E75" s="551" t="s">
        <v>322</v>
      </c>
      <c r="F75" s="1427" t="s">
        <v>2411</v>
      </c>
      <c r="G75" s="551" t="s">
        <v>791</v>
      </c>
      <c r="H75" s="552"/>
      <c r="I75" s="2282"/>
      <c r="J75" s="2132"/>
      <c r="K75" s="2132"/>
      <c r="L75" s="2132"/>
      <c r="M75" s="2132"/>
      <c r="N75" s="2132"/>
      <c r="O75" s="2132"/>
      <c r="P75" s="2132"/>
      <c r="Q75" s="2132"/>
      <c r="R75" s="2132"/>
      <c r="S75" s="2132"/>
      <c r="T75" s="2132"/>
      <c r="U75" s="2132"/>
      <c r="V75" s="2132"/>
      <c r="W75" s="2132"/>
      <c r="X75" s="2132"/>
      <c r="Y75" s="2132"/>
      <c r="Z75" s="2132"/>
      <c r="AA75" s="1435"/>
      <c r="AB75" s="1435"/>
      <c r="AC75" s="1435"/>
      <c r="AD75" s="1435"/>
      <c r="AE75" s="1435"/>
      <c r="AF75" s="1435"/>
      <c r="AG75" s="1435"/>
      <c r="AH75" s="1435"/>
      <c r="AI75" s="1435"/>
    </row>
    <row r="76" spans="1:35" s="1265" customFormat="1" ht="24.75" customHeight="1">
      <c r="A76" s="549" t="s">
        <v>1893</v>
      </c>
      <c r="B76" s="553" t="s">
        <v>323</v>
      </c>
      <c r="C76" s="532">
        <f>IF(F75="购房发票",ROUND(C75*H75*D76,0),0)</f>
        <v>0</v>
      </c>
      <c r="D76" s="554">
        <v>0.05</v>
      </c>
      <c r="E76" s="3517" t="s">
        <v>324</v>
      </c>
      <c r="F76" s="3516"/>
      <c r="G76" s="3516"/>
      <c r="H76" s="3519"/>
      <c r="I76" s="2281"/>
      <c r="J76" s="2132"/>
      <c r="K76" s="2132"/>
      <c r="L76" s="2132"/>
      <c r="M76" s="2132"/>
      <c r="N76" s="2132"/>
      <c r="O76" s="2132"/>
      <c r="P76" s="2132"/>
      <c r="Q76" s="2132"/>
      <c r="R76" s="2132"/>
      <c r="S76" s="2132"/>
      <c r="T76" s="2132"/>
      <c r="U76" s="2132"/>
      <c r="V76" s="2132"/>
      <c r="W76" s="2132"/>
      <c r="X76" s="2132"/>
      <c r="Y76" s="2132"/>
      <c r="Z76" s="2132"/>
      <c r="AA76" s="1435"/>
      <c r="AB76" s="1435"/>
      <c r="AC76" s="1435"/>
      <c r="AD76" s="1435"/>
      <c r="AE76" s="1435"/>
      <c r="AF76" s="1435"/>
      <c r="AG76" s="1435"/>
      <c r="AH76" s="1435"/>
      <c r="AI76" s="1435"/>
    </row>
    <row r="77" spans="1:35" s="1265" customFormat="1" ht="24.75" customHeight="1">
      <c r="A77" s="549" t="s">
        <v>1894</v>
      </c>
      <c r="B77" s="530" t="s">
        <v>325</v>
      </c>
      <c r="C77" s="532">
        <f>ROUND(IF(G77="个人住宅",0,IF(G77="2016年5月1日前购买",C75*D77,C75*D77/(1+'数据-取费表'!C42))),0)</f>
        <v>0</v>
      </c>
      <c r="D77" s="555">
        <f>'数据-取费表'!B48+'数据-取费表'!B49</f>
        <v>3.0499999999999999E-2</v>
      </c>
      <c r="E77" s="303" t="s">
        <v>792</v>
      </c>
      <c r="F77" s="556"/>
      <c r="G77" s="1428" t="s">
        <v>2502</v>
      </c>
      <c r="H77" s="3350" t="str">
        <f>IF(G77="个人买卖住房","免征印花税"," ")</f>
        <v xml:space="preserve"> </v>
      </c>
      <c r="I77" s="2281"/>
      <c r="J77" s="2132"/>
      <c r="K77" s="2132"/>
      <c r="L77" s="2132"/>
      <c r="M77" s="2132"/>
      <c r="N77" s="2132"/>
      <c r="O77" s="2132"/>
      <c r="P77" s="2132"/>
      <c r="Q77" s="2132"/>
      <c r="R77" s="2132"/>
      <c r="S77" s="2132"/>
      <c r="T77" s="2132"/>
      <c r="U77" s="2132"/>
      <c r="V77" s="2132"/>
      <c r="W77" s="2132"/>
      <c r="X77" s="2132"/>
      <c r="Y77" s="2132"/>
      <c r="Z77" s="2132"/>
      <c r="AA77" s="1435"/>
      <c r="AB77" s="1435"/>
      <c r="AC77" s="1435"/>
      <c r="AD77" s="1435"/>
      <c r="AE77" s="1435"/>
      <c r="AF77" s="1435"/>
      <c r="AG77" s="1435"/>
      <c r="AH77" s="1435"/>
      <c r="AI77" s="1435"/>
    </row>
    <row r="78" spans="1:35" s="1265" customFormat="1" ht="24.75" customHeight="1">
      <c r="A78" s="549" t="s">
        <v>1885</v>
      </c>
      <c r="B78" s="530" t="s">
        <v>326</v>
      </c>
      <c r="C78" s="557">
        <f ca="1">ROUND(D45*D78/(1+'数据-取费表'!C42),0)</f>
        <v>1554</v>
      </c>
      <c r="D78" s="558">
        <f>'数据-取费表'!B43</f>
        <v>6.000000000000001E-3</v>
      </c>
      <c r="E78" s="3512" t="s">
        <v>2503</v>
      </c>
      <c r="F78" s="3508"/>
      <c r="G78" s="3508"/>
      <c r="H78" s="3509"/>
      <c r="I78" s="2283"/>
      <c r="J78" s="2132"/>
      <c r="K78" s="2132"/>
      <c r="L78" s="2132"/>
      <c r="M78" s="2132"/>
      <c r="N78" s="2132"/>
      <c r="O78" s="2132"/>
      <c r="P78" s="2132"/>
      <c r="Q78" s="2132"/>
      <c r="R78" s="2132"/>
      <c r="S78" s="2132"/>
      <c r="T78" s="2132"/>
      <c r="U78" s="2132"/>
      <c r="V78" s="2132"/>
      <c r="W78" s="2132"/>
      <c r="X78" s="2132"/>
      <c r="Y78" s="2132"/>
      <c r="Z78" s="2132"/>
      <c r="AA78" s="1435"/>
      <c r="AB78" s="1435"/>
      <c r="AC78" s="1435"/>
      <c r="AD78" s="1435"/>
      <c r="AE78" s="1435"/>
      <c r="AF78" s="1435"/>
      <c r="AG78" s="1435"/>
      <c r="AH78" s="1435"/>
      <c r="AI78" s="1435"/>
    </row>
    <row r="79" spans="1:35" s="1265" customFormat="1" ht="14.25">
      <c r="A79" s="1797" t="s">
        <v>1887</v>
      </c>
      <c r="B79" s="536" t="s">
        <v>327</v>
      </c>
      <c r="C79" s="539">
        <f ca="1">C72-C73</f>
        <v>257395</v>
      </c>
      <c r="D79" s="532" t="s">
        <v>163</v>
      </c>
      <c r="E79" s="3349"/>
      <c r="F79" s="3348"/>
      <c r="G79" s="3348"/>
      <c r="H79" s="548"/>
      <c r="I79" s="2281"/>
      <c r="J79" s="2132"/>
      <c r="K79" s="2132"/>
      <c r="L79" s="2132"/>
      <c r="M79" s="2132"/>
      <c r="N79" s="2132"/>
      <c r="O79" s="2132"/>
      <c r="P79" s="2132"/>
      <c r="Q79" s="2132"/>
      <c r="R79" s="2132"/>
      <c r="S79" s="2132"/>
      <c r="T79" s="2132"/>
      <c r="U79" s="2132"/>
      <c r="V79" s="2132"/>
      <c r="W79" s="2132"/>
      <c r="X79" s="2132"/>
      <c r="Y79" s="2132"/>
      <c r="Z79" s="2132"/>
      <c r="AA79" s="1435"/>
      <c r="AB79" s="1435"/>
      <c r="AC79" s="1435"/>
      <c r="AD79" s="1435"/>
      <c r="AE79" s="1435"/>
      <c r="AF79" s="1435"/>
      <c r="AG79" s="1435"/>
      <c r="AH79" s="1435"/>
      <c r="AI79" s="1435"/>
    </row>
    <row r="80" spans="1:35" s="1265" customFormat="1" ht="24">
      <c r="A80" s="1797" t="s">
        <v>1896</v>
      </c>
      <c r="B80" s="536" t="s">
        <v>328</v>
      </c>
      <c r="C80" s="559">
        <f ca="1">IF(C79&lt;=0,0,C79/C73)</f>
        <v>165.63384813384815</v>
      </c>
      <c r="D80" s="532" t="s">
        <v>163</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3348"/>
      <c r="G80" s="3348"/>
      <c r="H80" s="548"/>
      <c r="I80" s="2281"/>
      <c r="J80" s="2132"/>
      <c r="K80" s="2132"/>
      <c r="L80" s="2132"/>
      <c r="M80" s="2132"/>
      <c r="N80" s="2132"/>
      <c r="O80" s="2132"/>
      <c r="P80" s="2132"/>
      <c r="Q80" s="2132"/>
      <c r="R80" s="2132"/>
      <c r="S80" s="2132"/>
      <c r="T80" s="2132"/>
      <c r="U80" s="2132"/>
      <c r="V80" s="2132"/>
      <c r="W80" s="2132"/>
      <c r="X80" s="2132"/>
      <c r="Y80" s="2132"/>
      <c r="Z80" s="2132"/>
      <c r="AA80" s="1435"/>
      <c r="AB80" s="1435"/>
      <c r="AC80" s="1435"/>
      <c r="AD80" s="1435"/>
      <c r="AE80" s="1435"/>
      <c r="AF80" s="1435"/>
      <c r="AG80" s="1435"/>
      <c r="AH80" s="1435"/>
      <c r="AI80" s="1435"/>
    </row>
    <row r="81" spans="1:35" s="1265" customFormat="1" ht="24.75" thickBot="1">
      <c r="A81" s="1798" t="s">
        <v>1897</v>
      </c>
      <c r="B81" s="541" t="s">
        <v>329</v>
      </c>
      <c r="C81" s="560">
        <f ca="1">ROUND(IF(C79&lt;=0,0,IF(C80&gt;=200%,C79*60%-C73*35%,IF(C80&gt;=100%,C79*50%-C73*15%,IF(C80&gt;=50%,C79*40%-C73*5%,IF(C80&lt;50%,C79*30%,0))))),0)</f>
        <v>153893</v>
      </c>
      <c r="D81" s="561" t="s">
        <v>163</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1"/>
      <c r="J81" s="2132"/>
      <c r="K81" s="2132"/>
      <c r="L81" s="2132"/>
      <c r="M81" s="2132"/>
      <c r="N81" s="2132"/>
      <c r="O81" s="2132"/>
      <c r="P81" s="2132"/>
      <c r="Q81" s="2132"/>
      <c r="R81" s="2132"/>
      <c r="S81" s="2132"/>
      <c r="T81" s="2132"/>
      <c r="U81" s="2132"/>
      <c r="V81" s="2132"/>
      <c r="W81" s="2132"/>
      <c r="X81" s="2132"/>
      <c r="Y81" s="2132"/>
      <c r="Z81" s="2132"/>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3"/>
      <c r="J82" s="2132"/>
      <c r="K82" s="2132"/>
      <c r="L82" s="2132"/>
      <c r="M82" s="2132"/>
      <c r="N82" s="2132"/>
      <c r="O82" s="2132"/>
      <c r="P82" s="2132"/>
      <c r="Q82" s="2132"/>
      <c r="R82" s="2132"/>
      <c r="S82" s="2132"/>
      <c r="T82" s="2132"/>
      <c r="U82" s="2132"/>
      <c r="V82" s="2132"/>
      <c r="W82" s="2132"/>
      <c r="X82" s="2132"/>
      <c r="Y82" s="2132"/>
      <c r="Z82" s="2132"/>
      <c r="AA82" s="1435"/>
      <c r="AB82" s="1435"/>
      <c r="AC82" s="1435"/>
      <c r="AD82" s="1435"/>
      <c r="AE82" s="1435"/>
      <c r="AF82" s="1435"/>
      <c r="AG82" s="1435"/>
      <c r="AH82" s="1435"/>
      <c r="AI82" s="1435"/>
    </row>
    <row r="83" spans="1:35" s="1265" customFormat="1" ht="14.25" thickBot="1">
      <c r="A83" s="3520" t="s">
        <v>330</v>
      </c>
      <c r="B83" s="3521"/>
      <c r="C83" s="3521"/>
      <c r="D83" s="3521"/>
      <c r="E83" s="3521"/>
      <c r="F83" s="3521"/>
      <c r="G83" s="3521"/>
      <c r="H83" s="3521"/>
      <c r="I83" s="2282"/>
      <c r="J83" s="2132"/>
      <c r="K83" s="2132"/>
      <c r="L83" s="2132"/>
      <c r="M83" s="2132"/>
      <c r="N83" s="2132"/>
      <c r="O83" s="2132"/>
      <c r="P83" s="2132"/>
      <c r="Q83" s="2132"/>
      <c r="R83" s="2132"/>
      <c r="S83" s="2132"/>
      <c r="T83" s="2132"/>
      <c r="U83" s="2132"/>
      <c r="V83" s="2132"/>
      <c r="W83" s="2132"/>
      <c r="X83" s="2132"/>
      <c r="Y83" s="2132"/>
      <c r="Z83" s="2132"/>
      <c r="AA83" s="1435"/>
      <c r="AB83" s="1435"/>
      <c r="AC83" s="1435"/>
      <c r="AD83" s="1435"/>
      <c r="AE83" s="1435"/>
      <c r="AF83" s="1435"/>
      <c r="AG83" s="1435"/>
      <c r="AH83" s="1435"/>
      <c r="AI83" s="1435"/>
    </row>
    <row r="84" spans="1:35" s="1265" customFormat="1" ht="13.5">
      <c r="A84" s="3510" t="s">
        <v>308</v>
      </c>
      <c r="B84" s="3511"/>
      <c r="C84" s="3347"/>
      <c r="D84" s="3347" t="s">
        <v>316</v>
      </c>
      <c r="E84" s="545" t="s">
        <v>317</v>
      </c>
      <c r="F84" s="546"/>
      <c r="G84" s="546"/>
      <c r="H84" s="565"/>
      <c r="I84" s="2282"/>
      <c r="J84" s="2132"/>
      <c r="K84" s="2132"/>
      <c r="L84" s="2132"/>
      <c r="M84" s="2132"/>
      <c r="N84" s="2132"/>
      <c r="O84" s="2132"/>
      <c r="P84" s="2132"/>
      <c r="Q84" s="2132"/>
      <c r="R84" s="2132"/>
      <c r="S84" s="2132"/>
      <c r="T84" s="2132"/>
      <c r="U84" s="2132"/>
      <c r="V84" s="2132"/>
      <c r="W84" s="2132"/>
      <c r="X84" s="2132"/>
      <c r="Y84" s="2132"/>
      <c r="Z84" s="2132"/>
      <c r="AA84" s="1435"/>
      <c r="AB84" s="1435"/>
      <c r="AC84" s="1435"/>
      <c r="AD84" s="1435"/>
      <c r="AE84" s="1435"/>
      <c r="AF84" s="1435"/>
      <c r="AG84" s="1435"/>
      <c r="AH84" s="1435"/>
      <c r="AI84" s="1435"/>
    </row>
    <row r="85" spans="1:35" s="1265" customFormat="1" ht="13.5">
      <c r="A85" s="535" t="s">
        <v>1889</v>
      </c>
      <c r="B85" s="536" t="s">
        <v>318</v>
      </c>
      <c r="C85" s="539">
        <f ca="1">ROUND(D45/(1+'数据-取费表'!C42),0)</f>
        <v>258949</v>
      </c>
      <c r="D85" s="532" t="s">
        <v>163</v>
      </c>
      <c r="E85" s="3349"/>
      <c r="F85" s="3348"/>
      <c r="G85" s="3348"/>
      <c r="H85" s="566"/>
      <c r="I85" s="2282"/>
      <c r="J85" s="2132"/>
      <c r="K85" s="2132"/>
      <c r="L85" s="2132"/>
      <c r="M85" s="2132"/>
      <c r="N85" s="2132"/>
      <c r="O85" s="2132"/>
      <c r="P85" s="2132"/>
      <c r="Q85" s="2132"/>
      <c r="R85" s="2132"/>
      <c r="S85" s="2132"/>
      <c r="T85" s="2132"/>
      <c r="U85" s="2132"/>
      <c r="V85" s="2132"/>
      <c r="W85" s="2132"/>
      <c r="X85" s="2132"/>
      <c r="Y85" s="2132"/>
      <c r="Z85" s="2132"/>
      <c r="AA85" s="1435"/>
      <c r="AB85" s="1435"/>
      <c r="AC85" s="1435"/>
      <c r="AD85" s="1435"/>
      <c r="AE85" s="1435"/>
      <c r="AF85" s="1435"/>
      <c r="AG85" s="1435"/>
      <c r="AH85" s="1435"/>
      <c r="AI85" s="1435"/>
    </row>
    <row r="86" spans="1:35" s="1265" customFormat="1" ht="13.5">
      <c r="A86" s="535" t="s">
        <v>1886</v>
      </c>
      <c r="B86" s="505" t="s">
        <v>319</v>
      </c>
      <c r="C86" s="539">
        <f ca="1">IF(H88="仅含出让金",C87+C90+C91+C92+C93+C94,C87+C91+C92+C93+C94)</f>
        <v>1554</v>
      </c>
      <c r="D86" s="567"/>
      <c r="E86" s="3349"/>
      <c r="F86" s="3348"/>
      <c r="G86" s="3348"/>
      <c r="H86" s="566"/>
      <c r="I86" s="2282"/>
      <c r="J86" s="2132"/>
      <c r="K86" s="2132"/>
      <c r="L86" s="2132"/>
      <c r="M86" s="2132"/>
      <c r="N86" s="2132"/>
      <c r="O86" s="2132"/>
      <c r="P86" s="2132"/>
      <c r="Q86" s="2132"/>
      <c r="R86" s="2132"/>
      <c r="S86" s="2132"/>
      <c r="T86" s="2132"/>
      <c r="U86" s="2132"/>
      <c r="V86" s="2132"/>
      <c r="W86" s="2132"/>
      <c r="X86" s="2132"/>
      <c r="Y86" s="2132"/>
      <c r="Z86" s="2132"/>
      <c r="AA86" s="1435"/>
      <c r="AB86" s="1435"/>
      <c r="AC86" s="1435"/>
      <c r="AD86" s="1435"/>
      <c r="AE86" s="1435"/>
      <c r="AF86" s="1435"/>
      <c r="AG86" s="1435"/>
      <c r="AH86" s="1435"/>
      <c r="AI86" s="1435"/>
    </row>
    <row r="87" spans="1:35" s="1265" customFormat="1" ht="13.5">
      <c r="A87" s="549" t="s">
        <v>1884</v>
      </c>
      <c r="B87" s="530" t="s">
        <v>331</v>
      </c>
      <c r="C87" s="557">
        <f>C88+C89</f>
        <v>0</v>
      </c>
      <c r="D87" s="558"/>
      <c r="E87" s="3344"/>
      <c r="F87" s="3345"/>
      <c r="G87" s="3345"/>
      <c r="H87" s="3346"/>
      <c r="I87" s="2282"/>
      <c r="J87" s="2132"/>
      <c r="K87" s="2132"/>
      <c r="L87" s="2132"/>
      <c r="M87" s="2132"/>
      <c r="N87" s="2132"/>
      <c r="O87" s="2132"/>
      <c r="P87" s="2132"/>
      <c r="Q87" s="2132"/>
      <c r="R87" s="2132"/>
      <c r="S87" s="2132"/>
      <c r="T87" s="2132"/>
      <c r="U87" s="2132"/>
      <c r="V87" s="2132"/>
      <c r="W87" s="2132"/>
      <c r="X87" s="2132"/>
      <c r="Y87" s="2132"/>
      <c r="Z87" s="2132"/>
      <c r="AA87" s="1435"/>
      <c r="AB87" s="1435"/>
      <c r="AC87" s="1435"/>
      <c r="AD87" s="1435"/>
      <c r="AE87" s="1435"/>
      <c r="AF87" s="1435"/>
      <c r="AG87" s="1435"/>
      <c r="AH87" s="1435"/>
      <c r="AI87" s="1435"/>
    </row>
    <row r="88" spans="1:35" s="1265" customFormat="1" ht="13.5">
      <c r="A88" s="549" t="s">
        <v>1891</v>
      </c>
      <c r="B88" s="530" t="s">
        <v>332</v>
      </c>
      <c r="C88" s="568"/>
      <c r="D88" s="558"/>
      <c r="E88" s="569" t="s">
        <v>333</v>
      </c>
      <c r="F88" s="3345"/>
      <c r="G88" s="570" t="s">
        <v>334</v>
      </c>
      <c r="H88" s="1429"/>
      <c r="I88" s="2282"/>
      <c r="J88" s="2132"/>
      <c r="K88" s="2132"/>
      <c r="L88" s="2132"/>
      <c r="M88" s="2132"/>
      <c r="N88" s="2132"/>
      <c r="O88" s="2132"/>
      <c r="P88" s="2132"/>
      <c r="Q88" s="2132"/>
      <c r="R88" s="2132"/>
      <c r="S88" s="2132"/>
      <c r="T88" s="2132"/>
      <c r="U88" s="2132"/>
      <c r="V88" s="2132"/>
      <c r="W88" s="2132"/>
      <c r="X88" s="2132"/>
      <c r="Y88" s="2132"/>
      <c r="Z88" s="2132"/>
      <c r="AA88" s="1435"/>
      <c r="AB88" s="1435"/>
      <c r="AC88" s="1435"/>
      <c r="AD88" s="1435"/>
      <c r="AE88" s="1435"/>
      <c r="AF88" s="1435"/>
      <c r="AG88" s="1435"/>
      <c r="AH88" s="1435"/>
      <c r="AI88" s="1435"/>
    </row>
    <row r="89" spans="1:35" s="1265" customFormat="1" ht="13.5">
      <c r="A89" s="549" t="s">
        <v>1893</v>
      </c>
      <c r="B89" s="530" t="s">
        <v>325</v>
      </c>
      <c r="C89" s="557">
        <f>ROUND(C88*D89,0)</f>
        <v>0</v>
      </c>
      <c r="D89" s="558">
        <f>'数据-取费表'!B48+'数据-取费表'!B49</f>
        <v>3.0499999999999999E-2</v>
      </c>
      <c r="E89" s="569" t="s">
        <v>335</v>
      </c>
      <c r="F89" s="3345"/>
      <c r="G89" s="3345"/>
      <c r="H89" s="3346"/>
      <c r="I89" s="2282"/>
      <c r="J89" s="2132"/>
      <c r="K89" s="2132"/>
      <c r="L89" s="2132"/>
      <c r="M89" s="2132"/>
      <c r="N89" s="2132"/>
      <c r="O89" s="2132"/>
      <c r="P89" s="2132"/>
      <c r="Q89" s="2132"/>
      <c r="R89" s="2132"/>
      <c r="S89" s="2132"/>
      <c r="T89" s="2132"/>
      <c r="U89" s="2132"/>
      <c r="V89" s="2132"/>
      <c r="W89" s="2132"/>
      <c r="X89" s="2132"/>
      <c r="Y89" s="2132"/>
      <c r="Z89" s="2132"/>
      <c r="AA89" s="1435"/>
      <c r="AB89" s="1435"/>
      <c r="AC89" s="1435"/>
      <c r="AD89" s="1435"/>
      <c r="AE89" s="1435"/>
      <c r="AF89" s="1435"/>
      <c r="AG89" s="1435"/>
      <c r="AH89" s="1435"/>
      <c r="AI89" s="1435"/>
    </row>
    <row r="90" spans="1:35" s="1265" customFormat="1" ht="13.5">
      <c r="A90" s="549" t="s">
        <v>1885</v>
      </c>
      <c r="B90" s="530" t="s">
        <v>336</v>
      </c>
      <c r="C90" s="568"/>
      <c r="D90" s="558"/>
      <c r="E90" s="569" t="str">
        <f>IF(H88="-","土地取得成本中已包含该笔费用"," ")</f>
        <v xml:space="preserve"> </v>
      </c>
      <c r="F90" s="3345"/>
      <c r="G90" s="3345"/>
      <c r="H90" s="3346"/>
      <c r="I90" s="2282"/>
      <c r="J90" s="2132"/>
      <c r="K90" s="2132"/>
      <c r="L90" s="2132"/>
      <c r="M90" s="2132"/>
      <c r="N90" s="2132"/>
      <c r="O90" s="2132"/>
      <c r="P90" s="2132"/>
      <c r="Q90" s="2132"/>
      <c r="R90" s="2132"/>
      <c r="S90" s="2132"/>
      <c r="T90" s="2132"/>
      <c r="U90" s="2132"/>
      <c r="V90" s="2132"/>
      <c r="W90" s="2132"/>
      <c r="X90" s="2132"/>
      <c r="Y90" s="2132"/>
      <c r="Z90" s="2132"/>
      <c r="AA90" s="1435"/>
      <c r="AB90" s="1435"/>
      <c r="AC90" s="1435"/>
      <c r="AD90" s="1435"/>
      <c r="AE90" s="1435"/>
      <c r="AF90" s="1435"/>
      <c r="AG90" s="1435"/>
      <c r="AH90" s="1435"/>
      <c r="AI90" s="1435"/>
    </row>
    <row r="91" spans="1:35" s="1265" customFormat="1" ht="27.75" customHeight="1">
      <c r="A91" s="1799" t="s">
        <v>1898</v>
      </c>
      <c r="B91" s="530" t="s">
        <v>337</v>
      </c>
      <c r="C91" s="557">
        <f>IF(H91="——",成本法!C33,I91)</f>
        <v>0</v>
      </c>
      <c r="D91" s="558"/>
      <c r="E91" s="3507" t="s">
        <v>793</v>
      </c>
      <c r="F91" s="3508"/>
      <c r="G91" s="3508"/>
      <c r="H91" s="1430" t="s">
        <v>2312</v>
      </c>
      <c r="I91" s="2179"/>
      <c r="J91" s="2132"/>
      <c r="K91" s="2132"/>
      <c r="L91" s="2132"/>
      <c r="M91" s="2132"/>
      <c r="N91" s="2132"/>
      <c r="O91" s="2132"/>
      <c r="P91" s="2132"/>
      <c r="Q91" s="2132"/>
      <c r="R91" s="2132"/>
      <c r="S91" s="2132"/>
      <c r="T91" s="2132"/>
      <c r="U91" s="2132"/>
      <c r="V91" s="2132"/>
      <c r="W91" s="2132"/>
      <c r="X91" s="2132"/>
      <c r="Y91" s="2132"/>
      <c r="Z91" s="2132"/>
      <c r="AA91" s="1435"/>
      <c r="AB91" s="1435"/>
      <c r="AC91" s="1435"/>
      <c r="AD91" s="1435"/>
      <c r="AE91" s="1435"/>
      <c r="AF91" s="1435"/>
      <c r="AG91" s="1435"/>
      <c r="AH91" s="1435"/>
      <c r="AI91" s="1435"/>
    </row>
    <row r="92" spans="1:35" s="1265" customFormat="1" ht="25.5" customHeight="1">
      <c r="A92" s="1799" t="s">
        <v>1899</v>
      </c>
      <c r="B92" s="530" t="s">
        <v>338</v>
      </c>
      <c r="C92" s="557">
        <f>ROUND((C87+C90+C91)*D92,0)</f>
        <v>0</v>
      </c>
      <c r="D92" s="558">
        <v>0.1</v>
      </c>
      <c r="E92" s="3507" t="s">
        <v>339</v>
      </c>
      <c r="F92" s="3508"/>
      <c r="G92" s="3508"/>
      <c r="H92" s="3509"/>
      <c r="I92" s="2282"/>
      <c r="J92" s="2132"/>
      <c r="K92" s="2132"/>
      <c r="L92" s="2132"/>
      <c r="M92" s="2132"/>
      <c r="N92" s="2132"/>
      <c r="O92" s="2132"/>
      <c r="P92" s="2132"/>
      <c r="Q92" s="2132"/>
      <c r="R92" s="2132"/>
      <c r="S92" s="2132"/>
      <c r="T92" s="2132"/>
      <c r="U92" s="2132"/>
      <c r="V92" s="2132"/>
      <c r="W92" s="2132"/>
      <c r="X92" s="2132"/>
      <c r="Y92" s="2132"/>
      <c r="Z92" s="2132"/>
      <c r="AA92" s="1435"/>
      <c r="AB92" s="1435"/>
      <c r="AC92" s="1435"/>
      <c r="AD92" s="1435"/>
      <c r="AE92" s="1435"/>
      <c r="AF92" s="1435"/>
      <c r="AG92" s="1435"/>
      <c r="AH92" s="1435"/>
      <c r="AI92" s="1435"/>
    </row>
    <row r="93" spans="1:35" s="1265" customFormat="1" ht="25.5" customHeight="1">
      <c r="A93" s="1799" t="s">
        <v>1900</v>
      </c>
      <c r="B93" s="530" t="s">
        <v>326</v>
      </c>
      <c r="C93" s="557">
        <f ca="1">ROUND(D45*D93/(1+'数据-取费表'!C42),0)</f>
        <v>1554</v>
      </c>
      <c r="D93" s="558">
        <f>'数据-取费表'!B43</f>
        <v>6.000000000000001E-3</v>
      </c>
      <c r="E93" s="3512" t="s">
        <v>2503</v>
      </c>
      <c r="F93" s="3508"/>
      <c r="G93" s="3508"/>
      <c r="H93" s="3509"/>
      <c r="I93" s="2282"/>
      <c r="J93" s="2132"/>
      <c r="K93" s="2132"/>
      <c r="L93" s="2132"/>
      <c r="M93" s="2132"/>
      <c r="N93" s="2132"/>
      <c r="O93" s="2132"/>
      <c r="P93" s="2132"/>
      <c r="Q93" s="2132"/>
      <c r="R93" s="2132"/>
      <c r="S93" s="2132"/>
      <c r="T93" s="2132"/>
      <c r="U93" s="2132"/>
      <c r="V93" s="2132"/>
      <c r="W93" s="2132"/>
      <c r="X93" s="2132"/>
      <c r="Y93" s="2132"/>
      <c r="Z93" s="2132"/>
      <c r="AA93" s="1435"/>
      <c r="AB93" s="1435"/>
      <c r="AC93" s="1435"/>
      <c r="AD93" s="1435"/>
      <c r="AE93" s="1435"/>
      <c r="AF93" s="1435"/>
      <c r="AG93" s="1435"/>
      <c r="AH93" s="1435"/>
      <c r="AI93" s="1435"/>
    </row>
    <row r="94" spans="1:35" s="1265" customFormat="1" ht="36.75" customHeight="1">
      <c r="A94" s="1799" t="s">
        <v>1901</v>
      </c>
      <c r="B94" s="530" t="s">
        <v>340</v>
      </c>
      <c r="C94" s="568">
        <f>ROUND((C87+C90+C91)*D94,0)</f>
        <v>0</v>
      </c>
      <c r="D94" s="558">
        <v>0.2</v>
      </c>
      <c r="E94" s="3560" t="s">
        <v>3052</v>
      </c>
      <c r="F94" s="3561"/>
      <c r="G94" s="3561"/>
      <c r="H94" s="3562"/>
      <c r="I94" s="2282"/>
      <c r="J94" s="2132"/>
      <c r="K94" s="2132"/>
      <c r="L94" s="2132"/>
      <c r="M94" s="2132"/>
      <c r="N94" s="2132"/>
      <c r="O94" s="2132"/>
      <c r="P94" s="2132"/>
      <c r="Q94" s="2132"/>
      <c r="R94" s="2132"/>
      <c r="S94" s="2132"/>
      <c r="T94" s="2132"/>
      <c r="U94" s="2132"/>
      <c r="V94" s="2132"/>
      <c r="W94" s="2132"/>
      <c r="X94" s="2132"/>
      <c r="Y94" s="2132"/>
      <c r="Z94" s="2132"/>
      <c r="AA94" s="1435"/>
      <c r="AB94" s="1435"/>
      <c r="AC94" s="1435"/>
      <c r="AD94" s="1435"/>
      <c r="AE94" s="1435"/>
      <c r="AF94" s="1435"/>
      <c r="AG94" s="1435"/>
      <c r="AH94" s="1435"/>
      <c r="AI94" s="1435"/>
    </row>
    <row r="95" spans="1:35" s="1265" customFormat="1" ht="13.5">
      <c r="A95" s="1797" t="s">
        <v>1887</v>
      </c>
      <c r="B95" s="536" t="s">
        <v>327</v>
      </c>
      <c r="C95" s="539">
        <f ca="1">ROUND(C85-C86,0)</f>
        <v>257395</v>
      </c>
      <c r="D95" s="532" t="s">
        <v>163</v>
      </c>
      <c r="E95" s="3349"/>
      <c r="F95" s="3348"/>
      <c r="G95" s="3348"/>
      <c r="H95" s="566"/>
      <c r="I95" s="2282"/>
      <c r="J95" s="2132"/>
      <c r="K95" s="2132"/>
      <c r="L95" s="2132"/>
      <c r="M95" s="2132"/>
      <c r="N95" s="2132"/>
      <c r="O95" s="2132"/>
      <c r="P95" s="2132"/>
      <c r="Q95" s="2132"/>
      <c r="R95" s="2132"/>
      <c r="S95" s="2132"/>
      <c r="T95" s="2132"/>
      <c r="U95" s="2132"/>
      <c r="V95" s="2132"/>
      <c r="W95" s="2132"/>
      <c r="X95" s="2132"/>
      <c r="Y95" s="2132"/>
      <c r="Z95" s="2132"/>
      <c r="AA95" s="1435"/>
      <c r="AB95" s="1435"/>
      <c r="AC95" s="1435"/>
      <c r="AD95" s="1435"/>
      <c r="AE95" s="1435"/>
      <c r="AF95" s="1435"/>
      <c r="AG95" s="1435"/>
      <c r="AH95" s="1435"/>
      <c r="AI95" s="1435"/>
    </row>
    <row r="96" spans="1:35" s="1265" customFormat="1" ht="24">
      <c r="A96" s="1797" t="s">
        <v>1896</v>
      </c>
      <c r="B96" s="536" t="s">
        <v>328</v>
      </c>
      <c r="C96" s="559">
        <f ca="1">IF(C95&lt;=0,0,C95/C86)</f>
        <v>165.63384813384815</v>
      </c>
      <c r="D96" s="532" t="s">
        <v>163</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3348"/>
      <c r="G96" s="3348"/>
      <c r="H96" s="566"/>
      <c r="I96" s="2282"/>
      <c r="J96" s="2132"/>
      <c r="K96" s="2132"/>
      <c r="L96" s="2132"/>
      <c r="M96" s="2132"/>
      <c r="N96" s="2132"/>
      <c r="O96" s="2132"/>
      <c r="P96" s="2132"/>
      <c r="Q96" s="2132"/>
      <c r="R96" s="2132"/>
      <c r="S96" s="2132"/>
      <c r="T96" s="2132"/>
      <c r="U96" s="2132"/>
      <c r="V96" s="2132"/>
      <c r="W96" s="2132"/>
      <c r="X96" s="2132"/>
      <c r="Y96" s="2132"/>
      <c r="Z96" s="2132"/>
      <c r="AA96" s="1435"/>
      <c r="AB96" s="1435"/>
      <c r="AC96" s="1435"/>
      <c r="AD96" s="1435"/>
      <c r="AE96" s="1435"/>
      <c r="AF96" s="1435"/>
      <c r="AG96" s="1435"/>
      <c r="AH96" s="1435"/>
      <c r="AI96" s="1435"/>
    </row>
    <row r="97" spans="1:35" s="1265" customFormat="1" ht="24.75" thickBot="1">
      <c r="A97" s="1798" t="s">
        <v>1897</v>
      </c>
      <c r="B97" s="541" t="s">
        <v>329</v>
      </c>
      <c r="C97" s="560">
        <f ca="1">ROUND(IF(C95&lt;=0,0,IF(C96&gt;=200%,C95*60%-C86*35%,IF(C96&gt;=100%,C95*50%-C86*15%,IF(C96&gt;=50%,C95*40%-C86*5%,IF(C96&lt;50%,C95*30%,0))))),0)</f>
        <v>153893</v>
      </c>
      <c r="D97" s="561" t="s">
        <v>163</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2"/>
      <c r="J97" s="2132"/>
      <c r="K97" s="2132"/>
      <c r="L97" s="2132"/>
      <c r="M97" s="2132"/>
      <c r="N97" s="2132"/>
      <c r="O97" s="2132"/>
      <c r="P97" s="2132"/>
      <c r="Q97" s="2132"/>
      <c r="R97" s="2132"/>
      <c r="S97" s="2132"/>
      <c r="T97" s="2132"/>
      <c r="U97" s="2132"/>
      <c r="V97" s="2132"/>
      <c r="W97" s="2132"/>
      <c r="X97" s="2132"/>
      <c r="Y97" s="2132"/>
      <c r="Z97" s="2132"/>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4"/>
    </row>
    <row r="99" spans="1:35" ht="21.75" customHeight="1" thickBot="1">
      <c r="A99" s="1252" t="s">
        <v>225</v>
      </c>
      <c r="B99" s="1243"/>
      <c r="C99" s="1243"/>
      <c r="D99" s="1243"/>
      <c r="E99" s="229"/>
      <c r="F99" s="229"/>
      <c r="G99" s="229"/>
      <c r="H99" s="241"/>
      <c r="I99" s="2274"/>
    </row>
    <row r="100" spans="1:35" ht="18.75" customHeight="1">
      <c r="A100" s="3455" t="s">
        <v>226</v>
      </c>
      <c r="B100" s="3456"/>
      <c r="C100" s="3456"/>
      <c r="D100" s="3490"/>
      <c r="E100" s="3456" t="s">
        <v>2903</v>
      </c>
      <c r="F100" s="3456"/>
      <c r="G100" s="3456"/>
      <c r="H100" s="3490"/>
      <c r="I100" s="2274"/>
    </row>
    <row r="101" spans="1:35" ht="18.75" customHeight="1">
      <c r="A101" s="3498" t="s">
        <v>204</v>
      </c>
      <c r="B101" s="3499"/>
      <c r="C101" s="1266" t="str">
        <f>C4</f>
        <v>比较法-办公</v>
      </c>
      <c r="D101" s="1267" t="str">
        <f>D4</f>
        <v>收益法（办公）</v>
      </c>
      <c r="E101" s="3467" t="s">
        <v>1903</v>
      </c>
      <c r="F101" s="3468"/>
      <c r="G101" s="1268" t="s">
        <v>206</v>
      </c>
      <c r="H101" s="1983">
        <f ca="1">H118</f>
        <v>271896</v>
      </c>
      <c r="I101" s="2274"/>
    </row>
    <row r="102" spans="1:35" ht="18.75" customHeight="1">
      <c r="A102" s="3500" t="s">
        <v>205</v>
      </c>
      <c r="B102" s="1268" t="s">
        <v>206</v>
      </c>
      <c r="C102" s="1235">
        <f ca="1">C19</f>
        <v>277501</v>
      </c>
      <c r="D102" s="1236">
        <f ca="1">D19</f>
        <v>266290</v>
      </c>
      <c r="E102" s="3467"/>
      <c r="F102" s="3468"/>
      <c r="G102" s="1268" t="s">
        <v>207</v>
      </c>
      <c r="H102" s="711">
        <f ca="1">I118</f>
        <v>48165</v>
      </c>
      <c r="I102" s="2274"/>
    </row>
    <row r="103" spans="1:35" ht="42.75" customHeight="1">
      <c r="A103" s="3500"/>
      <c r="B103" s="1268" t="s">
        <v>207</v>
      </c>
      <c r="C103" s="1237">
        <f ca="1">C20</f>
        <v>49158</v>
      </c>
      <c r="D103" s="1238">
        <f ca="1">D20</f>
        <v>47172</v>
      </c>
      <c r="E103" s="3461" t="s">
        <v>3013</v>
      </c>
      <c r="F103" s="3462"/>
      <c r="G103" s="1269" t="s">
        <v>209</v>
      </c>
      <c r="H103" s="1983">
        <f>IF(D36="正常操作",H104+H105+H106,H105+H106)</f>
        <v>0</v>
      </c>
      <c r="I103" s="2274"/>
    </row>
    <row r="104" spans="1:35" ht="18.75" customHeight="1">
      <c r="A104" s="3500" t="s">
        <v>208</v>
      </c>
      <c r="B104" s="1270" t="s">
        <v>206</v>
      </c>
      <c r="C104" s="1239">
        <f ca="1">H118</f>
        <v>271896</v>
      </c>
      <c r="D104" s="1240"/>
      <c r="E104" s="13" t="s">
        <v>1902</v>
      </c>
      <c r="F104" s="6"/>
      <c r="G104" s="1269" t="s">
        <v>209</v>
      </c>
      <c r="H104" s="1984">
        <f>IF(D36="同一抵押权人同一抵押物续贷",C36&amp;"（未扣减，详见特别提示）",C36)</f>
        <v>0</v>
      </c>
      <c r="I104" s="2274"/>
    </row>
    <row r="105" spans="1:35" ht="18.75" customHeight="1" thickBot="1">
      <c r="A105" s="3514"/>
      <c r="B105" s="1271" t="s">
        <v>207</v>
      </c>
      <c r="C105" s="1241">
        <f ca="1">I118</f>
        <v>48165</v>
      </c>
      <c r="D105" s="1242"/>
      <c r="E105" s="13" t="s">
        <v>1904</v>
      </c>
      <c r="F105" s="6"/>
      <c r="G105" s="1269" t="s">
        <v>209</v>
      </c>
      <c r="H105" s="1984">
        <f>C37</f>
        <v>0</v>
      </c>
      <c r="I105" s="2274"/>
    </row>
    <row r="106" spans="1:35" ht="18.75" customHeight="1">
      <c r="A106" s="1243" t="s">
        <v>2000</v>
      </c>
      <c r="B106" s="1243"/>
      <c r="C106" s="1243"/>
      <c r="D106" s="1243"/>
      <c r="E106" s="467" t="s">
        <v>1905</v>
      </c>
      <c r="F106" s="6"/>
      <c r="G106" s="1269" t="s">
        <v>209</v>
      </c>
      <c r="H106" s="1984">
        <f>C38</f>
        <v>0</v>
      </c>
      <c r="I106" s="2274"/>
    </row>
    <row r="107" spans="1:35" ht="18.75" customHeight="1">
      <c r="A107" s="2274"/>
      <c r="B107" s="2274"/>
      <c r="C107" s="2274"/>
      <c r="D107" s="2274"/>
      <c r="E107" s="3502" t="str">
        <f>IF(项目基本情况!E8="已注销","——","3.房地产抵押价值")</f>
        <v>3.房地产抵押价值</v>
      </c>
      <c r="F107" s="3468"/>
      <c r="G107" s="1268" t="s">
        <v>206</v>
      </c>
      <c r="H107" s="1983">
        <f ca="1">IF(E107="——","——",H101-H103)</f>
        <v>271896</v>
      </c>
      <c r="I107" s="2274"/>
    </row>
    <row r="108" spans="1:35" ht="18.75" customHeight="1">
      <c r="A108" s="2274"/>
      <c r="B108" s="2274"/>
      <c r="C108" s="2274"/>
      <c r="D108" s="2274"/>
      <c r="E108" s="3502"/>
      <c r="F108" s="3468"/>
      <c r="G108" s="1268" t="s">
        <v>207</v>
      </c>
      <c r="H108" s="711">
        <f ca="1">ROUND(H107*10000/'数据-汇总表'!E3,0)</f>
        <v>40603</v>
      </c>
      <c r="I108" s="2274"/>
    </row>
    <row r="109" spans="1:35" ht="18.75" customHeight="1">
      <c r="A109" s="2274"/>
      <c r="B109" s="2274"/>
      <c r="C109" s="2274"/>
      <c r="D109" s="2274"/>
      <c r="E109" s="3502" t="str">
        <f>IF(项目基本情况!E8="已注销及未注销","4.抵押担保权已注销时的房地产抵押价值",IF(项目基本情况!E8="已注销","3.抵押担保权已注销时的房地产抵押价值","——"))</f>
        <v>——</v>
      </c>
      <c r="F109" s="3468"/>
      <c r="G109" s="1268" t="s">
        <v>206</v>
      </c>
      <c r="H109" s="685" t="str">
        <f>IF(E109="——","——",H101-H105-H106)</f>
        <v>——</v>
      </c>
      <c r="I109" s="2274"/>
    </row>
    <row r="110" spans="1:35" ht="18.75" customHeight="1">
      <c r="A110" s="2274"/>
      <c r="B110" s="2274"/>
      <c r="C110" s="2274"/>
      <c r="D110" s="2274"/>
      <c r="E110" s="3502"/>
      <c r="F110" s="3468"/>
      <c r="G110" s="1268" t="s">
        <v>207</v>
      </c>
      <c r="H110" s="711" t="str">
        <f>IF(H109="——","——",ROUND(H109*10000/'数据-汇总表'!E3,0))</f>
        <v>——</v>
      </c>
      <c r="I110" s="2274"/>
    </row>
    <row r="111" spans="1:35" ht="18.75" customHeight="1">
      <c r="A111" s="2274"/>
      <c r="B111" s="2274"/>
      <c r="C111" s="2274"/>
      <c r="D111" s="2274"/>
      <c r="E111" s="3503" t="str">
        <f>IF(项目基本情况!E9="抵押净值",IF(OR(项目基本情况!E8="已注销",项目基本情况!E8="房地产抵押价值"),"4.抵押净值","5.抵押净值"),"——")</f>
        <v>——</v>
      </c>
      <c r="F111" s="3504"/>
      <c r="G111" s="1268" t="s">
        <v>206</v>
      </c>
      <c r="H111" s="1983" t="str">
        <f>IF(E111="——","——",N59)</f>
        <v>——</v>
      </c>
      <c r="I111" s="2274"/>
    </row>
    <row r="112" spans="1:35" ht="18.75" customHeight="1" thickBot="1">
      <c r="A112" s="2274"/>
      <c r="B112" s="2274"/>
      <c r="C112" s="2274"/>
      <c r="D112" s="2274"/>
      <c r="E112" s="3505"/>
      <c r="F112" s="3506"/>
      <c r="G112" s="1272" t="s">
        <v>207</v>
      </c>
      <c r="H112" s="1423" t="str">
        <f>IF(E111="——","——",N61)</f>
        <v>——</v>
      </c>
      <c r="I112" s="2274"/>
    </row>
    <row r="113" spans="1:11" ht="18.75" customHeight="1">
      <c r="A113" s="2274"/>
      <c r="B113" s="2274"/>
      <c r="C113" s="2274"/>
      <c r="D113" s="2274"/>
      <c r="E113" s="3515" t="s">
        <v>2000</v>
      </c>
      <c r="F113" s="3515"/>
      <c r="G113" s="3515"/>
      <c r="H113" s="3515"/>
      <c r="I113" s="2274"/>
    </row>
    <row r="114" spans="1:11" ht="3.75" customHeight="1">
      <c r="A114" s="1243"/>
      <c r="B114" s="1243"/>
      <c r="C114" s="1243"/>
      <c r="D114" s="1243"/>
      <c r="E114" s="1258"/>
      <c r="F114" s="1258"/>
      <c r="G114" s="1258"/>
      <c r="H114" s="1258"/>
      <c r="I114" s="1243"/>
    </row>
    <row r="115" spans="1:11" ht="18.75" customHeight="1">
      <c r="A115" s="3528" t="s">
        <v>222</v>
      </c>
      <c r="B115" s="3529"/>
      <c r="C115" s="3529"/>
      <c r="D115" s="3529"/>
      <c r="E115" s="3529"/>
      <c r="F115" s="3529"/>
      <c r="G115" s="3529"/>
      <c r="H115" s="3529"/>
      <c r="I115" s="3530"/>
    </row>
    <row r="116" spans="1:11" ht="27" customHeight="1">
      <c r="A116" s="3435" t="s">
        <v>5</v>
      </c>
      <c r="B116" s="3477" t="s">
        <v>782</v>
      </c>
      <c r="C116" s="3477" t="s">
        <v>783</v>
      </c>
      <c r="D116" s="3486" t="s">
        <v>202</v>
      </c>
      <c r="E116" s="3487"/>
      <c r="F116" s="3524" t="s">
        <v>2380</v>
      </c>
      <c r="G116" s="3524"/>
      <c r="H116" s="3435" t="s">
        <v>6</v>
      </c>
      <c r="I116" s="3435"/>
    </row>
    <row r="117" spans="1:11" ht="18.75" customHeight="1">
      <c r="A117" s="3435"/>
      <c r="B117" s="3478"/>
      <c r="C117" s="3478"/>
      <c r="D117" s="3338" t="s">
        <v>7</v>
      </c>
      <c r="E117" s="3338" t="s">
        <v>784</v>
      </c>
      <c r="F117" s="3338" t="s">
        <v>7</v>
      </c>
      <c r="G117" s="3338" t="s">
        <v>8</v>
      </c>
      <c r="H117" s="3338" t="s">
        <v>7</v>
      </c>
      <c r="I117" s="3338" t="s">
        <v>8</v>
      </c>
    </row>
    <row r="118" spans="1:11" ht="24.75" customHeight="1">
      <c r="A118" s="2030" t="str">
        <f>项目基本情况!S2</f>
        <v>北京市丰台区汽车博物馆西路8号院1、2、3号楼房地产</v>
      </c>
      <c r="B118" s="3352">
        <f>M18</f>
        <v>56450.890000000058</v>
      </c>
      <c r="C118" s="3352">
        <f>M19</f>
        <v>13483.3</v>
      </c>
      <c r="D118" s="3352">
        <f ca="1">ROUND(IF(D32="总价",C34,E118*B118/10000),0)</f>
        <v>211263</v>
      </c>
      <c r="E118" s="3352">
        <f ca="1">ROUND(IF(C33="自定义",IF(D32="楼面单价",C34,D118*10000/B118),I118-G118),0)</f>
        <v>37424</v>
      </c>
      <c r="F118" s="3352">
        <f ca="1">ROUND(IF(D32="总价",C35,G118*B118/10000),0)</f>
        <v>60633</v>
      </c>
      <c r="G118" s="3352">
        <f ca="1">ROUND(IF(D32="楼面单价",C35,F118*10000/B118),0)</f>
        <v>10741</v>
      </c>
      <c r="H118" s="3352">
        <f ca="1">ROUND(IF(D32="总价",C32,I118*B118/10000),0)</f>
        <v>271896</v>
      </c>
      <c r="I118" s="3352">
        <f ca="1">ROUND(IF(D32="楼面单价",C32,H118*10000/B118),0)</f>
        <v>48165</v>
      </c>
    </row>
    <row r="119" spans="1:11" ht="18.75" customHeight="1">
      <c r="A119" s="3435" t="s">
        <v>9</v>
      </c>
      <c r="B119" s="3435"/>
      <c r="C119" s="3435"/>
      <c r="D119" s="3479" t="str">
        <f ca="1">NUMBERSTRING(INT(D118*10000),2)&amp;"元整"</f>
        <v>贰拾壹亿壹仟贰佰陆拾叁万元整</v>
      </c>
      <c r="E119" s="3480"/>
      <c r="F119" s="3479" t="str">
        <f ca="1">NUMBERSTRING(INT(F118*10000),2)&amp;"元整"</f>
        <v>陆亿零陆佰叁拾叁万元整</v>
      </c>
      <c r="G119" s="3480"/>
      <c r="H119" s="3479" t="str">
        <f ca="1">NUMBERSTRING(INT(H118*10000),2)&amp;"元整"</f>
        <v>贰拾柒亿壹仟捌佰玖拾陆万元整</v>
      </c>
      <c r="I119" s="3480"/>
    </row>
    <row r="120" spans="1:11" ht="18.75" customHeight="1">
      <c r="A120" s="3481" t="str">
        <f>MID(E103,3,LEN(E103)-2)</f>
        <v>估价师知悉的法定优先受偿款</v>
      </c>
      <c r="B120" s="3482"/>
      <c r="C120" s="3483"/>
      <c r="D120" s="3474">
        <f>H103</f>
        <v>0</v>
      </c>
      <c r="E120" s="3475"/>
      <c r="F120" s="3475"/>
      <c r="G120" s="3475"/>
      <c r="H120" s="3475"/>
      <c r="I120" s="3476"/>
      <c r="K120" s="1434" t="str">
        <f>IF(D120=0,"故，本次评估不存在"&amp;A120,"故，本次评估"&amp;A120&amp;"为人民币"&amp;D120&amp;"万元整。")</f>
        <v>故，本次评估不存在估价师知悉的法定优先受偿款</v>
      </c>
    </row>
    <row r="121" spans="1:11" ht="18.75" customHeight="1">
      <c r="A121" s="3525" t="s">
        <v>9</v>
      </c>
      <c r="B121" s="3526"/>
      <c r="C121" s="3527"/>
      <c r="D121" s="3479" t="str">
        <f>IF(D120=0,"零元整",NUMBERSTRING(INT(D120*10000),2)&amp;"元整")</f>
        <v>零元整</v>
      </c>
      <c r="E121" s="3484"/>
      <c r="F121" s="3484"/>
      <c r="G121" s="3484"/>
      <c r="H121" s="3484"/>
      <c r="I121" s="3480"/>
    </row>
    <row r="122" spans="1:11" ht="18.75" customHeight="1">
      <c r="A122" s="3488" t="str">
        <f>MID(E107,3,LEN(E107)-2)</f>
        <v>房地产抵押价值</v>
      </c>
      <c r="B122" s="3488"/>
      <c r="C122" s="3488"/>
      <c r="D122" s="3474">
        <f ca="1">H107</f>
        <v>271896</v>
      </c>
      <c r="E122" s="3475"/>
      <c r="F122" s="3475"/>
      <c r="G122" s="3475"/>
      <c r="H122" s="3475"/>
      <c r="I122" s="3476"/>
    </row>
    <row r="123" spans="1:11" ht="18.75" customHeight="1">
      <c r="A123" s="3435" t="s">
        <v>9</v>
      </c>
      <c r="B123" s="3435"/>
      <c r="C123" s="3435"/>
      <c r="D123" s="3479" t="str">
        <f ca="1">NUMBERSTRING(INT(D122*10000),2)&amp;"元整"</f>
        <v>贰拾柒亿壹仟捌佰玖拾陆万元整</v>
      </c>
      <c r="E123" s="3484"/>
      <c r="F123" s="3484"/>
      <c r="G123" s="3484"/>
      <c r="H123" s="3484"/>
      <c r="I123" s="3480"/>
    </row>
    <row r="124" spans="1:11" ht="18.75" customHeight="1">
      <c r="A124" s="3488" t="str">
        <f>MID(E109,3,LEN(E109)-2)</f>
        <v/>
      </c>
      <c r="B124" s="3488"/>
      <c r="C124" s="3488"/>
      <c r="D124" s="3474" t="str">
        <f>H109</f>
        <v>——</v>
      </c>
      <c r="E124" s="3475"/>
      <c r="F124" s="3475"/>
      <c r="G124" s="3475"/>
      <c r="H124" s="3475"/>
      <c r="I124" s="3476"/>
    </row>
    <row r="125" spans="1:11" ht="18.75" customHeight="1">
      <c r="A125" s="3435" t="s">
        <v>9</v>
      </c>
      <c r="B125" s="3435"/>
      <c r="C125" s="3435"/>
      <c r="D125" s="3479" t="e">
        <f>NUMBERSTRING(INT(D124*10000),2)&amp;"元整"</f>
        <v>#VALUE!</v>
      </c>
      <c r="E125" s="3484"/>
      <c r="F125" s="3484"/>
      <c r="G125" s="3484"/>
      <c r="H125" s="3484"/>
      <c r="I125" s="3480"/>
    </row>
    <row r="126" spans="1:11" ht="18.75" customHeight="1">
      <c r="A126" s="3488" t="str">
        <f>MID(E111,3,LEN(E111)-2)</f>
        <v/>
      </c>
      <c r="B126" s="3488"/>
      <c r="C126" s="3488"/>
      <c r="D126" s="3474" t="str">
        <f>H111</f>
        <v>——</v>
      </c>
      <c r="E126" s="3475"/>
      <c r="F126" s="3475"/>
      <c r="G126" s="3475"/>
      <c r="H126" s="3475"/>
      <c r="I126" s="3476"/>
    </row>
    <row r="127" spans="1:11" ht="18.75" customHeight="1">
      <c r="A127" s="3435" t="s">
        <v>9</v>
      </c>
      <c r="B127" s="3435"/>
      <c r="C127" s="3435"/>
      <c r="D127" s="3479" t="e">
        <f>NUMBERSTRING(INT(D126*10000),2)&amp;"元整"</f>
        <v>#VALUE!</v>
      </c>
      <c r="E127" s="3484"/>
      <c r="F127" s="3484"/>
      <c r="G127" s="3484"/>
      <c r="H127" s="3484"/>
      <c r="I127" s="3480"/>
    </row>
    <row r="128" spans="1:11" ht="21.75" customHeight="1">
      <c r="A128" s="3485" t="s">
        <v>1999</v>
      </c>
      <c r="B128" s="3485"/>
      <c r="C128" s="3485"/>
      <c r="D128" s="3485"/>
      <c r="E128" s="3485"/>
      <c r="F128" s="3485"/>
      <c r="G128" s="3485"/>
      <c r="H128" s="3485"/>
      <c r="I128" s="3485"/>
    </row>
    <row r="129" spans="1:35" ht="21.75" customHeight="1">
      <c r="A129" s="2025" t="s">
        <v>785</v>
      </c>
      <c r="B129" s="2026"/>
      <c r="C129" s="468" t="s">
        <v>146</v>
      </c>
      <c r="D129" s="2027"/>
      <c r="E129" s="2027"/>
      <c r="F129" s="2027"/>
      <c r="G129" s="2027"/>
      <c r="H129" s="2028"/>
      <c r="I129" s="2029"/>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786</v>
      </c>
      <c r="G135" s="1448"/>
      <c r="H135" s="1448"/>
      <c r="I135" s="1449" t="s">
        <v>787</v>
      </c>
    </row>
    <row r="136" spans="1:35" ht="21.75" customHeight="1">
      <c r="A136" s="1446"/>
      <c r="B136" s="1450" t="s">
        <v>788</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789</v>
      </c>
    </row>
    <row r="139" spans="1:35" ht="21.75" customHeight="1">
      <c r="A139" s="1446"/>
      <c r="B139" s="1450" t="s">
        <v>790</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789</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06" type="noConversion"/>
  <conditionalFormatting sqref="C5:C7">
    <cfRule type="cellIs" dxfId="179" priority="10" stopIfTrue="1" operator="equal">
      <formula>25</formula>
    </cfRule>
  </conditionalFormatting>
  <conditionalFormatting sqref="C8:C9">
    <cfRule type="cellIs" dxfId="178" priority="9" stopIfTrue="1" operator="equal">
      <formula>15</formula>
    </cfRule>
  </conditionalFormatting>
  <conditionalFormatting sqref="C14:C16">
    <cfRule type="cellIs" dxfId="177" priority="8" stopIfTrue="1" operator="equal">
      <formula>30</formula>
    </cfRule>
  </conditionalFormatting>
  <conditionalFormatting sqref="D5:D7">
    <cfRule type="cellIs" dxfId="176" priority="7" stopIfTrue="1" operator="equal">
      <formula>25</formula>
    </cfRule>
  </conditionalFormatting>
  <conditionalFormatting sqref="D8:D9">
    <cfRule type="cellIs" dxfId="175" priority="6" stopIfTrue="1" operator="equal">
      <formula>15</formula>
    </cfRule>
  </conditionalFormatting>
  <conditionalFormatting sqref="C10:D13">
    <cfRule type="cellIs" dxfId="174" priority="5" stopIfTrue="1" operator="equal">
      <formula>15</formula>
    </cfRule>
  </conditionalFormatting>
  <conditionalFormatting sqref="D14:D16">
    <cfRule type="cellIs" dxfId="173" priority="4"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6" sqref="F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905</v>
      </c>
      <c r="B1" s="670"/>
      <c r="C1" s="2389" t="s">
        <v>3448</v>
      </c>
      <c r="D1" s="1274"/>
      <c r="E1" s="2582" t="s">
        <v>2442</v>
      </c>
      <c r="F1" s="2583">
        <f ca="1">J53</f>
        <v>34</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815</v>
      </c>
      <c r="B2" s="1407">
        <f ca="1">C40+J29+L46</f>
        <v>21976</v>
      </c>
      <c r="C2" s="1300" t="s">
        <v>1094</v>
      </c>
      <c r="D2" s="1276"/>
      <c r="E2" s="2572"/>
      <c r="F2" s="1277"/>
      <c r="G2" s="2284"/>
      <c r="H2" s="1275"/>
      <c r="I2" s="1275"/>
      <c r="J2" s="1275"/>
      <c r="K2" s="1299"/>
      <c r="L2" s="1275"/>
      <c r="M2" s="1275"/>
    </row>
    <row r="3" spans="1:37" ht="18" customHeight="1" thickBot="1">
      <c r="A3" s="675" t="s">
        <v>816</v>
      </c>
      <c r="B3" s="1408">
        <f ca="1">IF(ISERROR(B2*10000/F43),0,ROUND(B2*10000/F43,0))</f>
        <v>50083</v>
      </c>
      <c r="C3" s="1300" t="s">
        <v>1095</v>
      </c>
      <c r="D3" s="1276"/>
      <c r="E3" s="2572"/>
      <c r="F3" s="1277"/>
      <c r="G3" s="2284"/>
      <c r="H3" s="676" t="s">
        <v>906</v>
      </c>
      <c r="I3" s="1275"/>
      <c r="J3" s="1275"/>
      <c r="K3" s="1299"/>
      <c r="L3" s="1275"/>
      <c r="M3" s="1275"/>
    </row>
    <row r="4" spans="1:37" ht="18" customHeight="1">
      <c r="A4" s="677" t="s">
        <v>907</v>
      </c>
      <c r="B4" s="678" t="s">
        <v>908</v>
      </c>
      <c r="C4" s="678" t="s">
        <v>909</v>
      </c>
      <c r="D4" s="678" t="s">
        <v>910</v>
      </c>
      <c r="E4" s="679" t="s">
        <v>911</v>
      </c>
      <c r="F4" s="680"/>
      <c r="G4" s="2285"/>
      <c r="H4" s="677" t="s">
        <v>907</v>
      </c>
      <c r="I4" s="678" t="s">
        <v>908</v>
      </c>
      <c r="J4" s="678" t="s">
        <v>909</v>
      </c>
      <c r="K4" s="678" t="s">
        <v>910</v>
      </c>
      <c r="L4" s="679" t="s">
        <v>911</v>
      </c>
      <c r="M4" s="680"/>
    </row>
    <row r="5" spans="1:37" ht="18" customHeight="1">
      <c r="A5" s="681">
        <v>1</v>
      </c>
      <c r="B5" s="682" t="s">
        <v>2532</v>
      </c>
      <c r="C5" s="2623">
        <f ca="1">C6+C10+C12</f>
        <v>1091</v>
      </c>
      <c r="D5" s="2633" t="s">
        <v>2534</v>
      </c>
      <c r="E5" s="2624"/>
      <c r="F5" s="2625"/>
      <c r="G5" s="2285"/>
      <c r="H5" s="681">
        <v>1</v>
      </c>
      <c r="I5" s="682" t="s">
        <v>2532</v>
      </c>
      <c r="J5" s="2623">
        <f ca="1">J6+J10+J12</f>
        <v>0</v>
      </c>
      <c r="K5" s="2626" t="s">
        <v>2534</v>
      </c>
      <c r="L5" s="2624"/>
      <c r="M5" s="2625"/>
    </row>
    <row r="6" spans="1:37" ht="18" customHeight="1">
      <c r="A6" s="2619" t="s">
        <v>2539</v>
      </c>
      <c r="B6" s="3569" t="s">
        <v>2533</v>
      </c>
      <c r="C6" s="2628">
        <f ca="1">ROUND(F6*F8*F7*(1-F9)/10000,0)</f>
        <v>1089</v>
      </c>
      <c r="D6" s="2622" t="s">
        <v>2535</v>
      </c>
      <c r="E6" s="684" t="s">
        <v>912</v>
      </c>
      <c r="F6" s="685">
        <f ca="1">INDIRECT("'数据-取费表'!u"&amp;$G$1)</f>
        <v>8</v>
      </c>
      <c r="G6" s="2285"/>
      <c r="H6" s="2619" t="s">
        <v>2542</v>
      </c>
      <c r="I6" s="3569" t="s">
        <v>2533</v>
      </c>
      <c r="J6" s="683">
        <f ca="1">ROUND(M6*M8*M7*(1-M9)/10000,0)</f>
        <v>0</v>
      </c>
      <c r="K6" s="2622" t="s">
        <v>2535</v>
      </c>
      <c r="L6" s="684" t="s">
        <v>912</v>
      </c>
      <c r="M6" s="685">
        <f ca="1">INDIRECT("'数据-取费表'!z"&amp;$G$1)</f>
        <v>0</v>
      </c>
    </row>
    <row r="7" spans="1:37" ht="18" customHeight="1">
      <c r="A7" s="2627"/>
      <c r="B7" s="3570"/>
      <c r="C7" s="2629"/>
      <c r="D7" s="2058"/>
      <c r="E7" s="2630" t="s">
        <v>913</v>
      </c>
      <c r="F7" s="685">
        <f ca="1">IF(INDIRECT("'数据-取费表'!ah"&amp;$G$1)="",INDIRECT("'数据-取费表'!k"&amp;$G$1),INDIRECT("'数据-取费表'!ah"&amp;$G$1))</f>
        <v>4387.92</v>
      </c>
      <c r="G7" s="2285"/>
      <c r="H7" s="686"/>
      <c r="I7" s="3570"/>
      <c r="J7" s="688"/>
      <c r="K7" s="689"/>
      <c r="L7" s="684" t="s">
        <v>913</v>
      </c>
      <c r="M7" s="685">
        <f ca="1">F7</f>
        <v>4387.92</v>
      </c>
    </row>
    <row r="8" spans="1:37" ht="18" customHeight="1">
      <c r="A8" s="686"/>
      <c r="B8" s="3570"/>
      <c r="C8" s="688"/>
      <c r="D8" s="689"/>
      <c r="E8" s="684" t="s">
        <v>914</v>
      </c>
      <c r="F8" s="685">
        <f ca="1">INDIRECT("'数据-取费表'!ai"&amp;$G$1)</f>
        <v>365</v>
      </c>
      <c r="G8" s="2285"/>
      <c r="H8" s="686"/>
      <c r="I8" s="3570"/>
      <c r="J8" s="688"/>
      <c r="K8" s="689"/>
      <c r="L8" s="684" t="s">
        <v>914</v>
      </c>
      <c r="M8" s="685">
        <f ca="1">INDIRECT("'数据-取费表'!ai"&amp;$G$1)</f>
        <v>365</v>
      </c>
    </row>
    <row r="9" spans="1:37" ht="18" customHeight="1">
      <c r="A9" s="686"/>
      <c r="B9" s="3571"/>
      <c r="C9" s="688"/>
      <c r="D9" s="689"/>
      <c r="E9" s="684" t="s">
        <v>915</v>
      </c>
      <c r="F9" s="694">
        <f ca="1">INDIRECT("'数据-取费表'!w"&amp;$G$1)</f>
        <v>0.15</v>
      </c>
      <c r="G9" s="2285"/>
      <c r="H9" s="686"/>
      <c r="I9" s="3571"/>
      <c r="J9" s="688"/>
      <c r="K9" s="689"/>
      <c r="L9" s="695" t="s">
        <v>915</v>
      </c>
      <c r="M9" s="696">
        <f ca="1">INDIRECT("'数据-取费表'!ab"&amp;$G$1)</f>
        <v>0</v>
      </c>
    </row>
    <row r="10" spans="1:37" ht="18" customHeight="1">
      <c r="A10" s="2619" t="s">
        <v>2540</v>
      </c>
      <c r="B10" s="2620" t="s">
        <v>2528</v>
      </c>
      <c r="C10" s="698">
        <f ca="1">ROUND(IF(F10="押一",F6*F8*F7/12*F11,IF(F10="押二",F6*F8*F7/12*2*F11,IF(F10="押三",F6*F8*F7/12*3*F11,C11*F11)))/10000,0)</f>
        <v>2</v>
      </c>
      <c r="D10" s="2631" t="s">
        <v>2536</v>
      </c>
      <c r="E10" s="2094" t="s">
        <v>2530</v>
      </c>
      <c r="F10" s="2828" t="s">
        <v>3549</v>
      </c>
      <c r="G10" s="2285"/>
      <c r="H10" s="2619" t="s">
        <v>2543</v>
      </c>
      <c r="I10" s="2620" t="s">
        <v>2528</v>
      </c>
      <c r="J10" s="683">
        <f ca="1">ROUND(IF(M10="押一",M6*M8*M7/12*M11,IF(M10="押二",M6*M8*M7/12*2*M11,IF(M10="押三",M6*M8*M7/12*3*M11,J11*M11)))/10000,0)</f>
        <v>0</v>
      </c>
      <c r="K10" s="2631" t="s">
        <v>2536</v>
      </c>
      <c r="L10" s="2094" t="s">
        <v>2530</v>
      </c>
      <c r="M10" s="2726" t="s">
        <v>2622</v>
      </c>
    </row>
    <row r="11" spans="1:37" ht="18" customHeight="1">
      <c r="A11" s="690"/>
      <c r="B11" s="2621" t="s">
        <v>2695</v>
      </c>
      <c r="C11" s="2412"/>
      <c r="D11" s="2867"/>
      <c r="E11" s="2094" t="s">
        <v>2531</v>
      </c>
      <c r="F11" s="696">
        <f ca="1">'数据-取费表'!B39</f>
        <v>1.4999999999999999E-2</v>
      </c>
      <c r="G11" s="2285"/>
      <c r="H11" s="2632"/>
      <c r="I11" s="2621" t="s">
        <v>2695</v>
      </c>
      <c r="J11" s="2412"/>
      <c r="K11" s="1281"/>
      <c r="L11" s="2094" t="s">
        <v>2531</v>
      </c>
      <c r="M11" s="2093">
        <f ca="1">'数据-取费表'!B39</f>
        <v>1.4999999999999999E-2</v>
      </c>
    </row>
    <row r="12" spans="1:37" ht="18" customHeight="1" thickBot="1">
      <c r="A12" s="2667" t="s">
        <v>2541</v>
      </c>
      <c r="B12" s="2668" t="s">
        <v>2529</v>
      </c>
      <c r="C12" s="2669"/>
      <c r="D12" s="2670"/>
      <c r="E12" s="2671"/>
      <c r="F12" s="2672"/>
      <c r="G12" s="2285"/>
      <c r="H12" s="2667" t="s">
        <v>2544</v>
      </c>
      <c r="I12" s="2668" t="s">
        <v>2529</v>
      </c>
      <c r="J12" s="2669"/>
      <c r="K12" s="2686"/>
      <c r="L12" s="2671"/>
      <c r="M12" s="2687"/>
    </row>
    <row r="13" spans="1:37" ht="18" customHeight="1" thickTop="1">
      <c r="A13" s="2663">
        <v>2</v>
      </c>
      <c r="B13" s="2664" t="s">
        <v>916</v>
      </c>
      <c r="C13" s="692">
        <f ca="1">ROUND(C29*F13,0)</f>
        <v>1978</v>
      </c>
      <c r="D13" s="2665" t="s">
        <v>917</v>
      </c>
      <c r="E13" s="2665" t="s">
        <v>918</v>
      </c>
      <c r="F13" s="2666">
        <f ca="1">INDIRECT("'数据-取费表'!y"&amp;$G$1)</f>
        <v>0.98</v>
      </c>
      <c r="G13" s="2285"/>
      <c r="H13" s="2663">
        <v>2</v>
      </c>
      <c r="I13" s="2664" t="s">
        <v>916</v>
      </c>
      <c r="J13" s="2618">
        <f ca="1">ROUND(J14*J15,0)</f>
        <v>0</v>
      </c>
      <c r="K13" s="2673" t="s">
        <v>917</v>
      </c>
      <c r="L13" s="2684"/>
      <c r="M13" s="2685"/>
    </row>
    <row r="14" spans="1:37" ht="18" customHeight="1">
      <c r="A14" s="2435" t="s">
        <v>2369</v>
      </c>
      <c r="B14" s="684" t="s">
        <v>355</v>
      </c>
      <c r="C14" s="702">
        <f ca="1">INDIRECT("'数据-取费表'!m"&amp;$G$1)+INDIRECT("'数据-取费表'!t"&amp;$G$1)</f>
        <v>1316</v>
      </c>
      <c r="D14" s="2212" t="s">
        <v>919</v>
      </c>
      <c r="E14" s="2211"/>
      <c r="F14" s="703"/>
      <c r="G14" s="2285"/>
      <c r="H14" s="2435" t="s">
        <v>2372</v>
      </c>
      <c r="I14" s="684" t="s">
        <v>920</v>
      </c>
      <c r="J14" s="313">
        <f ca="1">C29</f>
        <v>2018</v>
      </c>
      <c r="K14" s="303"/>
      <c r="L14" s="700"/>
      <c r="M14" s="701"/>
    </row>
    <row r="15" spans="1:37" s="706" customFormat="1" ht="18" customHeight="1" thickBot="1">
      <c r="A15" s="2435" t="s">
        <v>2605</v>
      </c>
      <c r="B15" s="684" t="s">
        <v>356</v>
      </c>
      <c r="C15" s="313">
        <f ca="1">ROUND(C14*F15,0)</f>
        <v>39</v>
      </c>
      <c r="D15" s="704" t="s">
        <v>921</v>
      </c>
      <c r="E15" s="704" t="s">
        <v>922</v>
      </c>
      <c r="F15" s="705">
        <f>'数据-取费表'!B33</f>
        <v>0.03</v>
      </c>
      <c r="G15" s="2286"/>
      <c r="H15" s="2675" t="s">
        <v>2379</v>
      </c>
      <c r="I15" s="2676" t="s">
        <v>918</v>
      </c>
      <c r="J15" s="2687">
        <f ca="1">INDIRECT("'数据-取费表'!ad"&amp;$G$1)</f>
        <v>0</v>
      </c>
      <c r="K15" s="2688"/>
      <c r="L15" s="2689"/>
      <c r="M15" s="269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5" t="s">
        <v>2606</v>
      </c>
      <c r="B16" s="684" t="s">
        <v>357</v>
      </c>
      <c r="C16" s="313">
        <f ca="1">ROUND(INDIRECT("'数据-取费表'!m"&amp;$G$1)*F16,0)</f>
        <v>0</v>
      </c>
      <c r="D16" s="684" t="s">
        <v>921</v>
      </c>
      <c r="E16" s="684" t="s">
        <v>922</v>
      </c>
      <c r="F16" s="707">
        <f ca="1">IF(INDIRECT("'数据-取费表'!c"&amp;$G$1)="住宅",'数据-取费表'!B34,0)</f>
        <v>0</v>
      </c>
      <c r="G16" s="2285"/>
      <c r="H16" s="2663" t="s">
        <v>2337</v>
      </c>
      <c r="I16" s="2664" t="s">
        <v>923</v>
      </c>
      <c r="J16" s="692">
        <f ca="1">ROUND(J17+J22+J23+J24,0)</f>
        <v>48</v>
      </c>
      <c r="K16" s="2673" t="s">
        <v>924</v>
      </c>
      <c r="L16" s="2674"/>
      <c r="M16" s="2625"/>
    </row>
    <row r="17" spans="1:37" s="706" customFormat="1" ht="18" customHeight="1">
      <c r="A17" s="2435" t="s">
        <v>2607</v>
      </c>
      <c r="B17" s="684" t="s">
        <v>358</v>
      </c>
      <c r="C17" s="313">
        <f ca="1">ROUND(F17*(F43+INDIRECT("'数据-取费表'!S"&amp;$G$1))/10000,0)</f>
        <v>88</v>
      </c>
      <c r="D17" s="684" t="s">
        <v>925</v>
      </c>
      <c r="E17" s="684" t="s">
        <v>926</v>
      </c>
      <c r="F17" s="315">
        <f>'数据-取费表'!B35</f>
        <v>200</v>
      </c>
      <c r="G17" s="2286"/>
      <c r="H17" s="2435" t="s">
        <v>2372</v>
      </c>
      <c r="I17" s="684" t="s">
        <v>359</v>
      </c>
      <c r="J17" s="313">
        <f ca="1">ROUND(IF(项目基本情况!B11="自然人",J5*M17,J18+J19+J20),1)</f>
        <v>17.3</v>
      </c>
      <c r="K17" s="2212" t="s">
        <v>927</v>
      </c>
      <c r="L17" s="2210" t="s">
        <v>928</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5" t="s">
        <v>2608</v>
      </c>
      <c r="B18" s="684" t="s">
        <v>360</v>
      </c>
      <c r="C18" s="313">
        <f ca="1">ROUND(C14*F18,0)</f>
        <v>20</v>
      </c>
      <c r="D18" s="684" t="s">
        <v>921</v>
      </c>
      <c r="E18" s="684" t="s">
        <v>922</v>
      </c>
      <c r="F18" s="707">
        <f>'数据-取费表'!B36</f>
        <v>1.4999999999999999E-2</v>
      </c>
      <c r="G18" s="2286"/>
      <c r="H18" s="2435" t="s">
        <v>2369</v>
      </c>
      <c r="I18" s="684" t="s">
        <v>929</v>
      </c>
      <c r="J18" s="313">
        <f ca="1">ROUND(J5*M18/(1+'数据-取费表'!C42),2)</f>
        <v>0</v>
      </c>
      <c r="K18" s="2210" t="s">
        <v>930</v>
      </c>
      <c r="L18" s="684" t="s">
        <v>922</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5" t="s">
        <v>2539</v>
      </c>
      <c r="B19" s="684" t="s">
        <v>362</v>
      </c>
      <c r="C19" s="313">
        <f ca="1">SUM(C14:C18)</f>
        <v>1463</v>
      </c>
      <c r="D19" s="471" t="s">
        <v>931</v>
      </c>
      <c r="E19" s="2220"/>
      <c r="F19" s="315"/>
      <c r="G19" s="2285"/>
      <c r="H19" s="2435" t="s">
        <v>2605</v>
      </c>
      <c r="I19" s="684" t="s">
        <v>932</v>
      </c>
      <c r="J19" s="313">
        <f ca="1">IF(K19="按租金收入计税",ROUND(J5*M19,2),ROUND(C29*M19*0.7,2))</f>
        <v>16.95</v>
      </c>
      <c r="K19" s="1301" t="s">
        <v>2412</v>
      </c>
      <c r="L19" s="684" t="s">
        <v>922</v>
      </c>
      <c r="M19" s="707">
        <f>IF(K19="按租金收入计税",'数据-取费表'!B51,'数据-取费表'!B50)</f>
        <v>1.2E-2</v>
      </c>
    </row>
    <row r="20" spans="1:37" s="706" customFormat="1" ht="18" customHeight="1">
      <c r="A20" s="2435" t="s">
        <v>2609</v>
      </c>
      <c r="B20" s="684" t="s">
        <v>363</v>
      </c>
      <c r="C20" s="313">
        <f ca="1">ROUND(C19*F20,0)</f>
        <v>29</v>
      </c>
      <c r="D20" s="709" t="s">
        <v>933</v>
      </c>
      <c r="E20" s="684" t="s">
        <v>922</v>
      </c>
      <c r="F20" s="707">
        <f>'数据-取费表'!B37</f>
        <v>0.02</v>
      </c>
      <c r="G20" s="2286"/>
      <c r="H20" s="2435" t="s">
        <v>2606</v>
      </c>
      <c r="I20" s="496" t="s">
        <v>934</v>
      </c>
      <c r="J20" s="314">
        <f ca="1">ROUND(M20*M21/10000,2)</f>
        <v>0.31</v>
      </c>
      <c r="K20" s="710" t="s">
        <v>935</v>
      </c>
      <c r="L20" s="684" t="s">
        <v>936</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5" t="s">
        <v>2610</v>
      </c>
      <c r="B21" s="684" t="s">
        <v>937</v>
      </c>
      <c r="C21" s="313" t="s">
        <v>67</v>
      </c>
      <c r="D21" s="709" t="s">
        <v>938</v>
      </c>
      <c r="E21" s="684" t="s">
        <v>939</v>
      </c>
      <c r="F21" s="707">
        <f>'数据-取费表'!B38</f>
        <v>0.02</v>
      </c>
      <c r="G21" s="2286"/>
      <c r="H21" s="712"/>
      <c r="I21" s="693"/>
      <c r="J21" s="318"/>
      <c r="K21" s="713"/>
      <c r="L21" s="684" t="s">
        <v>940</v>
      </c>
      <c r="M21" s="685">
        <f ca="1">INDIRECT("'数据-取费表'!r"&amp;$G$1)</f>
        <v>1048.05</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5" t="s">
        <v>2611</v>
      </c>
      <c r="B22" s="684" t="s">
        <v>941</v>
      </c>
      <c r="C22" s="313"/>
      <c r="D22" s="2698" t="str">
        <f>IF(F23&lt;=1,"单利计息。","复利计息。")&amp;"建造成本、管理费用、销售费用产生的利息。"</f>
        <v>复利计息。建造成本、管理费用、销售费用产生的利息。</v>
      </c>
      <c r="E22" s="2220"/>
      <c r="F22" s="315"/>
      <c r="G22" s="2285"/>
      <c r="H22" s="2435" t="s">
        <v>2379</v>
      </c>
      <c r="I22" s="684" t="s">
        <v>942</v>
      </c>
      <c r="J22" s="313">
        <f ca="1">ROUND(J14*M22,1)</f>
        <v>30.3</v>
      </c>
      <c r="K22" s="2210" t="s">
        <v>943</v>
      </c>
      <c r="L22" s="684" t="s">
        <v>922</v>
      </c>
      <c r="M22" s="714">
        <f ca="1">INDIRECT("'数据-取费表'!Ak"&amp;$G$1)</f>
        <v>1.4999999999999999E-2</v>
      </c>
    </row>
    <row r="23" spans="1:37" s="706" customFormat="1" ht="18" customHeight="1">
      <c r="A23" s="2435" t="s">
        <v>2369</v>
      </c>
      <c r="B23" s="684" t="s">
        <v>2525</v>
      </c>
      <c r="C23" s="313">
        <f ca="1">IF('数据-取费表'!B22&lt;=1,ROUND(C19*F24*F23/2,0)+ROUND(C20*F24*F23/2,0),ROUND(C19*(POWER((1+F24),F23/2)-1),0)+ROUND(C20*(POWER((1+F24),F23/2)-1),0))</f>
        <v>70</v>
      </c>
      <c r="D23" s="2702" t="str">
        <f>IF(F23&lt;=1,"(建造成本+管理费用)×利率×(建设周期÷2)","(建造成本+管理费用)×((1+利率)^(建设周期÷2)-1)")</f>
        <v>(建造成本+管理费用)×((1+利率)^(建设周期÷2)-1)</v>
      </c>
      <c r="E23" s="684" t="s">
        <v>944</v>
      </c>
      <c r="F23" s="711">
        <f>'数据-取费表'!B20</f>
        <v>2</v>
      </c>
      <c r="G23" s="2286"/>
      <c r="H23" s="2435" t="s">
        <v>2610</v>
      </c>
      <c r="I23" s="684" t="s">
        <v>364</v>
      </c>
      <c r="J23" s="313">
        <f ca="1">ROUND(J13*M23,1)</f>
        <v>0</v>
      </c>
      <c r="K23" s="2210" t="s">
        <v>945</v>
      </c>
      <c r="L23" s="684" t="s">
        <v>922</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5" t="s">
        <v>2375</v>
      </c>
      <c r="B24" s="684" t="s">
        <v>946</v>
      </c>
      <c r="C24" s="313">
        <f ca="1">ROUND(IF('数据-取费表'!B22&lt;=1,F21*F24*F23/2,F21*(POWER((1+F24),F23/2)-1)),4)</f>
        <v>1E-3</v>
      </c>
      <c r="D24" s="2702" t="str">
        <f>IF(F23&lt;=1,"销售费用×利率×(建设周期÷2)","销售费用×((1+利率)^(建设周期÷2)-1)")</f>
        <v>销售费用×((1+利率)^(建设周期÷2)-1)</v>
      </c>
      <c r="E24" s="684" t="s">
        <v>947</v>
      </c>
      <c r="F24" s="717">
        <f ca="1">'数据-取费表'!B40</f>
        <v>4.7500000000000001E-2</v>
      </c>
      <c r="G24" s="2286"/>
      <c r="H24" s="2675" t="s">
        <v>2611</v>
      </c>
      <c r="I24" s="2676" t="s">
        <v>363</v>
      </c>
      <c r="J24" s="2677">
        <f ca="1">ROUND(J5*M24,1)</f>
        <v>0</v>
      </c>
      <c r="K24" s="2678" t="s">
        <v>948</v>
      </c>
      <c r="L24" s="2676" t="s">
        <v>922</v>
      </c>
      <c r="M24" s="2672">
        <f ca="1">INDIRECT("'数据-取费表'!Am"&amp;$G$1)</f>
        <v>2E-3</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5" t="s">
        <v>2376</v>
      </c>
      <c r="B25" s="684" t="s">
        <v>368</v>
      </c>
      <c r="C25" s="313"/>
      <c r="D25" s="471" t="s">
        <v>949</v>
      </c>
      <c r="E25" s="2220"/>
      <c r="F25" s="315"/>
      <c r="G25" s="2285"/>
      <c r="H25" s="2663" t="s">
        <v>2352</v>
      </c>
      <c r="I25" s="2680" t="s">
        <v>950</v>
      </c>
      <c r="J25" s="692">
        <f ca="1">J5-J16</f>
        <v>-48</v>
      </c>
      <c r="K25" s="2681" t="s">
        <v>951</v>
      </c>
      <c r="L25" s="2682"/>
      <c r="M25" s="2683"/>
    </row>
    <row r="26" spans="1:37" ht="18" customHeight="1">
      <c r="A26" s="2435" t="s">
        <v>2369</v>
      </c>
      <c r="B26" s="684" t="s">
        <v>2526</v>
      </c>
      <c r="C26" s="313">
        <f ca="1">ROUND((C19+C20)*F26,0)</f>
        <v>298</v>
      </c>
      <c r="D26" s="709" t="s">
        <v>952</v>
      </c>
      <c r="E26" s="695" t="s">
        <v>953</v>
      </c>
      <c r="F26" s="694">
        <f ca="1">INDIRECT("'数据-取费表'!q"&amp;$G$1)</f>
        <v>0.2</v>
      </c>
      <c r="G26" s="2285"/>
      <c r="H26" s="681" t="s">
        <v>2355</v>
      </c>
      <c r="I26" s="682" t="s">
        <v>954</v>
      </c>
      <c r="J26" s="683">
        <f ca="1">IF(J5&lt;&gt;0,ROUND(J25*(1-((1+M28)/(1+M26))^M27)/(M26-M28),0),0)</f>
        <v>0</v>
      </c>
      <c r="K26" s="710" t="s">
        <v>955</v>
      </c>
      <c r="L26" s="684" t="s">
        <v>961</v>
      </c>
      <c r="M26" s="694">
        <f ca="1">INDIRECT("'数据-取费表'!I"&amp;$G$1)</f>
        <v>0.05</v>
      </c>
    </row>
    <row r="27" spans="1:37" ht="18" customHeight="1">
      <c r="A27" s="2435" t="s">
        <v>2375</v>
      </c>
      <c r="B27" s="684" t="s">
        <v>371</v>
      </c>
      <c r="C27" s="313">
        <f ca="1">ROUND(F21*F26,4)</f>
        <v>4.0000000000000001E-3</v>
      </c>
      <c r="D27" s="709" t="s">
        <v>956</v>
      </c>
      <c r="E27" s="704"/>
      <c r="F27" s="705"/>
      <c r="G27" s="2285"/>
      <c r="H27" s="686"/>
      <c r="I27" s="687"/>
      <c r="J27" s="688"/>
      <c r="K27" s="718" t="s">
        <v>957</v>
      </c>
      <c r="L27" s="684" t="s">
        <v>962</v>
      </c>
      <c r="M27" s="719">
        <f ca="1">INDIRECT("'数据-取费表'!ag"&amp;$G$1)</f>
        <v>0</v>
      </c>
    </row>
    <row r="28" spans="1:37" s="706" customFormat="1" ht="18" customHeight="1">
      <c r="A28" s="2435" t="s">
        <v>2377</v>
      </c>
      <c r="B28" s="684" t="s">
        <v>372</v>
      </c>
      <c r="C28" s="313">
        <f>ROUND(F28/(1+'数据-取费表'!C42),4)</f>
        <v>5.33E-2</v>
      </c>
      <c r="D28" s="709" t="s">
        <v>963</v>
      </c>
      <c r="E28" s="684" t="s">
        <v>922</v>
      </c>
      <c r="F28" s="707">
        <f>'数据-取费表'!B41</f>
        <v>5.6000000000000001E-2</v>
      </c>
      <c r="G28" s="2286"/>
      <c r="H28" s="690"/>
      <c r="I28" s="691"/>
      <c r="J28" s="692"/>
      <c r="K28" s="713"/>
      <c r="L28" s="684" t="s">
        <v>964</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5" t="s">
        <v>2378</v>
      </c>
      <c r="B29" s="2676" t="s">
        <v>965</v>
      </c>
      <c r="C29" s="2677">
        <f ca="1">ROUND((C19+C20+C23+C26)/(1-F21-C24-C27-C28),0)</f>
        <v>2018</v>
      </c>
      <c r="D29" s="2678"/>
      <c r="E29" s="2676"/>
      <c r="F29" s="2679"/>
      <c r="G29" s="2286"/>
      <c r="H29" s="720" t="s">
        <v>2362</v>
      </c>
      <c r="I29" s="721" t="s">
        <v>958</v>
      </c>
      <c r="J29" s="722">
        <f ca="1">ROUND(J26/(1+F40)^F41,0)</f>
        <v>0</v>
      </c>
      <c r="K29" s="723" t="s">
        <v>959</v>
      </c>
      <c r="L29" s="724"/>
      <c r="M29" s="725">
        <f ca="1">INDIRECT("'数据-取费表'!k"&amp;$G$1)</f>
        <v>4387.92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3" t="s">
        <v>2337</v>
      </c>
      <c r="B30" s="2664" t="s">
        <v>923</v>
      </c>
      <c r="C30" s="692">
        <f ca="1">ROUND(C31+C36+C37+C38,0)</f>
        <v>111</v>
      </c>
      <c r="D30" s="2673" t="s">
        <v>924</v>
      </c>
      <c r="E30" s="2674"/>
      <c r="F30" s="2625"/>
      <c r="G30" s="2285"/>
      <c r="H30" s="1278"/>
      <c r="I30" s="1279"/>
      <c r="J30" s="1280"/>
      <c r="K30" s="1281"/>
      <c r="L30" s="1282"/>
      <c r="M30" s="1283"/>
    </row>
    <row r="31" spans="1:37" ht="18" customHeight="1">
      <c r="A31" s="2435" t="s">
        <v>2539</v>
      </c>
      <c r="B31" s="684" t="s">
        <v>359</v>
      </c>
      <c r="C31" s="313">
        <f ca="1">ROUND(IF(项目基本情况!B11="自然人",C5*F31,C32+C33+C34),1)</f>
        <v>75.5</v>
      </c>
      <c r="D31" s="2212" t="s">
        <v>927</v>
      </c>
      <c r="E31" s="2210" t="s">
        <v>966</v>
      </c>
      <c r="F31" s="708" t="str">
        <f ca="1">IF(项目基本情况!B11="企业","",IF(INDIRECT("'数据-取费表'!c"&amp;$G$1)="住宅",5%,IF(F6*F7*F8/12/(1+'数据-取费表'!C42)&gt;20000,12%,7%)))</f>
        <v/>
      </c>
      <c r="G31" s="2285"/>
      <c r="H31" s="1278"/>
      <c r="I31" s="1279"/>
      <c r="J31" s="1280"/>
      <c r="K31" s="1281"/>
      <c r="L31" s="1282"/>
      <c r="M31" s="1283"/>
    </row>
    <row r="32" spans="1:37" ht="18" customHeight="1">
      <c r="A32" s="2435" t="s">
        <v>2604</v>
      </c>
      <c r="B32" s="684" t="s">
        <v>929</v>
      </c>
      <c r="C32" s="313">
        <f ca="1">IF(项目基本情况!B11="自然人","——",ROUND(C5*F32/(1+'数据-取费表'!C42),2))</f>
        <v>58.19</v>
      </c>
      <c r="D32" s="2210" t="s">
        <v>930</v>
      </c>
      <c r="E32" s="684" t="s">
        <v>922</v>
      </c>
      <c r="F32" s="717">
        <f>'数据-取费表'!B41</f>
        <v>5.6000000000000001E-2</v>
      </c>
      <c r="G32" s="2285"/>
      <c r="H32" s="1284"/>
      <c r="I32" s="1285"/>
      <c r="J32" s="1286"/>
      <c r="K32" s="1287"/>
      <c r="L32" s="1288"/>
      <c r="M32" s="1289"/>
    </row>
    <row r="33" spans="1:18" ht="18" customHeight="1">
      <c r="A33" s="2435" t="s">
        <v>2605</v>
      </c>
      <c r="B33" s="684" t="s">
        <v>932</v>
      </c>
      <c r="C33" s="313">
        <f ca="1">IF(项目基本情况!B11="自然人","——",IF(D33="按租金收入计税",ROUND(C5*F33,2),IF(D33="按房产原值计税",ROUND(C29*F33*0.7,2),INDIRECT("'数据-取费表'!Aj"&amp;$G$1))))</f>
        <v>16.95</v>
      </c>
      <c r="D33" s="1301" t="s">
        <v>2412</v>
      </c>
      <c r="E33" s="684" t="s">
        <v>361</v>
      </c>
      <c r="F33" s="707">
        <f>IF(D33="按票据","——",IF(D33="按租金收入计税",'数据-取费表'!B51,'数据-取费表'!B50))</f>
        <v>1.2E-2</v>
      </c>
      <c r="G33" s="2285"/>
      <c r="H33" s="1290"/>
      <c r="I33" s="2881"/>
      <c r="J33" s="2882"/>
      <c r="K33" s="1291"/>
      <c r="L33" s="1290"/>
      <c r="M33" s="1290"/>
    </row>
    <row r="34" spans="1:18" ht="18" customHeight="1">
      <c r="A34" s="2619" t="s">
        <v>2606</v>
      </c>
      <c r="B34" s="496" t="s">
        <v>967</v>
      </c>
      <c r="C34" s="314">
        <f ca="1">IF(项目基本情况!B11="自然人","——",ROUND(F34*F35/10000,2))</f>
        <v>0.31</v>
      </c>
      <c r="D34" s="710" t="s">
        <v>968</v>
      </c>
      <c r="E34" s="684" t="s">
        <v>969</v>
      </c>
      <c r="F34" s="711">
        <f>'数据-取费表'!B52</f>
        <v>3</v>
      </c>
      <c r="G34" s="2285"/>
      <c r="H34" s="1278"/>
      <c r="I34" s="2881"/>
      <c r="J34" s="2882"/>
      <c r="K34" s="1292"/>
      <c r="L34" s="1293"/>
      <c r="M34" s="1293"/>
    </row>
    <row r="35" spans="1:18" ht="18" customHeight="1">
      <c r="A35" s="2693"/>
      <c r="B35" s="2691"/>
      <c r="C35" s="318"/>
      <c r="D35" s="713"/>
      <c r="E35" s="684" t="s">
        <v>940</v>
      </c>
      <c r="F35" s="685">
        <f ca="1">INDIRECT("'数据-取费表'!r"&amp;$G$1)</f>
        <v>1048.05</v>
      </c>
      <c r="G35" s="2285"/>
      <c r="H35" s="1278"/>
      <c r="I35" s="2881"/>
      <c r="J35" s="2882"/>
      <c r="K35" s="1291"/>
      <c r="L35" s="1290"/>
      <c r="M35" s="1290"/>
    </row>
    <row r="36" spans="1:18" ht="18" customHeight="1">
      <c r="A36" s="2692" t="s">
        <v>2379</v>
      </c>
      <c r="B36" s="684" t="s">
        <v>942</v>
      </c>
      <c r="C36" s="313">
        <f ca="1">ROUND(C29*F36,1)</f>
        <v>30.3</v>
      </c>
      <c r="D36" s="2210" t="s">
        <v>972</v>
      </c>
      <c r="E36" s="684" t="s">
        <v>973</v>
      </c>
      <c r="F36" s="714">
        <f ca="1">INDIRECT("'数据-取费表'!Ak"&amp;$G$1)</f>
        <v>1.4999999999999999E-2</v>
      </c>
      <c r="G36" s="2285"/>
      <c r="H36" s="1290"/>
      <c r="I36" s="2881"/>
      <c r="J36" s="2882"/>
      <c r="K36" s="1294"/>
      <c r="L36" s="1290"/>
      <c r="M36" s="1290"/>
    </row>
    <row r="37" spans="1:18" ht="18" customHeight="1">
      <c r="A37" s="2435" t="s">
        <v>2610</v>
      </c>
      <c r="B37" s="684" t="s">
        <v>364</v>
      </c>
      <c r="C37" s="313">
        <f ca="1">ROUND(C13*F37,1)</f>
        <v>3</v>
      </c>
      <c r="D37" s="2210" t="s">
        <v>365</v>
      </c>
      <c r="E37" s="684" t="s">
        <v>366</v>
      </c>
      <c r="F37" s="716">
        <f ca="1">INDIRECT("'数据-取费表'!Al"&amp;$G$1)</f>
        <v>1.5E-3</v>
      </c>
      <c r="G37" s="2285"/>
      <c r="H37" s="1290"/>
      <c r="I37" s="2881"/>
      <c r="J37" s="2882"/>
      <c r="K37" s="1294"/>
      <c r="L37" s="1290"/>
      <c r="M37" s="1290"/>
    </row>
    <row r="38" spans="1:18" ht="18" customHeight="1" thickBot="1">
      <c r="A38" s="2675" t="s">
        <v>2611</v>
      </c>
      <c r="B38" s="2676" t="s">
        <v>363</v>
      </c>
      <c r="C38" s="2677">
        <f ca="1">ROUND(C5*F38,1)</f>
        <v>2.2000000000000002</v>
      </c>
      <c r="D38" s="2678" t="s">
        <v>367</v>
      </c>
      <c r="E38" s="2676" t="s">
        <v>366</v>
      </c>
      <c r="F38" s="2672">
        <f ca="1">INDIRECT("'数据-取费表'!Am"&amp;$G$1)</f>
        <v>2E-3</v>
      </c>
      <c r="G38" s="2285"/>
      <c r="H38" s="1290"/>
      <c r="I38" s="2881"/>
      <c r="J38" s="2882"/>
      <c r="K38" s="1295"/>
      <c r="L38" s="1290"/>
      <c r="M38" s="1290"/>
    </row>
    <row r="39" spans="1:18" ht="24.6" customHeight="1" thickTop="1">
      <c r="A39" s="2663" t="s">
        <v>2352</v>
      </c>
      <c r="B39" s="2680" t="s">
        <v>373</v>
      </c>
      <c r="C39" s="692">
        <f ca="1">C5-C30</f>
        <v>980</v>
      </c>
      <c r="D39" s="2681" t="s">
        <v>374</v>
      </c>
      <c r="E39" s="2682"/>
      <c r="F39" s="2683"/>
      <c r="G39" s="2285"/>
      <c r="H39" s="1290"/>
      <c r="I39" s="2881"/>
      <c r="J39" s="2882"/>
      <c r="K39" s="1295"/>
      <c r="L39" s="1290"/>
      <c r="M39" s="1290"/>
    </row>
    <row r="40" spans="1:18" ht="18" customHeight="1">
      <c r="A40" s="681" t="s">
        <v>2355</v>
      </c>
      <c r="B40" s="682" t="s">
        <v>375</v>
      </c>
      <c r="C40" s="683">
        <f ca="1">ROUND(C39*(1-((1+F42)/(1+F40))^F41)/(F40-F42),0)</f>
        <v>21923</v>
      </c>
      <c r="D40" s="710" t="s">
        <v>369</v>
      </c>
      <c r="E40" s="684" t="s">
        <v>370</v>
      </c>
      <c r="F40" s="694">
        <f ca="1">INDIRECT("'数据-取费表'!I"&amp;$G$1)</f>
        <v>0.05</v>
      </c>
      <c r="G40" s="2285"/>
      <c r="H40" s="1296"/>
      <c r="I40" s="2881"/>
      <c r="J40" s="2882"/>
      <c r="K40" s="1295"/>
      <c r="L40" s="1296"/>
      <c r="M40" s="1296"/>
    </row>
    <row r="41" spans="1:18" ht="18" customHeight="1">
      <c r="A41" s="686"/>
      <c r="B41" s="687"/>
      <c r="C41" s="688"/>
      <c r="D41" s="718" t="s">
        <v>376</v>
      </c>
      <c r="E41" s="684" t="s">
        <v>377</v>
      </c>
      <c r="F41" s="719">
        <f ca="1">IF(INDIRECT("'数据-取费表'!af"&amp;$G$1)=0,INDIRECT("'数据-取费表'!ae"&amp;$G$1),INDIRECT("'数据-取费表'!af"&amp;$G$1))</f>
        <v>34</v>
      </c>
      <c r="G41" s="2285"/>
      <c r="H41" s="1192"/>
      <c r="I41" s="2881"/>
      <c r="J41" s="2882"/>
      <c r="K41" s="1294"/>
      <c r="L41" s="1192"/>
      <c r="M41" s="1192"/>
    </row>
    <row r="42" spans="1:18" ht="18" customHeight="1">
      <c r="A42" s="690"/>
      <c r="B42" s="691"/>
      <c r="C42" s="692"/>
      <c r="D42" s="713"/>
      <c r="E42" s="684" t="s">
        <v>378</v>
      </c>
      <c r="F42" s="694">
        <f ca="1">INDIRECT("'数据-取费表'!v"&amp;$G$1)</f>
        <v>2.5000000000000001E-2</v>
      </c>
      <c r="G42" s="2285"/>
      <c r="H42" s="1192"/>
      <c r="I42" s="2881"/>
      <c r="J42" s="2882"/>
      <c r="K42" s="1294"/>
      <c r="L42" s="1192"/>
      <c r="M42" s="1192"/>
    </row>
    <row r="43" spans="1:18" ht="18" customHeight="1" thickBot="1">
      <c r="A43" s="720" t="s">
        <v>2362</v>
      </c>
      <c r="B43" s="721" t="s">
        <v>379</v>
      </c>
      <c r="C43" s="722">
        <f ca="1">ROUND(C40*10000/F43,0)</f>
        <v>49962</v>
      </c>
      <c r="D43" s="723" t="s">
        <v>380</v>
      </c>
      <c r="E43" s="724" t="s">
        <v>381</v>
      </c>
      <c r="F43" s="725">
        <f ca="1">INDIRECT("'数据-取费表'!k"&amp;$G$1)</f>
        <v>4387.92</v>
      </c>
      <c r="G43" s="2285"/>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8" t="s">
        <v>2485</v>
      </c>
      <c r="P45" s="1296"/>
      <c r="Q45" s="1296"/>
      <c r="R45" s="1296"/>
    </row>
    <row r="46" spans="1:18" s="1455" customFormat="1" ht="21" thickBot="1">
      <c r="A46" s="2393" t="s">
        <v>2324</v>
      </c>
      <c r="B46" s="2394"/>
      <c r="C46" s="2722">
        <f ca="1">C68-C40</f>
        <v>-22749</v>
      </c>
      <c r="D46" s="2723" t="str">
        <f>C2</f>
        <v>万元</v>
      </c>
      <c r="E46" s="1433"/>
      <c r="F46" s="1433"/>
      <c r="I46" s="2575" t="s">
        <v>2420</v>
      </c>
      <c r="J46" s="2576"/>
      <c r="K46" s="2577"/>
      <c r="L46" s="2579">
        <f ca="1">IF(M47="住宅",0,IF(L48&gt;J51,L60,J60))</f>
        <v>53</v>
      </c>
      <c r="O46" s="2591" t="s">
        <v>2463</v>
      </c>
      <c r="P46" s="2592" t="s">
        <v>2464</v>
      </c>
      <c r="Q46" s="2593" t="s">
        <v>2462</v>
      </c>
      <c r="R46" s="2593" t="s">
        <v>2465</v>
      </c>
    </row>
    <row r="47" spans="1:18" s="1455" customFormat="1" ht="15.75" thickBot="1">
      <c r="A47" s="2395" t="s">
        <v>2326</v>
      </c>
      <c r="B47" s="2431" t="s">
        <v>2327</v>
      </c>
      <c r="C47" s="2727" t="s">
        <v>2328</v>
      </c>
      <c r="D47" s="2431" t="s">
        <v>2329</v>
      </c>
      <c r="E47" s="2534" t="s">
        <v>2330</v>
      </c>
      <c r="F47" s="2535"/>
      <c r="G47" s="1457"/>
      <c r="I47" s="2550" t="s">
        <v>2413</v>
      </c>
      <c r="J47" s="2551" t="s">
        <v>3471</v>
      </c>
      <c r="K47" s="2560" t="s">
        <v>2436</v>
      </c>
      <c r="L47" s="2561">
        <f ca="1">INDIRECT("'数据-取费表'!d"&amp;$G$1)</f>
        <v>40</v>
      </c>
      <c r="M47" s="2581" t="str">
        <f>IF(ISNUMBER(FIND("住宅",C1)),"住宅","非住宅")</f>
        <v>非住宅</v>
      </c>
      <c r="O47" s="2584" t="s">
        <v>2448</v>
      </c>
      <c r="P47" s="2594" t="s">
        <v>2466</v>
      </c>
      <c r="Q47" s="2585">
        <f ca="1">C40+J29</f>
        <v>21923</v>
      </c>
      <c r="R47" s="2585" t="s">
        <v>2467</v>
      </c>
    </row>
    <row r="48" spans="1:18" s="1455" customFormat="1" ht="47.25" thickBot="1">
      <c r="A48" s="2708" t="s">
        <v>2616</v>
      </c>
      <c r="B48" s="682" t="s">
        <v>2331</v>
      </c>
      <c r="C48" s="2718">
        <f ca="1">C49+C53+C55</f>
        <v>0</v>
      </c>
      <c r="D48" s="2712"/>
      <c r="E48" s="2713"/>
      <c r="F48" s="2415"/>
      <c r="G48" s="1457"/>
      <c r="H48" s="1458"/>
      <c r="I48" s="2541" t="s">
        <v>2414</v>
      </c>
      <c r="J48" s="2552" t="s">
        <v>2415</v>
      </c>
      <c r="K48" s="2562" t="s">
        <v>2437</v>
      </c>
      <c r="L48" s="2165">
        <f ca="1">INDIRECT("'数据-取费表'!f"&amp;$G$1)</f>
        <v>34</v>
      </c>
      <c r="O48" s="2584" t="s">
        <v>2449</v>
      </c>
      <c r="P48" s="2594" t="s">
        <v>2468</v>
      </c>
      <c r="Q48" s="2585">
        <f ca="1">J60</f>
        <v>53</v>
      </c>
      <c r="R48" s="2585" t="s">
        <v>2476</v>
      </c>
    </row>
    <row r="49" spans="1:18" s="1455" customFormat="1" ht="15.75" thickBot="1">
      <c r="A49" s="2428" t="s">
        <v>2617</v>
      </c>
      <c r="B49" s="2711" t="s">
        <v>2619</v>
      </c>
      <c r="C49" s="2720">
        <f ca="1">ROUND(F49*F51*F50*(1-F52)/10000,0)</f>
        <v>0</v>
      </c>
      <c r="D49" s="2530" t="s">
        <v>2332</v>
      </c>
      <c r="E49" s="2533" t="s">
        <v>2325</v>
      </c>
      <c r="F49" s="2536"/>
      <c r="G49" s="1459"/>
      <c r="H49" s="1458"/>
      <c r="I49" s="2541" t="s">
        <v>2434</v>
      </c>
      <c r="J49" s="2553">
        <v>2016</v>
      </c>
      <c r="K49" s="2563" t="s">
        <v>2439</v>
      </c>
      <c r="L49" s="2564"/>
      <c r="O49" s="2586" t="s">
        <v>2450</v>
      </c>
      <c r="P49" s="2594" t="s">
        <v>2469</v>
      </c>
      <c r="Q49" s="2585">
        <f ca="1">C29</f>
        <v>2018</v>
      </c>
      <c r="R49" s="2585" t="s">
        <v>2467</v>
      </c>
    </row>
    <row r="50" spans="1:18" s="1455" customFormat="1" ht="15.75" thickBot="1">
      <c r="A50" s="2429"/>
      <c r="B50" s="2432"/>
      <c r="C50" s="2728"/>
      <c r="D50" s="2402"/>
      <c r="E50" s="2531" t="s">
        <v>2333</v>
      </c>
      <c r="F50" s="2532">
        <f ca="1">F7</f>
        <v>4387.92</v>
      </c>
      <c r="H50" s="1458"/>
      <c r="I50" s="2541" t="s">
        <v>2416</v>
      </c>
      <c r="J50" s="2554">
        <f>SUMPRODUCT((I63:I65=J47)*(J62:L62=J48)*(J63:L65))</f>
        <v>60</v>
      </c>
      <c r="K50" s="2563" t="s">
        <v>2440</v>
      </c>
      <c r="L50" s="2564"/>
      <c r="M50" s="2558"/>
      <c r="O50" s="2586" t="s">
        <v>2451</v>
      </c>
      <c r="P50" s="2594" t="s">
        <v>2477</v>
      </c>
      <c r="Q50" s="2587">
        <f ca="1">J58</f>
        <v>0.41699999999999998</v>
      </c>
      <c r="R50" s="2585"/>
    </row>
    <row r="51" spans="1:18" s="1455" customFormat="1" ht="15.75" thickBot="1">
      <c r="A51" s="2430"/>
      <c r="B51" s="2432"/>
      <c r="C51" s="2433"/>
      <c r="D51" s="2402"/>
      <c r="E51" s="2434" t="s">
        <v>2334</v>
      </c>
      <c r="F51" s="685">
        <f ca="1">F8</f>
        <v>365</v>
      </c>
      <c r="I51" s="2555" t="s">
        <v>2421</v>
      </c>
      <c r="J51" s="2556">
        <f>IF(J49="",J50,J49+J50-YEAR('数据-取费表'!B2))</f>
        <v>59</v>
      </c>
      <c r="K51" s="2565" t="s">
        <v>2441</v>
      </c>
      <c r="L51" s="2578">
        <f ca="1">ROUND(-PV(INDIRECT("'数据-取费表'!h"&amp;$G$1),L48,(C39-C13*C76),0),0)</f>
        <v>14002</v>
      </c>
      <c r="M51" s="2559"/>
      <c r="O51" s="2586" t="s">
        <v>2452</v>
      </c>
      <c r="P51" s="2594" t="s">
        <v>2478</v>
      </c>
      <c r="Q51" s="2587">
        <f>J52</f>
        <v>8.5000000000000006E-2</v>
      </c>
      <c r="R51" s="2585"/>
    </row>
    <row r="52" spans="1:18" s="1455" customFormat="1" ht="15.75" thickBot="1">
      <c r="A52" s="2430"/>
      <c r="B52" s="2432"/>
      <c r="C52" s="2433"/>
      <c r="D52" s="2402"/>
      <c r="E52" s="2434" t="s">
        <v>2335</v>
      </c>
      <c r="F52" s="2529"/>
      <c r="I52" s="2557" t="s">
        <v>2444</v>
      </c>
      <c r="J52" s="2571">
        <f>'数据-取费表'!J6</f>
        <v>8.5000000000000006E-2</v>
      </c>
      <c r="K52" s="2557" t="s">
        <v>2429</v>
      </c>
      <c r="L52" s="2571"/>
      <c r="M52" s="2394"/>
      <c r="O52" s="2586" t="s">
        <v>2453</v>
      </c>
      <c r="P52" s="2594" t="s">
        <v>2470</v>
      </c>
      <c r="Q52" s="2585">
        <f ca="1">J53</f>
        <v>34</v>
      </c>
      <c r="R52" s="2585" t="s">
        <v>2471</v>
      </c>
    </row>
    <row r="53" spans="1:18" s="1455" customFormat="1" ht="43.5" thickBot="1">
      <c r="A53" s="2826" t="s">
        <v>2618</v>
      </c>
      <c r="B53" s="433" t="s">
        <v>2528</v>
      </c>
      <c r="C53" s="698">
        <f ca="1">ROUND(IF(F53="押一",F49*F51*F50/12*F11,IF(F53="押二",F49*F51*F50/12*2*F11,IF(F53="押三",F49*F51*F50/12*3*F11,C54*F11)))/10000,0)</f>
        <v>0</v>
      </c>
      <c r="D53" s="2631" t="s">
        <v>2536</v>
      </c>
      <c r="E53" s="2094" t="s">
        <v>2530</v>
      </c>
      <c r="F53" s="2828"/>
      <c r="I53" s="2567" t="s">
        <v>2446</v>
      </c>
      <c r="J53" s="2568">
        <f ca="1">IF(M47="住宅",J51,MIN(J51,L48))</f>
        <v>34</v>
      </c>
      <c r="K53" s="35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8"/>
      <c r="O53" s="2584" t="s">
        <v>2454</v>
      </c>
      <c r="P53" s="2594" t="s">
        <v>2472</v>
      </c>
      <c r="Q53" s="2585">
        <f ca="1">Q47+Q48</f>
        <v>21976</v>
      </c>
      <c r="R53" s="2585" t="s">
        <v>2455</v>
      </c>
    </row>
    <row r="54" spans="1:18" s="1455" customFormat="1" ht="16.5" thickBot="1">
      <c r="A54" s="2827"/>
      <c r="B54" s="2621" t="s">
        <v>2695</v>
      </c>
      <c r="C54" s="2412"/>
      <c r="D54" s="2631"/>
      <c r="E54" s="2775"/>
      <c r="F54" s="2537"/>
      <c r="I54" s="2409"/>
      <c r="J54" s="2566"/>
      <c r="K54" s="2566"/>
      <c r="L54" s="2566"/>
      <c r="M54" s="1459"/>
      <c r="O54" s="2588" t="s">
        <v>2479</v>
      </c>
      <c r="P54" s="1296"/>
      <c r="Q54" s="1296"/>
      <c r="R54" s="1296"/>
    </row>
    <row r="55" spans="1:18" s="1455" customFormat="1" ht="15.75" thickBot="1">
      <c r="A55" s="2667" t="s">
        <v>2541</v>
      </c>
      <c r="B55" s="2668" t="s">
        <v>2529</v>
      </c>
      <c r="C55" s="2669"/>
      <c r="D55" s="2631"/>
      <c r="E55" s="2707"/>
      <c r="F55" s="2537"/>
      <c r="I55" s="3318" t="s">
        <v>2422</v>
      </c>
      <c r="J55" s="3317">
        <f ca="1">ROUND(IF(J47="钢混",J57/J50,1-(1-2%)*(J50-J57)/J50),3)</f>
        <v>0.41699999999999998</v>
      </c>
      <c r="K55" s="2548" t="s">
        <v>2423</v>
      </c>
      <c r="L55" s="2570"/>
      <c r="O55" s="2591" t="s">
        <v>2463</v>
      </c>
      <c r="P55" s="2592" t="s">
        <v>2464</v>
      </c>
      <c r="Q55" s="2593" t="s">
        <v>2462</v>
      </c>
      <c r="R55" s="2593" t="s">
        <v>2465</v>
      </c>
    </row>
    <row r="56" spans="1:18" s="1455" customFormat="1" ht="44.25" thickTop="1" thickBot="1">
      <c r="A56" s="2406">
        <v>2</v>
      </c>
      <c r="B56" s="2407" t="s">
        <v>2336</v>
      </c>
      <c r="C56" s="608">
        <f ca="1">C13</f>
        <v>1978</v>
      </c>
      <c r="D56" s="2695"/>
      <c r="E56" s="2408"/>
      <c r="F56" s="2537"/>
      <c r="I56" s="2540" t="s">
        <v>2424</v>
      </c>
      <c r="J56" s="2569" t="s">
        <v>41</v>
      </c>
      <c r="K56" s="2541" t="s">
        <v>2428</v>
      </c>
      <c r="L56" s="2165" t="str">
        <f ca="1">IF(L48&lt;J51,"——",L48-J51)</f>
        <v>——</v>
      </c>
      <c r="O56" s="2584" t="s">
        <v>2448</v>
      </c>
      <c r="P56" s="2594" t="s">
        <v>2466</v>
      </c>
      <c r="Q56" s="2585">
        <f ca="1">C40+J29</f>
        <v>21923</v>
      </c>
      <c r="R56" s="2585" t="s">
        <v>2467</v>
      </c>
    </row>
    <row r="57" spans="1:18" s="1455" customFormat="1" ht="29.25" thickBot="1">
      <c r="A57" s="2538"/>
      <c r="B57" s="2399" t="s">
        <v>2366</v>
      </c>
      <c r="C57" s="614">
        <f ca="1">C29</f>
        <v>2018</v>
      </c>
      <c r="D57" s="2410"/>
      <c r="E57" s="2411"/>
      <c r="F57" s="2539"/>
      <c r="I57" s="2542" t="s">
        <v>2445</v>
      </c>
      <c r="J57" s="2546">
        <f ca="1">IF(OR(M47="住宅",J51&lt;L48,J56="是"),"——",J51-L48)</f>
        <v>25</v>
      </c>
      <c r="K57" s="2541" t="s">
        <v>2900</v>
      </c>
      <c r="L57" s="2165" t="str">
        <f ca="1">IF(L48&lt;J51,"——",IF(L55="比较法",L49,IF(L55="基准地价",L50,L51)))</f>
        <v>——</v>
      </c>
      <c r="O57" s="2584" t="s">
        <v>2449</v>
      </c>
      <c r="P57" s="2594" t="s">
        <v>2473</v>
      </c>
      <c r="Q57" s="2585">
        <f ca="1">L60</f>
        <v>0</v>
      </c>
      <c r="R57" s="2585" t="s">
        <v>2488</v>
      </c>
    </row>
    <row r="58" spans="1:18" s="1455" customFormat="1" ht="29.25" thickBot="1">
      <c r="A58" s="697" t="s">
        <v>2337</v>
      </c>
      <c r="B58" s="2407" t="s">
        <v>2367</v>
      </c>
      <c r="C58" s="698">
        <f ca="1">ROUND(C59+C64+C65+C66,0)</f>
        <v>51</v>
      </c>
      <c r="D58" s="2413" t="s">
        <v>2368</v>
      </c>
      <c r="E58" s="2414"/>
      <c r="F58" s="2415"/>
      <c r="I58" s="2542" t="s">
        <v>2425</v>
      </c>
      <c r="J58" s="3319">
        <f ca="1">IF(J55&lt;0.4,0.4,J55)</f>
        <v>0.41699999999999998</v>
      </c>
      <c r="K58" s="2565" t="s">
        <v>2901</v>
      </c>
      <c r="L58" s="2165">
        <f ca="1">IF(ISERROR(POWER(1+L52,L47-L48)*(POWER(1+L52,L48)-1)/(POWER(1+L52,L47)-1)),0,POWER(1+L52,L47-L48)*(POWER(1+L52,L48)-1)/(POWER(1+L52,L47)-1))</f>
        <v>0</v>
      </c>
      <c r="O58" s="2586" t="s">
        <v>2450</v>
      </c>
      <c r="P58" s="2594" t="s">
        <v>2480</v>
      </c>
      <c r="Q58" s="2585">
        <f>IF(L55="比较法",L49,IF(L55="基准地价",L50,0))</f>
        <v>0</v>
      </c>
      <c r="R58" s="2585" t="s">
        <v>2467</v>
      </c>
    </row>
    <row r="59" spans="1:18" s="1455" customFormat="1" ht="29.25" thickBot="1">
      <c r="A59" s="2435" t="s">
        <v>2372</v>
      </c>
      <c r="B59" s="2399" t="s">
        <v>359</v>
      </c>
      <c r="C59" s="313">
        <f ca="1">ROUND(IF(项目基本情况!B11="自然人",C48*F59,C60+C61+C62),1)</f>
        <v>17.3</v>
      </c>
      <c r="D59" s="2416" t="s">
        <v>2338</v>
      </c>
      <c r="E59" s="2417" t="s">
        <v>2339</v>
      </c>
      <c r="F59" s="708" t="str">
        <f ca="1">IF(项目基本情况!B11="企业","",IF(INDIRECT("'数据-取费表'!c"&amp;$G$1)="住宅",5%,IF(F49*F50*F51/12/(1+'数据-取费表'!C42)&gt;20000,12%,7%)))</f>
        <v/>
      </c>
      <c r="I59" s="2542" t="s">
        <v>2426</v>
      </c>
      <c r="J59" s="2546">
        <f ca="1">IF(OR(M47="住宅",J51&lt;L48,J56="是"),"——",ROUND(C29*J58,0))</f>
        <v>842</v>
      </c>
      <c r="K59" s="2565" t="s">
        <v>2902</v>
      </c>
      <c r="L59" s="2165">
        <f ca="1">IF(ISERROR(POWER(1+L52,L47-J51)*(POWER(1+L52,J51)-1)/(POWER(1+L52,L47)-1)),0,POWER(1+L52,L47-J51)*(POWER(1+L52,J51)-1)/(POWER(1+L52,L47)-1))</f>
        <v>0</v>
      </c>
      <c r="O59" s="2586" t="s">
        <v>2451</v>
      </c>
      <c r="P59" s="2594" t="s">
        <v>2481</v>
      </c>
      <c r="Q59" s="2587">
        <f>L52</f>
        <v>0</v>
      </c>
      <c r="R59" s="2585"/>
    </row>
    <row r="60" spans="1:18" s="1455" customFormat="1" ht="20.25" thickBot="1">
      <c r="A60" s="2435" t="s">
        <v>2369</v>
      </c>
      <c r="B60" s="2399" t="s">
        <v>2340</v>
      </c>
      <c r="C60" s="313">
        <f ca="1">IF(项目基本情况!B11="自然人","——",ROUND(C48*F60/(1+'数据-取费表'!C42),2))</f>
        <v>0</v>
      </c>
      <c r="D60" s="2417" t="s">
        <v>2341</v>
      </c>
      <c r="E60" s="2399" t="s">
        <v>2342</v>
      </c>
      <c r="F60" s="717">
        <f t="shared" ref="F60:F66" si="0">F32</f>
        <v>5.6000000000000001E-2</v>
      </c>
      <c r="I60" s="2543" t="s">
        <v>2427</v>
      </c>
      <c r="J60" s="2547">
        <f ca="1">IF(OR(M47="住宅",J51&lt;L48,J56="是"),"0",ROUND(J59/(1+J52)^J53,0))</f>
        <v>53</v>
      </c>
      <c r="K60" s="2549" t="s">
        <v>2430</v>
      </c>
      <c r="L60" s="2547">
        <f ca="1">IF(OR(M47="住宅",L48&lt;J51),0,ROUND(L57*(L58/L59-1),0))</f>
        <v>0</v>
      </c>
      <c r="O60" s="2586" t="s">
        <v>2452</v>
      </c>
      <c r="P60" s="2594" t="s">
        <v>2482</v>
      </c>
      <c r="Q60" s="2585">
        <f ca="1">L58</f>
        <v>0</v>
      </c>
      <c r="R60" s="2585" t="s">
        <v>2457</v>
      </c>
    </row>
    <row r="61" spans="1:18" s="1455" customFormat="1" ht="20.25" thickBot="1">
      <c r="A61" s="2435" t="s">
        <v>2370</v>
      </c>
      <c r="B61" s="2399" t="s">
        <v>2343</v>
      </c>
      <c r="C61" s="313">
        <f ca="1">IF(项目基本情况!B11="自然人","——",IF(D61="按租金收入计税",ROUND(C48*F61,2),IF(D61="按房产原值计税",ROUND(C57*F61*0.7,2),INDIRECT("'数据-取费表'!Aj"&amp;$G$1))))</f>
        <v>16.95</v>
      </c>
      <c r="D61" s="1301" t="s">
        <v>2412</v>
      </c>
      <c r="E61" s="2399" t="s">
        <v>2342</v>
      </c>
      <c r="F61" s="707">
        <f t="shared" si="0"/>
        <v>1.2E-2</v>
      </c>
      <c r="I61" s="2409"/>
      <c r="J61" s="2409"/>
      <c r="K61" s="2409"/>
      <c r="L61" s="2409"/>
      <c r="O61" s="2586" t="s">
        <v>2453</v>
      </c>
      <c r="P61" s="2594" t="s">
        <v>2483</v>
      </c>
      <c r="Q61" s="2585">
        <f ca="1">L59</f>
        <v>0</v>
      </c>
      <c r="R61" s="2585" t="s">
        <v>2458</v>
      </c>
    </row>
    <row r="62" spans="1:18" s="1455" customFormat="1" ht="15.75" thickBot="1">
      <c r="A62" s="2435" t="s">
        <v>2371</v>
      </c>
      <c r="B62" s="2398" t="s">
        <v>2344</v>
      </c>
      <c r="C62" s="314">
        <f ca="1">IF(项目基本情况!B11="自然人","——",ROUND(F62*F63/10000,2))</f>
        <v>0.31</v>
      </c>
      <c r="D62" s="2418" t="s">
        <v>2345</v>
      </c>
      <c r="E62" s="2399" t="s">
        <v>2346</v>
      </c>
      <c r="F62" s="711">
        <f t="shared" si="0"/>
        <v>3</v>
      </c>
      <c r="I62" s="2544" t="s">
        <v>2417</v>
      </c>
      <c r="J62" s="2545" t="s">
        <v>2418</v>
      </c>
      <c r="K62" s="2545" t="s">
        <v>2419</v>
      </c>
      <c r="L62" s="2545" t="s">
        <v>2415</v>
      </c>
      <c r="M62" s="3320" t="s">
        <v>3038</v>
      </c>
      <c r="O62" s="2584" t="s">
        <v>2454</v>
      </c>
      <c r="P62" s="2594" t="s">
        <v>2472</v>
      </c>
      <c r="Q62" s="2585">
        <f ca="1">Q56+Q57</f>
        <v>21923</v>
      </c>
      <c r="R62" s="2585" t="s">
        <v>2455</v>
      </c>
    </row>
    <row r="63" spans="1:18" s="1455" customFormat="1" ht="16.5" thickBot="1">
      <c r="A63" s="712"/>
      <c r="B63" s="2405"/>
      <c r="C63" s="318"/>
      <c r="D63" s="2419"/>
      <c r="E63" s="2399" t="s">
        <v>2347</v>
      </c>
      <c r="F63" s="685">
        <f t="shared" ca="1" si="0"/>
        <v>1048.05</v>
      </c>
      <c r="I63" s="2544" t="s">
        <v>2431</v>
      </c>
      <c r="J63" s="3323">
        <v>70</v>
      </c>
      <c r="K63" s="3323">
        <v>50</v>
      </c>
      <c r="L63" s="3323">
        <v>80</v>
      </c>
      <c r="M63" s="3321">
        <v>0.02</v>
      </c>
      <c r="O63" s="2588" t="s">
        <v>2486</v>
      </c>
      <c r="P63" s="1296"/>
      <c r="Q63" s="1296"/>
      <c r="R63" s="1296"/>
    </row>
    <row r="64" spans="1:18" s="1455" customFormat="1" ht="15.75" thickBot="1">
      <c r="A64" s="2435" t="s">
        <v>2379</v>
      </c>
      <c r="B64" s="2399" t="s">
        <v>2348</v>
      </c>
      <c r="C64" s="313">
        <f ca="1">ROUND(C57*F64,1)</f>
        <v>30.3</v>
      </c>
      <c r="D64" s="2417" t="s">
        <v>2349</v>
      </c>
      <c r="E64" s="2399" t="s">
        <v>2342</v>
      </c>
      <c r="F64" s="714">
        <f t="shared" ca="1" si="0"/>
        <v>1.4999999999999999E-2</v>
      </c>
      <c r="I64" s="2544" t="s">
        <v>2432</v>
      </c>
      <c r="J64" s="3323">
        <v>50</v>
      </c>
      <c r="K64" s="3323">
        <v>35</v>
      </c>
      <c r="L64" s="3323">
        <v>60</v>
      </c>
      <c r="M64" s="3322">
        <v>0</v>
      </c>
      <c r="O64" s="2591" t="s">
        <v>2463</v>
      </c>
      <c r="P64" s="2592" t="s">
        <v>2464</v>
      </c>
      <c r="Q64" s="2593" t="s">
        <v>2462</v>
      </c>
      <c r="R64" s="2593" t="s">
        <v>2465</v>
      </c>
    </row>
    <row r="65" spans="1:18" s="1455" customFormat="1" ht="15.75" thickBot="1">
      <c r="A65" s="2435" t="s">
        <v>2373</v>
      </c>
      <c r="B65" s="2399" t="s">
        <v>364</v>
      </c>
      <c r="C65" s="313">
        <f ca="1">ROUND(C56*F65,1)</f>
        <v>3</v>
      </c>
      <c r="D65" s="2417" t="s">
        <v>2350</v>
      </c>
      <c r="E65" s="2399" t="s">
        <v>2342</v>
      </c>
      <c r="F65" s="716">
        <f t="shared" ca="1" si="0"/>
        <v>1.5E-3</v>
      </c>
      <c r="I65" s="2544" t="s">
        <v>2433</v>
      </c>
      <c r="J65" s="3323">
        <v>40</v>
      </c>
      <c r="K65" s="3323">
        <v>30</v>
      </c>
      <c r="L65" s="3323">
        <v>50</v>
      </c>
      <c r="M65" s="3321">
        <v>0.02</v>
      </c>
      <c r="O65" s="2584" t="s">
        <v>2448</v>
      </c>
      <c r="P65" s="2594" t="s">
        <v>2466</v>
      </c>
      <c r="Q65" s="2585">
        <f ca="1">C40+J29</f>
        <v>21923</v>
      </c>
      <c r="R65" s="2585" t="s">
        <v>2467</v>
      </c>
    </row>
    <row r="66" spans="1:18" s="1455" customFormat="1" ht="20.25" thickBot="1">
      <c r="A66" s="2435" t="s">
        <v>2374</v>
      </c>
      <c r="B66" s="2399" t="s">
        <v>363</v>
      </c>
      <c r="C66" s="313">
        <f ca="1">ROUND(C48*F66,1)</f>
        <v>0</v>
      </c>
      <c r="D66" s="2417" t="s">
        <v>2351</v>
      </c>
      <c r="E66" s="2399" t="s">
        <v>2342</v>
      </c>
      <c r="F66" s="694">
        <f t="shared" ca="1" si="0"/>
        <v>2E-3</v>
      </c>
      <c r="O66" s="2584" t="s">
        <v>2449</v>
      </c>
      <c r="P66" s="2594" t="s">
        <v>2473</v>
      </c>
      <c r="Q66" s="2585">
        <f ca="1">L60</f>
        <v>0</v>
      </c>
      <c r="R66" s="2585" t="s">
        <v>2456</v>
      </c>
    </row>
    <row r="67" spans="1:18" s="1455" customFormat="1" ht="24.75" thickBot="1">
      <c r="A67" s="2406" t="s">
        <v>2352</v>
      </c>
      <c r="B67" s="2420" t="s">
        <v>2353</v>
      </c>
      <c r="C67" s="698">
        <f ca="1">C48-C58</f>
        <v>-51</v>
      </c>
      <c r="D67" s="2416" t="s">
        <v>2354</v>
      </c>
      <c r="E67" s="2421"/>
      <c r="F67" s="2422"/>
      <c r="O67" s="2586" t="s">
        <v>2450</v>
      </c>
      <c r="P67" s="2594" t="s">
        <v>2480</v>
      </c>
      <c r="Q67" s="2589">
        <f ca="1">L51</f>
        <v>14002</v>
      </c>
      <c r="R67" s="2590" t="s">
        <v>2490</v>
      </c>
    </row>
    <row r="68" spans="1:18" s="1455" customFormat="1" ht="20.25" thickBot="1">
      <c r="A68" s="2396" t="s">
        <v>2355</v>
      </c>
      <c r="B68" s="2397" t="s">
        <v>2356</v>
      </c>
      <c r="C68" s="683">
        <f ca="1">ROUND(C67*(1-((1+F70)/(1+F68))^F69)/(F68-F70),0)</f>
        <v>-826</v>
      </c>
      <c r="D68" s="2418" t="s">
        <v>2357</v>
      </c>
      <c r="E68" s="2399" t="s">
        <v>2358</v>
      </c>
      <c r="F68" s="694">
        <f ca="1">F40</f>
        <v>0.05</v>
      </c>
      <c r="O68" s="2586" t="s">
        <v>2451</v>
      </c>
      <c r="P68" s="2595" t="s">
        <v>2484</v>
      </c>
      <c r="Q68" s="2585">
        <f ca="1">ROUND(Q69-Q70*Q71,0)</f>
        <v>812</v>
      </c>
      <c r="R68" s="2585" t="s">
        <v>2489</v>
      </c>
    </row>
    <row r="69" spans="1:18" s="1455" customFormat="1" ht="15.75" thickBot="1">
      <c r="A69" s="2400"/>
      <c r="B69" s="2401"/>
      <c r="C69" s="688"/>
      <c r="D69" s="2423" t="s">
        <v>2359</v>
      </c>
      <c r="E69" s="2399" t="s">
        <v>2360</v>
      </c>
      <c r="F69" s="719">
        <f ca="1">F41</f>
        <v>34</v>
      </c>
      <c r="O69" s="2586" t="s">
        <v>2459</v>
      </c>
      <c r="P69" s="2595" t="s">
        <v>2474</v>
      </c>
      <c r="Q69" s="2585">
        <f ca="1">C39</f>
        <v>980</v>
      </c>
      <c r="R69" s="2585" t="s">
        <v>2467</v>
      </c>
    </row>
    <row r="70" spans="1:18" s="1455" customFormat="1" ht="15.75" thickBot="1">
      <c r="A70" s="2403"/>
      <c r="B70" s="2404"/>
      <c r="C70" s="692"/>
      <c r="D70" s="2419"/>
      <c r="E70" s="2399" t="s">
        <v>2361</v>
      </c>
      <c r="F70" s="2529"/>
      <c r="O70" s="2586" t="s">
        <v>2460</v>
      </c>
      <c r="P70" s="2595" t="s">
        <v>2475</v>
      </c>
      <c r="Q70" s="2585">
        <f ca="1">C13</f>
        <v>1978</v>
      </c>
      <c r="R70" s="2585" t="s">
        <v>2467</v>
      </c>
    </row>
    <row r="71" spans="1:18" s="1455" customFormat="1" ht="15.75" thickBot="1">
      <c r="A71" s="2424" t="s">
        <v>2362</v>
      </c>
      <c r="B71" s="2425" t="s">
        <v>2363</v>
      </c>
      <c r="C71" s="722">
        <f ca="1">ROUND(C68*10000/F71,0)</f>
        <v>-1882</v>
      </c>
      <c r="D71" s="2426" t="s">
        <v>2364</v>
      </c>
      <c r="E71" s="2427" t="s">
        <v>2365</v>
      </c>
      <c r="F71" s="725">
        <f ca="1">F43</f>
        <v>4387.92</v>
      </c>
      <c r="I71" s="2394"/>
      <c r="K71" s="2394"/>
      <c r="O71" s="2586" t="s">
        <v>2461</v>
      </c>
      <c r="P71" s="2595" t="s">
        <v>2487</v>
      </c>
      <c r="Q71" s="2587">
        <f ca="1">C76</f>
        <v>8.5000000000000006E-2</v>
      </c>
      <c r="R71" s="2585"/>
    </row>
    <row r="72" spans="1:18" s="1455" customFormat="1" ht="15.75" thickBot="1">
      <c r="B72" s="1460"/>
      <c r="C72" s="1460"/>
      <c r="I72" s="2394"/>
      <c r="O72" s="2586" t="s">
        <v>2452</v>
      </c>
      <c r="P72" s="2594" t="s">
        <v>2481</v>
      </c>
      <c r="Q72" s="2587">
        <f>L52</f>
        <v>0</v>
      </c>
      <c r="R72" s="2585"/>
    </row>
    <row r="73" spans="1:18" ht="20.25" thickBot="1">
      <c r="A73" s="1455"/>
      <c r="B73" s="1460"/>
      <c r="C73" s="1460"/>
      <c r="D73" s="1455"/>
      <c r="E73" s="1455"/>
      <c r="F73" s="1455"/>
      <c r="I73" s="2580"/>
      <c r="O73" s="2586" t="s">
        <v>2453</v>
      </c>
      <c r="P73" s="2594" t="s">
        <v>2482</v>
      </c>
      <c r="Q73" s="2585">
        <f ca="1">L58</f>
        <v>0</v>
      </c>
      <c r="R73" s="2585" t="s">
        <v>2457</v>
      </c>
    </row>
    <row r="74" spans="1:18" ht="20.25" thickBot="1">
      <c r="A74" s="1455"/>
      <c r="B74" s="727" t="s">
        <v>382</v>
      </c>
      <c r="C74" s="728"/>
      <c r="D74" s="1455"/>
      <c r="E74" s="1455"/>
      <c r="F74" s="1455"/>
      <c r="O74" s="2586" t="s">
        <v>2491</v>
      </c>
      <c r="P74" s="2594" t="s">
        <v>2483</v>
      </c>
      <c r="Q74" s="2585">
        <f ca="1">L59</f>
        <v>0</v>
      </c>
      <c r="R74" s="2585" t="s">
        <v>2458</v>
      </c>
    </row>
    <row r="75" spans="1:18" ht="15.75" thickBot="1">
      <c r="A75" s="1455"/>
      <c r="B75" s="729" t="s">
        <v>970</v>
      </c>
      <c r="C75" s="730">
        <f ca="1">ROUND(C13*C76,0)</f>
        <v>168</v>
      </c>
      <c r="D75" s="1455"/>
      <c r="E75" s="1455"/>
      <c r="F75" s="1455"/>
      <c r="K75" s="1456"/>
      <c r="L75" s="1455"/>
      <c r="O75" s="2584" t="s">
        <v>2454</v>
      </c>
      <c r="P75" s="2594" t="s">
        <v>2472</v>
      </c>
      <c r="Q75" s="2585">
        <f ca="1">Q65+Q66</f>
        <v>21923</v>
      </c>
      <c r="R75" s="2585" t="s">
        <v>2455</v>
      </c>
    </row>
    <row r="76" spans="1:18">
      <c r="B76" s="731" t="s">
        <v>971</v>
      </c>
      <c r="C76" s="732">
        <f ca="1">INDIRECT("'数据-取费表'!j"&amp;$G$1)</f>
        <v>8.5000000000000006E-2</v>
      </c>
      <c r="I76" s="1455"/>
      <c r="J76" s="1455"/>
      <c r="K76" s="1456"/>
      <c r="L76" s="1455"/>
    </row>
    <row r="77" spans="1:18">
      <c r="B77" s="733" t="s">
        <v>974</v>
      </c>
      <c r="C77" s="734"/>
      <c r="I77" s="1455"/>
      <c r="J77" s="1455"/>
      <c r="K77" s="1456"/>
      <c r="L77" s="1455"/>
    </row>
    <row r="78" spans="1:18">
      <c r="B78" s="646" t="s">
        <v>2696</v>
      </c>
      <c r="C78" s="735"/>
    </row>
    <row r="79" spans="1:18">
      <c r="B79" s="2873" t="s">
        <v>2700</v>
      </c>
      <c r="C79" s="650">
        <f ca="1">1-C80</f>
        <v>0.82899999999999996</v>
      </c>
    </row>
    <row r="80" spans="1:18">
      <c r="B80" s="2873" t="s">
        <v>2699</v>
      </c>
      <c r="C80" s="650">
        <f ca="1">ROUND(C75/C39,3)</f>
        <v>0.17100000000000001</v>
      </c>
    </row>
    <row r="81" spans="2:3">
      <c r="B81" s="646" t="s">
        <v>383</v>
      </c>
      <c r="C81" s="647"/>
    </row>
    <row r="82" spans="2:3">
      <c r="B82" s="2872" t="s">
        <v>2698</v>
      </c>
      <c r="C82" s="651">
        <f ca="1">1-C83</f>
        <v>0.91</v>
      </c>
    </row>
    <row r="83" spans="2:3">
      <c r="B83" s="2872" t="s">
        <v>2697</v>
      </c>
      <c r="C83" s="650">
        <f ca="1">ROUND(C13/C40,3)</f>
        <v>0.09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69" priority="56">
      <formula>$L$48&gt;$J$51</formula>
    </cfRule>
  </conditionalFormatting>
  <conditionalFormatting sqref="I55 I60">
    <cfRule type="expression" dxfId="168" priority="57">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905</v>
      </c>
      <c r="B1" s="670"/>
      <c r="C1" s="2389"/>
      <c r="D1" s="1274"/>
      <c r="E1" s="2582" t="s">
        <v>534</v>
      </c>
      <c r="F1" s="2583">
        <f ca="1">J53</f>
        <v>0</v>
      </c>
      <c r="G1" s="672">
        <f>MATCH(C1,'数据-取费表'!A6:A16,0)+5</f>
        <v>9</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341</v>
      </c>
      <c r="B2" s="1407" t="e">
        <f ca="1">ROUND(D2/10000,0)</f>
        <v>#DIV/0!</v>
      </c>
      <c r="C2" s="1300" t="s">
        <v>1094</v>
      </c>
      <c r="D2" s="2721" t="e">
        <f ca="1">C40+J29+L46</f>
        <v>#DIV/0!</v>
      </c>
      <c r="E2" s="2572" t="s">
        <v>2620</v>
      </c>
      <c r="F2" s="1277"/>
      <c r="G2" s="2284"/>
      <c r="H2" s="1275"/>
      <c r="I2" s="1275"/>
      <c r="J2" s="1275"/>
      <c r="K2" s="1299"/>
      <c r="L2" s="1275"/>
      <c r="M2" s="1275"/>
    </row>
    <row r="3" spans="1:37" ht="18" customHeight="1" thickBot="1">
      <c r="A3" s="675" t="s">
        <v>342</v>
      </c>
      <c r="B3" s="1408">
        <f ca="1">IF(ISERROR(D2/F43),0,ROUND(D2/F43,0))</f>
        <v>0</v>
      </c>
      <c r="C3" s="1300" t="s">
        <v>1095</v>
      </c>
      <c r="D3" s="1276"/>
      <c r="E3" s="2572"/>
      <c r="F3" s="1277"/>
      <c r="G3" s="2284"/>
      <c r="H3" s="676" t="s">
        <v>906</v>
      </c>
      <c r="I3" s="1275"/>
      <c r="J3" s="1275"/>
      <c r="K3" s="1299"/>
      <c r="L3" s="1275"/>
      <c r="M3" s="1275"/>
    </row>
    <row r="4" spans="1:37" ht="18" customHeight="1">
      <c r="A4" s="677" t="s">
        <v>907</v>
      </c>
      <c r="B4" s="678" t="s">
        <v>908</v>
      </c>
      <c r="C4" s="678" t="s">
        <v>909</v>
      </c>
      <c r="D4" s="678" t="s">
        <v>910</v>
      </c>
      <c r="E4" s="679" t="s">
        <v>911</v>
      </c>
      <c r="F4" s="680"/>
      <c r="G4" s="2285"/>
      <c r="H4" s="677" t="s">
        <v>907</v>
      </c>
      <c r="I4" s="678" t="s">
        <v>908</v>
      </c>
      <c r="J4" s="678" t="s">
        <v>909</v>
      </c>
      <c r="K4" s="678" t="s">
        <v>910</v>
      </c>
      <c r="L4" s="679" t="s">
        <v>911</v>
      </c>
      <c r="M4" s="680"/>
    </row>
    <row r="5" spans="1:37" ht="18" customHeight="1">
      <c r="A5" s="681">
        <v>1</v>
      </c>
      <c r="B5" s="682" t="s">
        <v>2331</v>
      </c>
      <c r="C5" s="2623">
        <f ca="1">C6+C10+C12</f>
        <v>0</v>
      </c>
      <c r="D5" s="2633" t="s">
        <v>2534</v>
      </c>
      <c r="E5" s="2624"/>
      <c r="F5" s="2625"/>
      <c r="G5" s="2285"/>
      <c r="H5" s="681">
        <v>1</v>
      </c>
      <c r="I5" s="682" t="s">
        <v>2331</v>
      </c>
      <c r="J5" s="2623">
        <f ca="1">J6+J10+J12</f>
        <v>0</v>
      </c>
      <c r="K5" s="2626" t="s">
        <v>2534</v>
      </c>
      <c r="L5" s="2624"/>
      <c r="M5" s="2625"/>
    </row>
    <row r="6" spans="1:37" ht="18" customHeight="1">
      <c r="A6" s="2619" t="s">
        <v>2372</v>
      </c>
      <c r="B6" s="3569" t="s">
        <v>2533</v>
      </c>
      <c r="C6" s="2628">
        <f ca="1">ROUND(F6*F8*F7*(1-F9),0)</f>
        <v>0</v>
      </c>
      <c r="D6" s="2622" t="s">
        <v>2535</v>
      </c>
      <c r="E6" s="684" t="s">
        <v>912</v>
      </c>
      <c r="F6" s="685">
        <f ca="1">INDIRECT("'数据-取费表'!u"&amp;$G$1)</f>
        <v>0</v>
      </c>
      <c r="G6" s="2285"/>
      <c r="H6" s="2619" t="s">
        <v>2372</v>
      </c>
      <c r="I6" s="3569" t="s">
        <v>2533</v>
      </c>
      <c r="J6" s="683">
        <f ca="1">ROUND(M6*M8*M7*(1-M9),0)</f>
        <v>0</v>
      </c>
      <c r="K6" s="2622" t="s">
        <v>2535</v>
      </c>
      <c r="L6" s="684" t="s">
        <v>912</v>
      </c>
      <c r="M6" s="685">
        <f ca="1">INDIRECT("'数据-取费表'!z"&amp;$G$1)</f>
        <v>0</v>
      </c>
    </row>
    <row r="7" spans="1:37" ht="18" customHeight="1">
      <c r="A7" s="2627"/>
      <c r="B7" s="3570"/>
      <c r="C7" s="2629"/>
      <c r="D7" s="2058"/>
      <c r="E7" s="2630" t="s">
        <v>913</v>
      </c>
      <c r="F7" s="685">
        <f ca="1">IF(INDIRECT("'数据-取费表'!ah"&amp;$G$1)="",INDIRECT("'数据-取费表'!k"&amp;$G$1),INDIRECT("'数据-取费表'!ah"&amp;$G$1))</f>
        <v>0</v>
      </c>
      <c r="G7" s="2285"/>
      <c r="H7" s="686"/>
      <c r="I7" s="3570"/>
      <c r="J7" s="688"/>
      <c r="K7" s="689"/>
      <c r="L7" s="684" t="s">
        <v>913</v>
      </c>
      <c r="M7" s="685">
        <f ca="1">F7</f>
        <v>0</v>
      </c>
    </row>
    <row r="8" spans="1:37" ht="18" customHeight="1">
      <c r="A8" s="686"/>
      <c r="B8" s="3570"/>
      <c r="C8" s="688"/>
      <c r="D8" s="689"/>
      <c r="E8" s="684" t="s">
        <v>914</v>
      </c>
      <c r="F8" s="685">
        <f ca="1">INDIRECT("'数据-取费表'!ai"&amp;$G$1)</f>
        <v>0</v>
      </c>
      <c r="G8" s="2285"/>
      <c r="H8" s="686"/>
      <c r="I8" s="3570"/>
      <c r="J8" s="688"/>
      <c r="K8" s="689"/>
      <c r="L8" s="684" t="s">
        <v>914</v>
      </c>
      <c r="M8" s="685">
        <f ca="1">INDIRECT("'数据-取费表'!ai"&amp;$G$1)</f>
        <v>0</v>
      </c>
    </row>
    <row r="9" spans="1:37" ht="18" customHeight="1">
      <c r="A9" s="686"/>
      <c r="B9" s="3571"/>
      <c r="C9" s="688"/>
      <c r="D9" s="689"/>
      <c r="E9" s="684" t="s">
        <v>915</v>
      </c>
      <c r="F9" s="694">
        <f ca="1">INDIRECT("'数据-取费表'!w"&amp;$G$1)</f>
        <v>0</v>
      </c>
      <c r="G9" s="2285"/>
      <c r="H9" s="686"/>
      <c r="I9" s="3571"/>
      <c r="J9" s="688"/>
      <c r="K9" s="689"/>
      <c r="L9" s="695" t="s">
        <v>915</v>
      </c>
      <c r="M9" s="696">
        <f ca="1">INDIRECT("'数据-取费表'!ab"&amp;$G$1)</f>
        <v>0</v>
      </c>
    </row>
    <row r="10" spans="1:37" ht="18" customHeight="1">
      <c r="A10" s="2619" t="s">
        <v>2379</v>
      </c>
      <c r="B10" s="2620" t="s">
        <v>2528</v>
      </c>
      <c r="C10" s="698">
        <f ca="1">ROUND(IF(F10="押一",F6*F8*F7/12*F11,IF(F10="押二",F6*F8*F7/12*2*F11,IF(F10="押三",F6*F8*F7/12*3*F11,C11*F11))),0)</f>
        <v>0</v>
      </c>
      <c r="D10" s="2631" t="s">
        <v>2536</v>
      </c>
      <c r="E10" s="2094" t="s">
        <v>2530</v>
      </c>
      <c r="F10" s="2828"/>
      <c r="G10" s="2285"/>
      <c r="H10" s="2619" t="s">
        <v>2379</v>
      </c>
      <c r="I10" s="2620" t="s">
        <v>2528</v>
      </c>
      <c r="J10" s="683">
        <f ca="1">ROUND(IF(M10="押一",M6*M8*M7/12*M11,IF(M10="押二",M6*M8*M7/12*2*M11,IF(M10="押三",M6*M8*M7/12*3*M11,J11*M11))),0)</f>
        <v>0</v>
      </c>
      <c r="K10" s="2631" t="s">
        <v>2536</v>
      </c>
      <c r="L10" s="2094" t="s">
        <v>2530</v>
      </c>
      <c r="M10" s="2828" t="s">
        <v>2692</v>
      </c>
    </row>
    <row r="11" spans="1:37" ht="18" customHeight="1">
      <c r="A11" s="690"/>
      <c r="B11" s="2621" t="s">
        <v>2538</v>
      </c>
      <c r="C11" s="2412"/>
      <c r="D11" s="689"/>
      <c r="E11" s="2094" t="s">
        <v>2531</v>
      </c>
      <c r="F11" s="696">
        <f ca="1">'数据-取费表'!B39</f>
        <v>1.4999999999999999E-2</v>
      </c>
      <c r="G11" s="2285"/>
      <c r="H11" s="2632"/>
      <c r="I11" s="2621" t="s">
        <v>2693</v>
      </c>
      <c r="J11" s="2412"/>
      <c r="K11" s="1281"/>
      <c r="L11" s="2094" t="s">
        <v>2531</v>
      </c>
      <c r="M11" s="2093">
        <f ca="1">'数据-取费表'!B39</f>
        <v>1.4999999999999999E-2</v>
      </c>
    </row>
    <row r="12" spans="1:37" ht="18" customHeight="1" thickBot="1">
      <c r="A12" s="2667" t="s">
        <v>2541</v>
      </c>
      <c r="B12" s="2668" t="s">
        <v>2529</v>
      </c>
      <c r="C12" s="2669"/>
      <c r="D12" s="2670"/>
      <c r="E12" s="2671"/>
      <c r="F12" s="2672"/>
      <c r="G12" s="2285"/>
      <c r="H12" s="2667" t="s">
        <v>2541</v>
      </c>
      <c r="I12" s="2668" t="s">
        <v>2529</v>
      </c>
      <c r="J12" s="2669"/>
      <c r="K12" s="2686"/>
      <c r="L12" s="2671"/>
      <c r="M12" s="2687"/>
    </row>
    <row r="13" spans="1:37" ht="18" customHeight="1" thickTop="1">
      <c r="A13" s="2663">
        <v>2</v>
      </c>
      <c r="B13" s="2664" t="s">
        <v>916</v>
      </c>
      <c r="C13" s="692">
        <f ca="1">ROUND(C29*F13,0)</f>
        <v>0</v>
      </c>
      <c r="D13" s="2665" t="s">
        <v>917</v>
      </c>
      <c r="E13" s="2665" t="s">
        <v>918</v>
      </c>
      <c r="F13" s="2666">
        <f ca="1">INDIRECT("'数据-取费表'!y"&amp;$G$1)</f>
        <v>0</v>
      </c>
      <c r="G13" s="2285"/>
      <c r="H13" s="2663">
        <v>2</v>
      </c>
      <c r="I13" s="2664" t="s">
        <v>916</v>
      </c>
      <c r="J13" s="2618">
        <f ca="1">ROUND(J14*J15,0)</f>
        <v>0</v>
      </c>
      <c r="K13" s="2673" t="s">
        <v>917</v>
      </c>
      <c r="L13" s="2684"/>
      <c r="M13" s="2685"/>
    </row>
    <row r="14" spans="1:37" ht="18" customHeight="1">
      <c r="A14" s="2435" t="s">
        <v>2369</v>
      </c>
      <c r="B14" s="684" t="s">
        <v>355</v>
      </c>
      <c r="C14" s="702">
        <f ca="1">ROUND(INDIRECT("'数据-取费表'!l"&amp;$G$1)*F43+'数据-取费表'!L14*INDIRECT("'数据-取费表'!S"&amp;$G$1),0)</f>
        <v>0</v>
      </c>
      <c r="D14" s="2716" t="s">
        <v>919</v>
      </c>
      <c r="E14" s="2715"/>
      <c r="F14" s="703"/>
      <c r="G14" s="2285"/>
      <c r="H14" s="2435" t="s">
        <v>2372</v>
      </c>
      <c r="I14" s="684" t="s">
        <v>920</v>
      </c>
      <c r="J14" s="313">
        <f ca="1">C29</f>
        <v>0</v>
      </c>
      <c r="K14" s="303"/>
      <c r="L14" s="700"/>
      <c r="M14" s="701"/>
    </row>
    <row r="15" spans="1:37" s="706" customFormat="1" ht="18" customHeight="1" thickBot="1">
      <c r="A15" s="2435" t="s">
        <v>2605</v>
      </c>
      <c r="B15" s="684" t="s">
        <v>356</v>
      </c>
      <c r="C15" s="313">
        <f ca="1">ROUND(C14*F15,0)</f>
        <v>0</v>
      </c>
      <c r="D15" s="704" t="s">
        <v>921</v>
      </c>
      <c r="E15" s="704" t="s">
        <v>361</v>
      </c>
      <c r="F15" s="705">
        <f>'数据-取费表'!B33</f>
        <v>0.03</v>
      </c>
      <c r="G15" s="2286"/>
      <c r="H15" s="2675" t="s">
        <v>2379</v>
      </c>
      <c r="I15" s="2676" t="s">
        <v>918</v>
      </c>
      <c r="J15" s="2687">
        <f ca="1">INDIRECT("'数据-取费表'!ad"&amp;$G$1)</f>
        <v>0</v>
      </c>
      <c r="K15" s="2688"/>
      <c r="L15" s="2689"/>
      <c r="M15" s="269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5" t="s">
        <v>2606</v>
      </c>
      <c r="B16" s="684" t="s">
        <v>357</v>
      </c>
      <c r="C16" s="313">
        <f ca="1">ROUND(INDIRECT("'数据-取费表'!l"&amp;$G$1)*F43*F16,0)</f>
        <v>0</v>
      </c>
      <c r="D16" s="684" t="s">
        <v>921</v>
      </c>
      <c r="E16" s="684" t="s">
        <v>361</v>
      </c>
      <c r="F16" s="707">
        <f ca="1">IF(INDIRECT("'数据-取费表'!c"&amp;$G$1)="住宅",'数据-取费表'!B34,0)</f>
        <v>0</v>
      </c>
      <c r="G16" s="2285"/>
      <c r="H16" s="2663" t="s">
        <v>2337</v>
      </c>
      <c r="I16" s="2664" t="s">
        <v>923</v>
      </c>
      <c r="J16" s="692">
        <f ca="1">ROUND(J17+J22+J23+J24,0)</f>
        <v>0</v>
      </c>
      <c r="K16" s="2673" t="s">
        <v>924</v>
      </c>
      <c r="L16" s="2674"/>
      <c r="M16" s="2625"/>
    </row>
    <row r="17" spans="1:37" s="706" customFormat="1" ht="18" customHeight="1">
      <c r="A17" s="2435" t="s">
        <v>2607</v>
      </c>
      <c r="B17" s="684" t="s">
        <v>358</v>
      </c>
      <c r="C17" s="313">
        <f ca="1">ROUND(F17*(F43+INDIRECT("'数据-取费表'!S"&amp;$G$1)),0)</f>
        <v>0</v>
      </c>
      <c r="D17" s="684" t="s">
        <v>925</v>
      </c>
      <c r="E17" s="684" t="s">
        <v>926</v>
      </c>
      <c r="F17" s="315">
        <f>'数据-取费表'!B35</f>
        <v>200</v>
      </c>
      <c r="G17" s="2286"/>
      <c r="H17" s="2435" t="s">
        <v>2372</v>
      </c>
      <c r="I17" s="684" t="s">
        <v>359</v>
      </c>
      <c r="J17" s="313">
        <f ca="1">ROUND(IF(项目基本情况!B11="自然人",J5*M17,J18+J19+J20),0)</f>
        <v>0</v>
      </c>
      <c r="K17" s="2716" t="s">
        <v>927</v>
      </c>
      <c r="L17" s="2717" t="s">
        <v>928</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5" t="s">
        <v>2608</v>
      </c>
      <c r="B18" s="684" t="s">
        <v>360</v>
      </c>
      <c r="C18" s="313">
        <f ca="1">ROUND(C14*F18,0)</f>
        <v>0</v>
      </c>
      <c r="D18" s="684" t="s">
        <v>921</v>
      </c>
      <c r="E18" s="684" t="s">
        <v>361</v>
      </c>
      <c r="F18" s="707">
        <f>'数据-取费表'!B36</f>
        <v>1.4999999999999999E-2</v>
      </c>
      <c r="G18" s="2286"/>
      <c r="H18" s="2435" t="s">
        <v>2369</v>
      </c>
      <c r="I18" s="684" t="s">
        <v>929</v>
      </c>
      <c r="J18" s="313">
        <f ca="1">ROUND(J5*M18/(1+'数据-取费表'!C42),0)</f>
        <v>0</v>
      </c>
      <c r="K18" s="2717" t="s">
        <v>930</v>
      </c>
      <c r="L18" s="684" t="s">
        <v>361</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5" t="s">
        <v>2372</v>
      </c>
      <c r="B19" s="684" t="s">
        <v>362</v>
      </c>
      <c r="C19" s="313">
        <f ca="1">SUM(C14:C18)</f>
        <v>0</v>
      </c>
      <c r="D19" s="471" t="s">
        <v>931</v>
      </c>
      <c r="E19" s="2719"/>
      <c r="F19" s="315"/>
      <c r="G19" s="2285"/>
      <c r="H19" s="2435" t="s">
        <v>2605</v>
      </c>
      <c r="I19" s="684" t="s">
        <v>932</v>
      </c>
      <c r="J19" s="313">
        <f ca="1">IF(K19="按租金收入计税",ROUND(J5*M19,0),ROUND(C29*M19*0.7,0))</f>
        <v>0</v>
      </c>
      <c r="K19" s="1301" t="s">
        <v>2412</v>
      </c>
      <c r="L19" s="684" t="s">
        <v>361</v>
      </c>
      <c r="M19" s="707">
        <f>IF(K19="按租金收入计税",'数据-取费表'!B51,'数据-取费表'!B50)</f>
        <v>1.2E-2</v>
      </c>
    </row>
    <row r="20" spans="1:37" s="706" customFormat="1" ht="18" customHeight="1">
      <c r="A20" s="2435" t="s">
        <v>2609</v>
      </c>
      <c r="B20" s="684" t="s">
        <v>363</v>
      </c>
      <c r="C20" s="313">
        <f ca="1">ROUND(C19*F20,0)</f>
        <v>0</v>
      </c>
      <c r="D20" s="709" t="s">
        <v>933</v>
      </c>
      <c r="E20" s="684" t="s">
        <v>361</v>
      </c>
      <c r="F20" s="707">
        <f>'数据-取费表'!B37</f>
        <v>0.02</v>
      </c>
      <c r="G20" s="2286"/>
      <c r="H20" s="2435" t="s">
        <v>2606</v>
      </c>
      <c r="I20" s="496" t="s">
        <v>934</v>
      </c>
      <c r="J20" s="314">
        <f ca="1">ROUND(M20*M21,0)</f>
        <v>0</v>
      </c>
      <c r="K20" s="710" t="s">
        <v>935</v>
      </c>
      <c r="L20" s="684" t="s">
        <v>936</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5" t="s">
        <v>2610</v>
      </c>
      <c r="B21" s="684" t="s">
        <v>937</v>
      </c>
      <c r="C21" s="313" t="s">
        <v>23</v>
      </c>
      <c r="D21" s="709" t="s">
        <v>938</v>
      </c>
      <c r="E21" s="684" t="s">
        <v>939</v>
      </c>
      <c r="F21" s="707">
        <f>'数据-取费表'!B38</f>
        <v>0.02</v>
      </c>
      <c r="G21" s="2286"/>
      <c r="H21" s="712"/>
      <c r="I21" s="693"/>
      <c r="J21" s="318"/>
      <c r="K21" s="713"/>
      <c r="L21" s="684" t="s">
        <v>940</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5" t="s">
        <v>2611</v>
      </c>
      <c r="B22" s="684" t="s">
        <v>941</v>
      </c>
      <c r="C22" s="313"/>
      <c r="D22" s="2698" t="str">
        <f>IF(F23&lt;=1,"单利计息。","复利计息。")&amp;"建造成本、管理费用、销售费用产生的利息。"</f>
        <v>复利计息。建造成本、管理费用、销售费用产生的利息。</v>
      </c>
      <c r="E22" s="2719"/>
      <c r="F22" s="315"/>
      <c r="G22" s="2285"/>
      <c r="H22" s="2435" t="s">
        <v>2379</v>
      </c>
      <c r="I22" s="684" t="s">
        <v>942</v>
      </c>
      <c r="J22" s="313">
        <f ca="1">ROUND(J14*M22,0)</f>
        <v>0</v>
      </c>
      <c r="K22" s="2717" t="s">
        <v>943</v>
      </c>
      <c r="L22" s="684" t="s">
        <v>361</v>
      </c>
      <c r="M22" s="714">
        <f ca="1">INDIRECT("'数据-取费表'!Ak"&amp;$G$1)</f>
        <v>0</v>
      </c>
    </row>
    <row r="23" spans="1:37" s="706" customFormat="1" ht="18" customHeight="1">
      <c r="A23" s="2435" t="s">
        <v>2369</v>
      </c>
      <c r="B23" s="684" t="s">
        <v>2525</v>
      </c>
      <c r="C23" s="313">
        <f ca="1">IF('数据-取费表'!B22&lt;=1,ROUND(C19*F24*F23/2,0)+ROUND(C20*F24*F23/2,0),ROUND(C19*(POWER((1+F24),F23/2)-1),0)+ROUND(C20*(POWER((1+F24),F23/2)-1),0))</f>
        <v>0</v>
      </c>
      <c r="D23" s="2702" t="str">
        <f>IF(F23&lt;=1,"(建造成本+管理费用)×利率×(建设周期÷2)","(建造成本+管理费用)×((1+利率)^(建设周期÷2)-1)")</f>
        <v>(建造成本+管理费用)×((1+利率)^(建设周期÷2)-1)</v>
      </c>
      <c r="E23" s="684" t="s">
        <v>944</v>
      </c>
      <c r="F23" s="711">
        <f>'数据-取费表'!B20</f>
        <v>2</v>
      </c>
      <c r="G23" s="2286"/>
      <c r="H23" s="2435" t="s">
        <v>2610</v>
      </c>
      <c r="I23" s="684" t="s">
        <v>364</v>
      </c>
      <c r="J23" s="313">
        <f ca="1">ROUND(J13*M23,0)</f>
        <v>0</v>
      </c>
      <c r="K23" s="2717" t="s">
        <v>365</v>
      </c>
      <c r="L23" s="684" t="s">
        <v>361</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5" t="s">
        <v>2375</v>
      </c>
      <c r="B24" s="684" t="s">
        <v>946</v>
      </c>
      <c r="C24" s="313">
        <f ca="1">ROUND(IF('数据-取费表'!B22&lt;=1,F21*F24*F23/2,F21*(POWER((1+F24),F23/2)-1)),4)</f>
        <v>1E-3</v>
      </c>
      <c r="D24" s="2702" t="str">
        <f>IF(F23&lt;=1,"销售费用×利率×(建设周期÷2)","销售费用×((1+利率)^(建设周期÷2)-1)")</f>
        <v>销售费用×((1+利率)^(建设周期÷2)-1)</v>
      </c>
      <c r="E24" s="684" t="s">
        <v>947</v>
      </c>
      <c r="F24" s="717">
        <f ca="1">'数据-取费表'!B40</f>
        <v>4.7500000000000001E-2</v>
      </c>
      <c r="G24" s="2286"/>
      <c r="H24" s="2675" t="s">
        <v>2611</v>
      </c>
      <c r="I24" s="2676" t="s">
        <v>363</v>
      </c>
      <c r="J24" s="2677">
        <f ca="1">ROUND(J5*M24,0)</f>
        <v>0</v>
      </c>
      <c r="K24" s="2678" t="s">
        <v>367</v>
      </c>
      <c r="L24" s="2676" t="s">
        <v>361</v>
      </c>
      <c r="M24" s="2672">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5" t="s">
        <v>2376</v>
      </c>
      <c r="B25" s="684" t="s">
        <v>368</v>
      </c>
      <c r="C25" s="313"/>
      <c r="D25" s="471" t="s">
        <v>949</v>
      </c>
      <c r="E25" s="2719"/>
      <c r="F25" s="315"/>
      <c r="G25" s="2285"/>
      <c r="H25" s="2663" t="s">
        <v>2352</v>
      </c>
      <c r="I25" s="2680" t="s">
        <v>373</v>
      </c>
      <c r="J25" s="692">
        <f ca="1">J5-J16</f>
        <v>0</v>
      </c>
      <c r="K25" s="2681" t="s">
        <v>374</v>
      </c>
      <c r="L25" s="2682"/>
      <c r="M25" s="2683"/>
    </row>
    <row r="26" spans="1:37" ht="18" customHeight="1">
      <c r="A26" s="2435" t="s">
        <v>2369</v>
      </c>
      <c r="B26" s="684" t="s">
        <v>2526</v>
      </c>
      <c r="C26" s="313">
        <f ca="1">ROUND((C19+C20)*F26,0)</f>
        <v>0</v>
      </c>
      <c r="D26" s="709" t="s">
        <v>952</v>
      </c>
      <c r="E26" s="695" t="s">
        <v>953</v>
      </c>
      <c r="F26" s="694">
        <f ca="1">INDIRECT("'数据-取费表'!q"&amp;$G$1)</f>
        <v>0</v>
      </c>
      <c r="G26" s="2285"/>
      <c r="H26" s="681" t="s">
        <v>2355</v>
      </c>
      <c r="I26" s="682" t="s">
        <v>954</v>
      </c>
      <c r="J26" s="683">
        <f ca="1">IF(J5&lt;&gt;0,ROUND(J25*(1-((1+M28)/(1+M26))^M27)/(M26-M28),0),0)</f>
        <v>0</v>
      </c>
      <c r="K26" s="710" t="s">
        <v>369</v>
      </c>
      <c r="L26" s="684" t="s">
        <v>370</v>
      </c>
      <c r="M26" s="694">
        <f ca="1">INDIRECT("'数据-取费表'!I"&amp;$G$1)</f>
        <v>0</v>
      </c>
    </row>
    <row r="27" spans="1:37" ht="18" customHeight="1">
      <c r="A27" s="2435" t="s">
        <v>2375</v>
      </c>
      <c r="B27" s="684" t="s">
        <v>371</v>
      </c>
      <c r="C27" s="313">
        <f ca="1">ROUND(F21*F26,4)</f>
        <v>0</v>
      </c>
      <c r="D27" s="709" t="s">
        <v>956</v>
      </c>
      <c r="E27" s="704"/>
      <c r="F27" s="705"/>
      <c r="G27" s="2285"/>
      <c r="H27" s="686"/>
      <c r="I27" s="687"/>
      <c r="J27" s="688"/>
      <c r="K27" s="718" t="s">
        <v>957</v>
      </c>
      <c r="L27" s="684" t="s">
        <v>377</v>
      </c>
      <c r="M27" s="719">
        <f ca="1">INDIRECT("'数据-取费表'!ag"&amp;$G$1)</f>
        <v>0</v>
      </c>
    </row>
    <row r="28" spans="1:37" s="706" customFormat="1" ht="18" customHeight="1">
      <c r="A28" s="2435" t="s">
        <v>2377</v>
      </c>
      <c r="B28" s="684" t="s">
        <v>372</v>
      </c>
      <c r="C28" s="313">
        <f>ROUND(F28/(1+'数据-取费表'!C42),4)</f>
        <v>5.33E-2</v>
      </c>
      <c r="D28" s="709" t="s">
        <v>963</v>
      </c>
      <c r="E28" s="684" t="s">
        <v>361</v>
      </c>
      <c r="F28" s="707">
        <f>'数据-取费表'!B41</f>
        <v>5.6000000000000001E-2</v>
      </c>
      <c r="G28" s="2286"/>
      <c r="H28" s="690"/>
      <c r="I28" s="691"/>
      <c r="J28" s="692"/>
      <c r="K28" s="713"/>
      <c r="L28" s="684" t="s">
        <v>378</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5" t="s">
        <v>2378</v>
      </c>
      <c r="B29" s="2676" t="s">
        <v>965</v>
      </c>
      <c r="C29" s="2677">
        <f ca="1">ROUND((C19+C20+C23+C26)/(1-F21-C24-C27-C28),0)</f>
        <v>0</v>
      </c>
      <c r="D29" s="2678"/>
      <c r="E29" s="2676"/>
      <c r="F29" s="2679"/>
      <c r="G29" s="2286"/>
      <c r="H29" s="720" t="s">
        <v>2362</v>
      </c>
      <c r="I29" s="721" t="s">
        <v>958</v>
      </c>
      <c r="J29" s="722">
        <f ca="1">ROUND(J26/(1+F40)^F41,0)</f>
        <v>0</v>
      </c>
      <c r="K29" s="723" t="s">
        <v>959</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3" t="s">
        <v>2337</v>
      </c>
      <c r="B30" s="2664" t="s">
        <v>923</v>
      </c>
      <c r="C30" s="692">
        <f ca="1">ROUND(C31+C36+C37+C38,0)</f>
        <v>0</v>
      </c>
      <c r="D30" s="2673" t="s">
        <v>924</v>
      </c>
      <c r="E30" s="2674"/>
      <c r="F30" s="2625"/>
      <c r="G30" s="2285"/>
      <c r="H30" s="1278"/>
      <c r="I30" s="1279"/>
      <c r="J30" s="1280"/>
      <c r="K30" s="1281"/>
      <c r="L30" s="1282"/>
      <c r="M30" s="1283"/>
    </row>
    <row r="31" spans="1:37" ht="18" customHeight="1">
      <c r="A31" s="2435" t="s">
        <v>2372</v>
      </c>
      <c r="B31" s="684" t="s">
        <v>359</v>
      </c>
      <c r="C31" s="313">
        <f ca="1">ROUND(IF(项目基本情况!B11="自然人",C5*F31,C32+C33+C34),0)</f>
        <v>0</v>
      </c>
      <c r="D31" s="2716" t="s">
        <v>927</v>
      </c>
      <c r="E31" s="2717" t="s">
        <v>966</v>
      </c>
      <c r="F31" s="708" t="str">
        <f ca="1">IF(项目基本情况!B11="企业","",IF(INDIRECT("'数据-取费表'!c"&amp;$G$1)="住宅",5%,IF(F6*F7*F8/12/(1+'数据-取费表'!C42)&gt;20000,12%,7%)))</f>
        <v/>
      </c>
      <c r="G31" s="2285"/>
      <c r="H31" s="1278"/>
      <c r="I31" s="1279"/>
      <c r="J31" s="1280"/>
      <c r="K31" s="1281"/>
      <c r="L31" s="1282"/>
      <c r="M31" s="1283"/>
    </row>
    <row r="32" spans="1:37" ht="18" customHeight="1">
      <c r="A32" s="2435" t="s">
        <v>2369</v>
      </c>
      <c r="B32" s="684" t="s">
        <v>929</v>
      </c>
      <c r="C32" s="313">
        <f ca="1">IF(项目基本情况!B11="自然人","——",ROUND(C5*F32/(1+'数据-取费表'!C42),0))</f>
        <v>0</v>
      </c>
      <c r="D32" s="2717" t="s">
        <v>930</v>
      </c>
      <c r="E32" s="684" t="s">
        <v>361</v>
      </c>
      <c r="F32" s="717">
        <f>'数据-取费表'!B41</f>
        <v>5.6000000000000001E-2</v>
      </c>
      <c r="G32" s="2285"/>
      <c r="H32" s="1284"/>
      <c r="I32" s="1285"/>
      <c r="J32" s="1286"/>
      <c r="K32" s="1287"/>
      <c r="L32" s="1288"/>
      <c r="M32" s="1289"/>
    </row>
    <row r="33" spans="1:18" ht="18" customHeight="1">
      <c r="A33" s="2435" t="s">
        <v>2605</v>
      </c>
      <c r="B33" s="684" t="s">
        <v>932</v>
      </c>
      <c r="C33" s="313">
        <f ca="1">IF(项目基本情况!B11="自然人","——",IF(D33="按租金收入计税",ROUND(C5*F33,0),IF(D33="按房产原值计税",ROUND(C29*F33*0.7,0),INDIRECT("'数据-取费表'!Aj"&amp;$G$1))))</f>
        <v>0</v>
      </c>
      <c r="D33" s="1301" t="s">
        <v>2412</v>
      </c>
      <c r="E33" s="684" t="s">
        <v>361</v>
      </c>
      <c r="F33" s="707">
        <f>IF(D33="按票据","——",IF(D33="按租金收入计税",'数据-取费表'!B51,'数据-取费表'!B50))</f>
        <v>1.2E-2</v>
      </c>
      <c r="G33" s="2285"/>
      <c r="H33" s="1290"/>
      <c r="I33" s="2881"/>
      <c r="J33" s="2882"/>
      <c r="K33" s="1291"/>
      <c r="L33" s="1290"/>
      <c r="M33" s="1290"/>
    </row>
    <row r="34" spans="1:18" ht="18" customHeight="1">
      <c r="A34" s="2619" t="s">
        <v>2606</v>
      </c>
      <c r="B34" s="496" t="s">
        <v>934</v>
      </c>
      <c r="C34" s="314">
        <f ca="1">IF(项目基本情况!B11="自然人","——",ROUND(F34*F35,))</f>
        <v>0</v>
      </c>
      <c r="D34" s="710" t="s">
        <v>935</v>
      </c>
      <c r="E34" s="684" t="s">
        <v>936</v>
      </c>
      <c r="F34" s="711">
        <f>'数据-取费表'!B52</f>
        <v>3</v>
      </c>
      <c r="G34" s="2285"/>
      <c r="H34" s="1278"/>
      <c r="I34" s="2881"/>
      <c r="J34" s="2882"/>
      <c r="K34" s="1292"/>
      <c r="L34" s="1293"/>
      <c r="M34" s="1293"/>
    </row>
    <row r="35" spans="1:18" ht="18" customHeight="1">
      <c r="A35" s="2693"/>
      <c r="B35" s="2691"/>
      <c r="C35" s="318"/>
      <c r="D35" s="713"/>
      <c r="E35" s="684" t="s">
        <v>940</v>
      </c>
      <c r="F35" s="685">
        <f ca="1">INDIRECT("'数据-取费表'!r"&amp;$G$1)</f>
        <v>0</v>
      </c>
      <c r="G35" s="2285"/>
      <c r="H35" s="1278"/>
      <c r="I35" s="2881"/>
      <c r="J35" s="2882"/>
      <c r="K35" s="1291"/>
      <c r="L35" s="1290"/>
      <c r="M35" s="1290"/>
    </row>
    <row r="36" spans="1:18" ht="18" customHeight="1">
      <c r="A36" s="2692" t="s">
        <v>2379</v>
      </c>
      <c r="B36" s="684" t="s">
        <v>942</v>
      </c>
      <c r="C36" s="313">
        <f ca="1">ROUND(C29*F36,0)</f>
        <v>0</v>
      </c>
      <c r="D36" s="2717" t="s">
        <v>972</v>
      </c>
      <c r="E36" s="684" t="s">
        <v>361</v>
      </c>
      <c r="F36" s="714">
        <f ca="1">INDIRECT("'数据-取费表'!Ak"&amp;$G$1)</f>
        <v>0</v>
      </c>
      <c r="G36" s="2285"/>
      <c r="H36" s="1290"/>
      <c r="I36" s="2881"/>
      <c r="J36" s="2882"/>
      <c r="K36" s="1294"/>
      <c r="L36" s="1290"/>
      <c r="M36" s="1290"/>
    </row>
    <row r="37" spans="1:18" ht="18" customHeight="1">
      <c r="A37" s="2435" t="s">
        <v>2610</v>
      </c>
      <c r="B37" s="684" t="s">
        <v>364</v>
      </c>
      <c r="C37" s="313">
        <f ca="1">ROUND(C13*F37,0)</f>
        <v>0</v>
      </c>
      <c r="D37" s="2717" t="s">
        <v>365</v>
      </c>
      <c r="E37" s="684" t="s">
        <v>361</v>
      </c>
      <c r="F37" s="716">
        <f ca="1">INDIRECT("'数据-取费表'!Al"&amp;$G$1)</f>
        <v>0</v>
      </c>
      <c r="G37" s="2285"/>
      <c r="H37" s="1290"/>
      <c r="I37" s="2881"/>
      <c r="J37" s="2882"/>
      <c r="K37" s="1294"/>
      <c r="L37" s="1290"/>
      <c r="M37" s="1290"/>
    </row>
    <row r="38" spans="1:18" ht="18" customHeight="1" thickBot="1">
      <c r="A38" s="2675" t="s">
        <v>2611</v>
      </c>
      <c r="B38" s="2676" t="s">
        <v>363</v>
      </c>
      <c r="C38" s="2677">
        <f ca="1">ROUND(C5*F38,1)</f>
        <v>0</v>
      </c>
      <c r="D38" s="2678" t="s">
        <v>367</v>
      </c>
      <c r="E38" s="2676" t="s">
        <v>361</v>
      </c>
      <c r="F38" s="2672">
        <f ca="1">INDIRECT("'数据-取费表'!Am"&amp;$G$1)</f>
        <v>0</v>
      </c>
      <c r="G38" s="2285"/>
      <c r="H38" s="1290"/>
      <c r="I38" s="2881"/>
      <c r="J38" s="2882"/>
      <c r="K38" s="1295"/>
      <c r="L38" s="1290"/>
      <c r="M38" s="1290"/>
    </row>
    <row r="39" spans="1:18" ht="24.6" customHeight="1" thickTop="1">
      <c r="A39" s="2663" t="s">
        <v>2352</v>
      </c>
      <c r="B39" s="2680" t="s">
        <v>373</v>
      </c>
      <c r="C39" s="692">
        <f ca="1">C5-C30</f>
        <v>0</v>
      </c>
      <c r="D39" s="2681" t="s">
        <v>374</v>
      </c>
      <c r="E39" s="2682"/>
      <c r="F39" s="2683"/>
      <c r="G39" s="2285"/>
      <c r="H39" s="1290"/>
      <c r="I39" s="2881"/>
      <c r="J39" s="2882"/>
      <c r="K39" s="1295"/>
      <c r="L39" s="1290"/>
      <c r="M39" s="1290"/>
    </row>
    <row r="40" spans="1:18" ht="18" customHeight="1">
      <c r="A40" s="681" t="s">
        <v>2355</v>
      </c>
      <c r="B40" s="682" t="s">
        <v>375</v>
      </c>
      <c r="C40" s="683" t="e">
        <f ca="1">ROUND(C39*(1-((1+F42)/(1+F40))^F41)/(F40-F42),0)</f>
        <v>#DIV/0!</v>
      </c>
      <c r="D40" s="710" t="s">
        <v>369</v>
      </c>
      <c r="E40" s="684" t="s">
        <v>370</v>
      </c>
      <c r="F40" s="694">
        <f ca="1">INDIRECT("'数据-取费表'!I"&amp;$G$1)</f>
        <v>0</v>
      </c>
      <c r="G40" s="2285"/>
      <c r="H40" s="1296"/>
      <c r="I40" s="2881"/>
      <c r="J40" s="2882"/>
      <c r="K40" s="1295"/>
      <c r="L40" s="1296"/>
      <c r="M40" s="1296"/>
    </row>
    <row r="41" spans="1:18" ht="18" customHeight="1">
      <c r="A41" s="686"/>
      <c r="B41" s="687"/>
      <c r="C41" s="688"/>
      <c r="D41" s="718" t="s">
        <v>376</v>
      </c>
      <c r="E41" s="684" t="s">
        <v>377</v>
      </c>
      <c r="F41" s="719">
        <f ca="1">IF(INDIRECT("'数据-取费表'!af"&amp;$G$1)=0,INDIRECT("'数据-取费表'!ae"&amp;$G$1),INDIRECT("'数据-取费表'!af"&amp;$G$1))</f>
        <v>0</v>
      </c>
      <c r="G41" s="2285"/>
      <c r="H41" s="1192"/>
      <c r="I41" s="2881"/>
      <c r="J41" s="2882"/>
      <c r="K41" s="1294"/>
      <c r="L41" s="1192"/>
      <c r="M41" s="1192"/>
    </row>
    <row r="42" spans="1:18" ht="18" customHeight="1">
      <c r="A42" s="690"/>
      <c r="B42" s="691"/>
      <c r="C42" s="692"/>
      <c r="D42" s="713"/>
      <c r="E42" s="684" t="s">
        <v>378</v>
      </c>
      <c r="F42" s="694">
        <f ca="1">INDIRECT("'数据-取费表'!v"&amp;$G$1)</f>
        <v>0</v>
      </c>
      <c r="G42" s="2285"/>
      <c r="H42" s="1192"/>
      <c r="I42" s="2881"/>
      <c r="J42" s="2882"/>
      <c r="K42" s="1294"/>
      <c r="L42" s="1192"/>
      <c r="M42" s="1192"/>
    </row>
    <row r="43" spans="1:18" ht="18" customHeight="1" thickBot="1">
      <c r="A43" s="720" t="s">
        <v>2362</v>
      </c>
      <c r="B43" s="721" t="s">
        <v>379</v>
      </c>
      <c r="C43" s="722" t="e">
        <f ca="1">ROUND(C40/F43,0)</f>
        <v>#DIV/0!</v>
      </c>
      <c r="D43" s="723" t="s">
        <v>380</v>
      </c>
      <c r="E43" s="724" t="s">
        <v>381</v>
      </c>
      <c r="F43" s="725">
        <f ca="1">INDIRECT("'数据-取费表'!k"&amp;$G$1)</f>
        <v>0</v>
      </c>
      <c r="G43" s="2285"/>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4" t="e">
        <f ca="1">C68-C40</f>
        <v>#DIV/0!</v>
      </c>
      <c r="D45" s="2725" t="s">
        <v>2621</v>
      </c>
      <c r="E45" s="1433"/>
      <c r="F45" s="1433"/>
      <c r="O45" s="2588" t="s">
        <v>2485</v>
      </c>
      <c r="P45" s="1296"/>
      <c r="Q45" s="1296"/>
      <c r="R45" s="1296"/>
    </row>
    <row r="46" spans="1:18" s="1455" customFormat="1" ht="21" thickBot="1">
      <c r="A46" s="2393" t="s">
        <v>2324</v>
      </c>
      <c r="B46" s="2394"/>
      <c r="C46" s="2722" t="e">
        <f ca="1">ROUND(C45/10000,0)</f>
        <v>#DIV/0!</v>
      </c>
      <c r="D46" s="2723" t="str">
        <f>C2</f>
        <v>万元</v>
      </c>
      <c r="I46" s="2575" t="s">
        <v>2420</v>
      </c>
      <c r="J46" s="2576"/>
      <c r="K46" s="2577"/>
      <c r="L46" s="2579" t="e">
        <f ca="1">IF(M47="住宅",0,IF(L48&gt;J51,L60,J60))</f>
        <v>#DIV/0!</v>
      </c>
      <c r="O46" s="2591" t="s">
        <v>2463</v>
      </c>
      <c r="P46" s="2592" t="s">
        <v>2464</v>
      </c>
      <c r="Q46" s="2593" t="s">
        <v>2462</v>
      </c>
      <c r="R46" s="2593" t="s">
        <v>2465</v>
      </c>
    </row>
    <row r="47" spans="1:18" s="1455" customFormat="1" ht="15.75" thickBot="1">
      <c r="A47" s="2395" t="s">
        <v>907</v>
      </c>
      <c r="B47" s="2431" t="s">
        <v>908</v>
      </c>
      <c r="C47" s="2431" t="s">
        <v>909</v>
      </c>
      <c r="D47" s="2431" t="s">
        <v>910</v>
      </c>
      <c r="E47" s="2534" t="s">
        <v>911</v>
      </c>
      <c r="F47" s="2535"/>
      <c r="G47" s="1457"/>
      <c r="I47" s="2550" t="s">
        <v>2413</v>
      </c>
      <c r="J47" s="2551"/>
      <c r="K47" s="2560" t="s">
        <v>2436</v>
      </c>
      <c r="L47" s="2561">
        <f ca="1">INDIRECT("'数据-取费表'!d"&amp;$G$1)</f>
        <v>0</v>
      </c>
      <c r="M47" s="2581" t="str">
        <f>IF(ISNUMBER(FIND("住宅",C1)),"住宅","非住宅")</f>
        <v>非住宅</v>
      </c>
      <c r="O47" s="2584" t="s">
        <v>2448</v>
      </c>
      <c r="P47" s="2594" t="s">
        <v>2466</v>
      </c>
      <c r="Q47" s="2585" t="e">
        <f ca="1">C40+J29</f>
        <v>#DIV/0!</v>
      </c>
      <c r="R47" s="2585" t="s">
        <v>2467</v>
      </c>
    </row>
    <row r="48" spans="1:18" s="1455" customFormat="1" ht="47.25" thickBot="1">
      <c r="A48" s="2708" t="s">
        <v>2616</v>
      </c>
      <c r="B48" s="682" t="s">
        <v>2331</v>
      </c>
      <c r="C48" s="2718">
        <f ca="1">C49+C53+C55</f>
        <v>0</v>
      </c>
      <c r="D48" s="2712"/>
      <c r="E48" s="2713"/>
      <c r="F48" s="2415"/>
      <c r="G48" s="1457"/>
      <c r="H48" s="1458"/>
      <c r="I48" s="2541" t="s">
        <v>2414</v>
      </c>
      <c r="J48" s="2552"/>
      <c r="K48" s="2562" t="s">
        <v>678</v>
      </c>
      <c r="L48" s="2165">
        <f ca="1">INDIRECT("'数据-取费表'!f"&amp;$G$1)</f>
        <v>0</v>
      </c>
      <c r="O48" s="2584" t="s">
        <v>2449</v>
      </c>
      <c r="P48" s="2594" t="s">
        <v>2468</v>
      </c>
      <c r="Q48" s="2585" t="e">
        <f ca="1">J60</f>
        <v>#DIV/0!</v>
      </c>
      <c r="R48" s="2585" t="s">
        <v>2476</v>
      </c>
    </row>
    <row r="49" spans="1:18" s="1455" customFormat="1" ht="15.75" thickBot="1">
      <c r="A49" s="2428" t="s">
        <v>2617</v>
      </c>
      <c r="B49" s="2711" t="s">
        <v>2619</v>
      </c>
      <c r="C49" s="2720">
        <f ca="1">ROUND(F49*F51*F50*(1-F52),0)</f>
        <v>0</v>
      </c>
      <c r="D49" s="2530" t="s">
        <v>2332</v>
      </c>
      <c r="E49" s="2533" t="s">
        <v>2325</v>
      </c>
      <c r="F49" s="2536"/>
      <c r="G49" s="1459"/>
      <c r="H49" s="1458"/>
      <c r="I49" s="2541" t="s">
        <v>2434</v>
      </c>
      <c r="J49" s="2553"/>
      <c r="K49" s="2563" t="s">
        <v>2439</v>
      </c>
      <c r="L49" s="2564"/>
      <c r="O49" s="2586" t="s">
        <v>2450</v>
      </c>
      <c r="P49" s="2594" t="s">
        <v>2469</v>
      </c>
      <c r="Q49" s="2585">
        <f ca="1">C29</f>
        <v>0</v>
      </c>
      <c r="R49" s="2585" t="s">
        <v>2467</v>
      </c>
    </row>
    <row r="50" spans="1:18" s="1455" customFormat="1" ht="15.75" thickBot="1">
      <c r="A50" s="2429"/>
      <c r="B50" s="2432"/>
      <c r="C50" s="2433"/>
      <c r="D50" s="2402"/>
      <c r="E50" s="2531" t="s">
        <v>913</v>
      </c>
      <c r="F50" s="2532">
        <f ca="1">F7</f>
        <v>0</v>
      </c>
      <c r="H50" s="1458"/>
      <c r="I50" s="2541" t="s">
        <v>2416</v>
      </c>
      <c r="J50" s="2554">
        <f>SUMPRODUCT((I63:I65=J47)*(J62:L62=J48)*(J63:L65))</f>
        <v>0</v>
      </c>
      <c r="K50" s="2563" t="s">
        <v>2440</v>
      </c>
      <c r="L50" s="2564"/>
      <c r="M50" s="2558"/>
      <c r="O50" s="2586" t="s">
        <v>2451</v>
      </c>
      <c r="P50" s="2594" t="s">
        <v>2477</v>
      </c>
      <c r="Q50" s="2587" t="e">
        <f ca="1">J58</f>
        <v>#DIV/0!</v>
      </c>
      <c r="R50" s="2585"/>
    </row>
    <row r="51" spans="1:18" s="1455" customFormat="1" ht="15.75" thickBot="1">
      <c r="A51" s="2430"/>
      <c r="B51" s="2432"/>
      <c r="C51" s="2433"/>
      <c r="D51" s="2402"/>
      <c r="E51" s="2434" t="s">
        <v>914</v>
      </c>
      <c r="F51" s="685">
        <f ca="1">F8</f>
        <v>0</v>
      </c>
      <c r="I51" s="2555" t="s">
        <v>2421</v>
      </c>
      <c r="J51" s="2556">
        <f>IF(J49="",J50,J49+J50-YEAR('数据-取费表'!B2))</f>
        <v>0</v>
      </c>
      <c r="K51" s="2565" t="s">
        <v>2441</v>
      </c>
      <c r="L51" s="2578">
        <f ca="1">ROUND(-PV(INDIRECT("'数据-取费表'!h"&amp;$G$1),L48,(C39-C13*C76),0),0)</f>
        <v>0</v>
      </c>
      <c r="M51" s="2559"/>
      <c r="O51" s="2586" t="s">
        <v>2452</v>
      </c>
      <c r="P51" s="2594" t="s">
        <v>2478</v>
      </c>
      <c r="Q51" s="2587">
        <f>J52</f>
        <v>0</v>
      </c>
      <c r="R51" s="2585"/>
    </row>
    <row r="52" spans="1:18" s="1455" customFormat="1" ht="15.75" thickBot="1">
      <c r="A52" s="2430"/>
      <c r="B52" s="2432"/>
      <c r="C52" s="2433"/>
      <c r="D52" s="2402"/>
      <c r="E52" s="2434" t="s">
        <v>915</v>
      </c>
      <c r="F52" s="2529"/>
      <c r="I52" s="2557" t="s">
        <v>2444</v>
      </c>
      <c r="J52" s="2571"/>
      <c r="K52" s="2557" t="s">
        <v>2429</v>
      </c>
      <c r="L52" s="2571"/>
      <c r="M52" s="2394"/>
      <c r="O52" s="2586" t="s">
        <v>2453</v>
      </c>
      <c r="P52" s="2594" t="s">
        <v>2470</v>
      </c>
      <c r="Q52" s="2585">
        <f ca="1">J53</f>
        <v>0</v>
      </c>
      <c r="R52" s="2585" t="s">
        <v>2471</v>
      </c>
    </row>
    <row r="53" spans="1:18" s="1455" customFormat="1" ht="43.5" thickBot="1">
      <c r="A53" s="2709" t="s">
        <v>2618</v>
      </c>
      <c r="B53" s="2710" t="s">
        <v>2528</v>
      </c>
      <c r="C53" s="698">
        <f ca="1">ROUND(IF(F53="押一",F49*F51*F50/12*F11,IF(F53="押二",F49*F51*F50/12*2*F11,IF(F53="押三",F49*F51*F50/12*3*F11,C54*F11))),0)</f>
        <v>0</v>
      </c>
      <c r="D53" s="2631" t="s">
        <v>2536</v>
      </c>
      <c r="E53" s="2094" t="s">
        <v>2530</v>
      </c>
      <c r="F53" s="2828"/>
      <c r="I53" s="2567" t="s">
        <v>2446</v>
      </c>
      <c r="J53" s="2568">
        <f ca="1">IF(M47="住宅",J51,MIN(J51,L48))</f>
        <v>0</v>
      </c>
      <c r="K53" s="35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8"/>
      <c r="O53" s="2584" t="s">
        <v>2454</v>
      </c>
      <c r="P53" s="2594" t="s">
        <v>2472</v>
      </c>
      <c r="Q53" s="2585" t="e">
        <f ca="1">Q47+Q48</f>
        <v>#DIV/0!</v>
      </c>
      <c r="R53" s="2585" t="s">
        <v>2455</v>
      </c>
    </row>
    <row r="54" spans="1:18" s="1455" customFormat="1" ht="16.5" thickBot="1">
      <c r="A54" s="2428"/>
      <c r="B54" s="2825" t="s">
        <v>2693</v>
      </c>
      <c r="C54" s="2412"/>
      <c r="D54" s="2631"/>
      <c r="E54" s="2775"/>
      <c r="F54" s="2537"/>
      <c r="I54" s="2409"/>
      <c r="J54" s="2566"/>
      <c r="K54" s="2566"/>
      <c r="L54" s="2566"/>
      <c r="M54" s="1459"/>
      <c r="O54" s="2588" t="s">
        <v>2479</v>
      </c>
      <c r="P54" s="1296"/>
      <c r="Q54" s="1296"/>
      <c r="R54" s="1296"/>
    </row>
    <row r="55" spans="1:18" s="1455" customFormat="1" ht="15.75" thickBot="1">
      <c r="A55" s="2667" t="s">
        <v>2541</v>
      </c>
      <c r="B55" s="2668" t="s">
        <v>2529</v>
      </c>
      <c r="C55" s="2669"/>
      <c r="D55" s="2631"/>
      <c r="E55" s="2714"/>
      <c r="F55" s="2537"/>
      <c r="I55" s="3318" t="s">
        <v>2422</v>
      </c>
      <c r="J55" s="3317" t="e">
        <f ca="1">ROUND(IF(J47="钢混",J57/J50,1-(1-2%)*(J50-J57)/J50),3)</f>
        <v>#DIV/0!</v>
      </c>
      <c r="K55" s="2548" t="s">
        <v>2423</v>
      </c>
      <c r="L55" s="2570"/>
      <c r="O55" s="2591" t="s">
        <v>2463</v>
      </c>
      <c r="P55" s="2592" t="s">
        <v>2464</v>
      </c>
      <c r="Q55" s="2593" t="s">
        <v>2462</v>
      </c>
      <c r="R55" s="2593" t="s">
        <v>2465</v>
      </c>
    </row>
    <row r="56" spans="1:18" s="1455" customFormat="1" ht="44.25" thickTop="1" thickBot="1">
      <c r="A56" s="2406">
        <v>2</v>
      </c>
      <c r="B56" s="2407" t="s">
        <v>916</v>
      </c>
      <c r="C56" s="608">
        <f ca="1">C13</f>
        <v>0</v>
      </c>
      <c r="D56" s="2695"/>
      <c r="E56" s="2408"/>
      <c r="F56" s="2537"/>
      <c r="I56" s="2540" t="s">
        <v>2424</v>
      </c>
      <c r="J56" s="2569"/>
      <c r="K56" s="2541" t="s">
        <v>2428</v>
      </c>
      <c r="L56" s="2165">
        <f ca="1">IF(L48&lt;J51,"——",L48-J51)</f>
        <v>0</v>
      </c>
      <c r="O56" s="2584" t="s">
        <v>2448</v>
      </c>
      <c r="P56" s="2594" t="s">
        <v>2466</v>
      </c>
      <c r="Q56" s="2585" t="e">
        <f ca="1">C40+J29</f>
        <v>#DIV/0!</v>
      </c>
      <c r="R56" s="2585" t="s">
        <v>2467</v>
      </c>
    </row>
    <row r="57" spans="1:18" s="1455" customFormat="1" ht="29.25" thickBot="1">
      <c r="A57" s="2538"/>
      <c r="B57" s="2399" t="s">
        <v>965</v>
      </c>
      <c r="C57" s="614">
        <f ca="1">C29</f>
        <v>0</v>
      </c>
      <c r="D57" s="2410"/>
      <c r="E57" s="2411"/>
      <c r="F57" s="2539"/>
      <c r="I57" s="2542" t="s">
        <v>2445</v>
      </c>
      <c r="J57" s="2546">
        <f ca="1">IF(OR(M47="住宅",J51&lt;L48,J56="是"),"——",J51-L48)</f>
        <v>0</v>
      </c>
      <c r="K57" s="2541" t="s">
        <v>2438</v>
      </c>
      <c r="L57" s="2165">
        <f ca="1">IF(L48&lt;J51,"——",IF(L55="比较法",L49,IF(L55="基准地价",L50,L51)))</f>
        <v>0</v>
      </c>
      <c r="O57" s="2584" t="s">
        <v>2449</v>
      </c>
      <c r="P57" s="2594" t="s">
        <v>2473</v>
      </c>
      <c r="Q57" s="2585" t="e">
        <f ca="1">L60</f>
        <v>#DIV/0!</v>
      </c>
      <c r="R57" s="2585" t="s">
        <v>2488</v>
      </c>
    </row>
    <row r="58" spans="1:18" s="1455" customFormat="1" ht="29.25" thickBot="1">
      <c r="A58" s="697" t="s">
        <v>2337</v>
      </c>
      <c r="B58" s="2407" t="s">
        <v>923</v>
      </c>
      <c r="C58" s="698">
        <f ca="1">ROUND(C59+C64+C65+C66,0)</f>
        <v>0</v>
      </c>
      <c r="D58" s="2413" t="s">
        <v>924</v>
      </c>
      <c r="E58" s="2414"/>
      <c r="F58" s="2415"/>
      <c r="I58" s="2542" t="s">
        <v>2425</v>
      </c>
      <c r="J58" s="3319" t="e">
        <f ca="1">IF(J55&lt;0.4,0.4,J55)</f>
        <v>#DIV/0!</v>
      </c>
      <c r="K58" s="2565" t="s">
        <v>2447</v>
      </c>
      <c r="L58" s="2165">
        <f ca="1">IF(ISERROR(POWER(1+L52,L47-L48)*(POWER(1+L52,L48)-1)/(POWER(1+L52,L47)-1)),0,POWER(1+L52,L47-L48)*(POWER(1+L52,L48)-1)/(POWER(1+L52,L47)-1))</f>
        <v>0</v>
      </c>
      <c r="O58" s="2586" t="s">
        <v>2450</v>
      </c>
      <c r="P58" s="2594" t="s">
        <v>2480</v>
      </c>
      <c r="Q58" s="2585">
        <f>IF(L55="比较法",L49,IF(L55="基准地价",L50,0))</f>
        <v>0</v>
      </c>
      <c r="R58" s="2585" t="s">
        <v>2467</v>
      </c>
    </row>
    <row r="59" spans="1:18" s="1455" customFormat="1" ht="29.25" thickBot="1">
      <c r="A59" s="2435" t="s">
        <v>2372</v>
      </c>
      <c r="B59" s="2399" t="s">
        <v>359</v>
      </c>
      <c r="C59" s="313">
        <f ca="1">ROUND(IF(项目基本情况!B11="自然人",C48*F59,C60+C61+C62),0)</f>
        <v>0</v>
      </c>
      <c r="D59" s="2416" t="s">
        <v>927</v>
      </c>
      <c r="E59" s="2417" t="s">
        <v>928</v>
      </c>
      <c r="F59" s="708" t="str">
        <f ca="1">IF(项目基本情况!B11="企业","",IF(INDIRECT("'数据-取费表'!c"&amp;$G$1)="住宅",5%,IF(F49*F50*F51/12/(1+'数据-取费表'!C42)&gt;20000,12%,7%)))</f>
        <v/>
      </c>
      <c r="I59" s="2542" t="s">
        <v>2426</v>
      </c>
      <c r="J59" s="2546" t="e">
        <f ca="1">IF(OR(M47="住宅",J51&lt;L48,J56="是"),"——",ROUND(C29*J58,0))</f>
        <v>#DIV/0!</v>
      </c>
      <c r="K59" s="2565" t="s">
        <v>2435</v>
      </c>
      <c r="L59" s="2165">
        <f ca="1">IF(ISERROR(POWER(1+L52,L47-J51)*(POWER(1+L52,J51)-1)/(POWER(1+L52,L47)-1)),0,POWER(1+L52,L47-J51)*(POWER(1+L52,J51)-1)/(POWER(1+L52,L47)-1))</f>
        <v>0</v>
      </c>
      <c r="O59" s="2586" t="s">
        <v>2451</v>
      </c>
      <c r="P59" s="2594" t="s">
        <v>2481</v>
      </c>
      <c r="Q59" s="2587">
        <f>L52</f>
        <v>0</v>
      </c>
      <c r="R59" s="2585"/>
    </row>
    <row r="60" spans="1:18" s="1455" customFormat="1" ht="20.25" thickBot="1">
      <c r="A60" s="2435" t="s">
        <v>2369</v>
      </c>
      <c r="B60" s="2399" t="s">
        <v>929</v>
      </c>
      <c r="C60" s="313">
        <f ca="1">IF(项目基本情况!B11="自然人","——",ROUND(C48*F60/(1+'数据-取费表'!C42),0))</f>
        <v>0</v>
      </c>
      <c r="D60" s="2417" t="s">
        <v>930</v>
      </c>
      <c r="E60" s="2399" t="s">
        <v>361</v>
      </c>
      <c r="F60" s="717">
        <f t="shared" ref="F60:F66" si="0">F32</f>
        <v>5.6000000000000001E-2</v>
      </c>
      <c r="I60" s="2543" t="s">
        <v>2427</v>
      </c>
      <c r="J60" s="2547" t="e">
        <f ca="1">IF(OR(M47="住宅",J51&lt;L48,J56="是"),"0",ROUND(J59/(1+J52)^J53,0))</f>
        <v>#DIV/0!</v>
      </c>
      <c r="K60" s="2549" t="s">
        <v>2430</v>
      </c>
      <c r="L60" s="2547" t="e">
        <f ca="1">IF(OR(M47="住宅",L48&lt;J51),0,ROUND(L57*(L58/L59-1),0))</f>
        <v>#DIV/0!</v>
      </c>
      <c r="O60" s="2586" t="s">
        <v>2452</v>
      </c>
      <c r="P60" s="2594" t="s">
        <v>2482</v>
      </c>
      <c r="Q60" s="2585">
        <f ca="1">L58</f>
        <v>0</v>
      </c>
      <c r="R60" s="2585" t="s">
        <v>2457</v>
      </c>
    </row>
    <row r="61" spans="1:18" s="1455" customFormat="1" ht="20.25" thickBot="1">
      <c r="A61" s="2435" t="s">
        <v>2370</v>
      </c>
      <c r="B61" s="2399" t="s">
        <v>932</v>
      </c>
      <c r="C61" s="313">
        <f ca="1">IF(项目基本情况!B11="自然人","——",IF(D61="按租金收入计税",ROUND(C48*F61,0),IF(D61="按房产原值计税",ROUND(C57*F61*0.7,0),INDIRECT("'数据-取费表'!Aj"&amp;$G$1))))</f>
        <v>0</v>
      </c>
      <c r="D61" s="1301" t="s">
        <v>2412</v>
      </c>
      <c r="E61" s="2399" t="s">
        <v>361</v>
      </c>
      <c r="F61" s="707">
        <f t="shared" si="0"/>
        <v>1.2E-2</v>
      </c>
      <c r="I61" s="2409"/>
      <c r="J61" s="2409"/>
      <c r="K61" s="2409"/>
      <c r="L61" s="2409"/>
      <c r="O61" s="2586" t="s">
        <v>2453</v>
      </c>
      <c r="P61" s="2594" t="s">
        <v>2483</v>
      </c>
      <c r="Q61" s="2585">
        <f ca="1">L59</f>
        <v>0</v>
      </c>
      <c r="R61" s="2585" t="s">
        <v>2458</v>
      </c>
    </row>
    <row r="62" spans="1:18" s="1455" customFormat="1" ht="15.75" thickBot="1">
      <c r="A62" s="2435" t="s">
        <v>2371</v>
      </c>
      <c r="B62" s="2398" t="s">
        <v>934</v>
      </c>
      <c r="C62" s="314">
        <f ca="1">IF(项目基本情况!B11="自然人","——",ROUND(F62*F63,0))</f>
        <v>0</v>
      </c>
      <c r="D62" s="2418" t="s">
        <v>935</v>
      </c>
      <c r="E62" s="2399" t="s">
        <v>936</v>
      </c>
      <c r="F62" s="711">
        <f t="shared" si="0"/>
        <v>3</v>
      </c>
      <c r="I62" s="2544" t="s">
        <v>2417</v>
      </c>
      <c r="J62" s="2545" t="s">
        <v>2418</v>
      </c>
      <c r="K62" s="2545" t="s">
        <v>2419</v>
      </c>
      <c r="L62" s="2545" t="s">
        <v>2415</v>
      </c>
      <c r="M62" s="3320" t="s">
        <v>3038</v>
      </c>
      <c r="O62" s="2584" t="s">
        <v>2454</v>
      </c>
      <c r="P62" s="2594" t="s">
        <v>2472</v>
      </c>
      <c r="Q62" s="2585" t="e">
        <f ca="1">Q56+Q57</f>
        <v>#DIV/0!</v>
      </c>
      <c r="R62" s="2585" t="s">
        <v>2455</v>
      </c>
    </row>
    <row r="63" spans="1:18" s="1455" customFormat="1" ht="16.5" thickBot="1">
      <c r="A63" s="712"/>
      <c r="B63" s="2405"/>
      <c r="C63" s="318"/>
      <c r="D63" s="2419"/>
      <c r="E63" s="2399" t="s">
        <v>940</v>
      </c>
      <c r="F63" s="685">
        <f t="shared" ca="1" si="0"/>
        <v>0</v>
      </c>
      <c r="I63" s="2544" t="s">
        <v>2431</v>
      </c>
      <c r="J63" s="3323">
        <v>70</v>
      </c>
      <c r="K63" s="3323">
        <v>50</v>
      </c>
      <c r="L63" s="3323">
        <v>80</v>
      </c>
      <c r="M63" s="3321">
        <v>0.02</v>
      </c>
      <c r="O63" s="2588" t="s">
        <v>2486</v>
      </c>
      <c r="P63" s="1296"/>
      <c r="Q63" s="1296"/>
      <c r="R63" s="1296"/>
    </row>
    <row r="64" spans="1:18" s="1455" customFormat="1" ht="15.75" thickBot="1">
      <c r="A64" s="2435" t="s">
        <v>2379</v>
      </c>
      <c r="B64" s="2399" t="s">
        <v>942</v>
      </c>
      <c r="C64" s="313">
        <f ca="1">ROUND(C57*F64,0)</f>
        <v>0</v>
      </c>
      <c r="D64" s="2417" t="s">
        <v>972</v>
      </c>
      <c r="E64" s="2399" t="s">
        <v>361</v>
      </c>
      <c r="F64" s="714">
        <f t="shared" ca="1" si="0"/>
        <v>0</v>
      </c>
      <c r="I64" s="2544" t="s">
        <v>103</v>
      </c>
      <c r="J64" s="3323">
        <v>50</v>
      </c>
      <c r="K64" s="3323">
        <v>35</v>
      </c>
      <c r="L64" s="3323">
        <v>60</v>
      </c>
      <c r="M64" s="3322">
        <v>0</v>
      </c>
      <c r="O64" s="2591" t="s">
        <v>2463</v>
      </c>
      <c r="P64" s="2592" t="s">
        <v>2464</v>
      </c>
      <c r="Q64" s="2593" t="s">
        <v>2462</v>
      </c>
      <c r="R64" s="2593" t="s">
        <v>2465</v>
      </c>
    </row>
    <row r="65" spans="1:18" s="1455" customFormat="1" ht="15.75" thickBot="1">
      <c r="A65" s="2435" t="s">
        <v>2373</v>
      </c>
      <c r="B65" s="2399" t="s">
        <v>364</v>
      </c>
      <c r="C65" s="313">
        <f ca="1">ROUND(C56*F65,0)</f>
        <v>0</v>
      </c>
      <c r="D65" s="2417" t="s">
        <v>365</v>
      </c>
      <c r="E65" s="2399" t="s">
        <v>361</v>
      </c>
      <c r="F65" s="716">
        <f t="shared" ca="1" si="0"/>
        <v>0</v>
      </c>
      <c r="I65" s="2544" t="s">
        <v>2433</v>
      </c>
      <c r="J65" s="3323">
        <v>40</v>
      </c>
      <c r="K65" s="3323">
        <v>30</v>
      </c>
      <c r="L65" s="3323">
        <v>50</v>
      </c>
      <c r="M65" s="3321">
        <v>0.02</v>
      </c>
      <c r="O65" s="2584" t="s">
        <v>2448</v>
      </c>
      <c r="P65" s="2594" t="s">
        <v>2466</v>
      </c>
      <c r="Q65" s="2585" t="e">
        <f ca="1">C40+J29</f>
        <v>#DIV/0!</v>
      </c>
      <c r="R65" s="2585" t="s">
        <v>2467</v>
      </c>
    </row>
    <row r="66" spans="1:18" s="1455" customFormat="1" ht="20.25" thickBot="1">
      <c r="A66" s="2435" t="s">
        <v>2374</v>
      </c>
      <c r="B66" s="2399" t="s">
        <v>363</v>
      </c>
      <c r="C66" s="313">
        <f ca="1">ROUND(C48*F66,0)</f>
        <v>0</v>
      </c>
      <c r="D66" s="2417" t="s">
        <v>367</v>
      </c>
      <c r="E66" s="2399" t="s">
        <v>361</v>
      </c>
      <c r="F66" s="694">
        <f t="shared" ca="1" si="0"/>
        <v>0</v>
      </c>
      <c r="O66" s="2584" t="s">
        <v>2449</v>
      </c>
      <c r="P66" s="2594" t="s">
        <v>2473</v>
      </c>
      <c r="Q66" s="2585" t="e">
        <f ca="1">L60</f>
        <v>#DIV/0!</v>
      </c>
      <c r="R66" s="2585" t="s">
        <v>2456</v>
      </c>
    </row>
    <row r="67" spans="1:18" s="1455" customFormat="1" ht="24.75" thickBot="1">
      <c r="A67" s="2406" t="s">
        <v>2352</v>
      </c>
      <c r="B67" s="2420" t="s">
        <v>373</v>
      </c>
      <c r="C67" s="698">
        <f ca="1">C48-C58</f>
        <v>0</v>
      </c>
      <c r="D67" s="2416" t="s">
        <v>374</v>
      </c>
      <c r="E67" s="2421"/>
      <c r="F67" s="2422"/>
      <c r="O67" s="2586" t="s">
        <v>2450</v>
      </c>
      <c r="P67" s="2594" t="s">
        <v>2480</v>
      </c>
      <c r="Q67" s="2589">
        <f ca="1">L51</f>
        <v>0</v>
      </c>
      <c r="R67" s="2590" t="s">
        <v>2490</v>
      </c>
    </row>
    <row r="68" spans="1:18" s="1455" customFormat="1" ht="20.25" thickBot="1">
      <c r="A68" s="2396" t="s">
        <v>2355</v>
      </c>
      <c r="B68" s="2397" t="s">
        <v>375</v>
      </c>
      <c r="C68" s="683" t="e">
        <f ca="1">ROUND(C67*(1-((1+F70)/(1+F68))^F69)/(F68-F70),0)</f>
        <v>#DIV/0!</v>
      </c>
      <c r="D68" s="2418" t="s">
        <v>369</v>
      </c>
      <c r="E68" s="2399" t="s">
        <v>370</v>
      </c>
      <c r="F68" s="694">
        <f ca="1">F40</f>
        <v>0</v>
      </c>
      <c r="O68" s="2586" t="s">
        <v>2451</v>
      </c>
      <c r="P68" s="2595" t="s">
        <v>2484</v>
      </c>
      <c r="Q68" s="2585">
        <f ca="1">ROUND(Q69-Q70*Q71,0)</f>
        <v>0</v>
      </c>
      <c r="R68" s="2585" t="s">
        <v>2489</v>
      </c>
    </row>
    <row r="69" spans="1:18" s="1455" customFormat="1" ht="15.75" thickBot="1">
      <c r="A69" s="2400"/>
      <c r="B69" s="2401"/>
      <c r="C69" s="688"/>
      <c r="D69" s="2423" t="s">
        <v>957</v>
      </c>
      <c r="E69" s="2399" t="s">
        <v>377</v>
      </c>
      <c r="F69" s="719">
        <f ca="1">F41</f>
        <v>0</v>
      </c>
      <c r="O69" s="2586" t="s">
        <v>2459</v>
      </c>
      <c r="P69" s="2595" t="s">
        <v>2474</v>
      </c>
      <c r="Q69" s="2585">
        <f ca="1">C39</f>
        <v>0</v>
      </c>
      <c r="R69" s="2585" t="s">
        <v>2467</v>
      </c>
    </row>
    <row r="70" spans="1:18" s="1455" customFormat="1" ht="15.75" thickBot="1">
      <c r="A70" s="2403"/>
      <c r="B70" s="2404"/>
      <c r="C70" s="692"/>
      <c r="D70" s="2419"/>
      <c r="E70" s="2399" t="s">
        <v>378</v>
      </c>
      <c r="F70" s="2529">
        <f ca="1">F42</f>
        <v>0</v>
      </c>
      <c r="O70" s="2586" t="s">
        <v>2460</v>
      </c>
      <c r="P70" s="2595" t="s">
        <v>2475</v>
      </c>
      <c r="Q70" s="2585">
        <f ca="1">C13</f>
        <v>0</v>
      </c>
      <c r="R70" s="2585" t="s">
        <v>2467</v>
      </c>
    </row>
    <row r="71" spans="1:18" s="1455" customFormat="1" ht="15.75" thickBot="1">
      <c r="A71" s="2424" t="s">
        <v>2362</v>
      </c>
      <c r="B71" s="2425" t="s">
        <v>379</v>
      </c>
      <c r="C71" s="722" t="e">
        <f ca="1">ROUND(C68/F71,0)</f>
        <v>#DIV/0!</v>
      </c>
      <c r="D71" s="2426" t="s">
        <v>380</v>
      </c>
      <c r="E71" s="2427" t="s">
        <v>381</v>
      </c>
      <c r="F71" s="725">
        <f ca="1">F43</f>
        <v>0</v>
      </c>
      <c r="I71" s="2394"/>
      <c r="K71" s="2394"/>
      <c r="O71" s="2586" t="s">
        <v>2461</v>
      </c>
      <c r="P71" s="2595" t="s">
        <v>2487</v>
      </c>
      <c r="Q71" s="2587">
        <f ca="1">C76</f>
        <v>0</v>
      </c>
      <c r="R71" s="2585"/>
    </row>
    <row r="72" spans="1:18" s="1455" customFormat="1" ht="15.75" thickBot="1">
      <c r="B72" s="1460"/>
      <c r="C72" s="1460"/>
      <c r="I72" s="2394"/>
      <c r="O72" s="2586" t="s">
        <v>2452</v>
      </c>
      <c r="P72" s="2594" t="s">
        <v>2481</v>
      </c>
      <c r="Q72" s="2587">
        <f>L52</f>
        <v>0</v>
      </c>
      <c r="R72" s="2585"/>
    </row>
    <row r="73" spans="1:18" ht="20.25" thickBot="1">
      <c r="A73" s="1455"/>
      <c r="B73" s="1460"/>
      <c r="C73" s="1460"/>
      <c r="D73" s="1455"/>
      <c r="E73" s="1455"/>
      <c r="F73" s="1455"/>
      <c r="I73" s="2580"/>
      <c r="O73" s="2586" t="s">
        <v>2453</v>
      </c>
      <c r="P73" s="2594" t="s">
        <v>2482</v>
      </c>
      <c r="Q73" s="2585">
        <f ca="1">L58</f>
        <v>0</v>
      </c>
      <c r="R73" s="2585" t="s">
        <v>2457</v>
      </c>
    </row>
    <row r="74" spans="1:18" ht="20.25" thickBot="1">
      <c r="A74" s="1455"/>
      <c r="B74" s="727" t="s">
        <v>382</v>
      </c>
      <c r="C74" s="728"/>
      <c r="D74" s="1455"/>
      <c r="E74" s="1455"/>
      <c r="F74" s="1455"/>
      <c r="O74" s="2586" t="s">
        <v>2491</v>
      </c>
      <c r="P74" s="2594" t="s">
        <v>2483</v>
      </c>
      <c r="Q74" s="2585">
        <f ca="1">L59</f>
        <v>0</v>
      </c>
      <c r="R74" s="2585" t="s">
        <v>2458</v>
      </c>
    </row>
    <row r="75" spans="1:18" ht="15.75" thickBot="1">
      <c r="A75" s="1455"/>
      <c r="B75" s="729" t="s">
        <v>970</v>
      </c>
      <c r="C75" s="730">
        <f ca="1">ROUND(C13*C76,0)</f>
        <v>0</v>
      </c>
      <c r="D75" s="1455"/>
      <c r="E75" s="1455"/>
      <c r="F75" s="1455"/>
      <c r="K75" s="1456"/>
      <c r="L75" s="1455"/>
      <c r="O75" s="2584" t="s">
        <v>2454</v>
      </c>
      <c r="P75" s="2594" t="s">
        <v>2472</v>
      </c>
      <c r="Q75" s="2585" t="e">
        <f ca="1">Q65+Q66</f>
        <v>#DIV/0!</v>
      </c>
      <c r="R75" s="2585" t="s">
        <v>2455</v>
      </c>
    </row>
    <row r="76" spans="1:18">
      <c r="B76" s="731" t="s">
        <v>971</v>
      </c>
      <c r="C76" s="732">
        <f ca="1">INDIRECT("'数据-取费表'!j"&amp;$G$1)</f>
        <v>0</v>
      </c>
      <c r="I76" s="1455"/>
      <c r="J76" s="1455"/>
      <c r="K76" s="1456"/>
      <c r="L76" s="1455"/>
    </row>
    <row r="77" spans="1:18">
      <c r="B77" s="733" t="s">
        <v>974</v>
      </c>
      <c r="C77" s="734"/>
      <c r="I77" s="1455"/>
      <c r="J77" s="1455"/>
      <c r="K77" s="1456"/>
      <c r="L77" s="1455"/>
    </row>
    <row r="78" spans="1:18">
      <c r="B78" s="646" t="s">
        <v>960</v>
      </c>
      <c r="C78" s="735"/>
    </row>
    <row r="79" spans="1:18">
      <c r="B79" s="2873" t="s">
        <v>2700</v>
      </c>
      <c r="C79" s="650" t="e">
        <f ca="1">1-C80</f>
        <v>#DIV/0!</v>
      </c>
    </row>
    <row r="80" spans="1:18">
      <c r="B80" s="2873" t="s">
        <v>2701</v>
      </c>
      <c r="C80" s="650" t="e">
        <f ca="1">ROUND(C75/C39,3)</f>
        <v>#DIV/0!</v>
      </c>
    </row>
    <row r="81" spans="2:3">
      <c r="B81" s="646" t="s">
        <v>383</v>
      </c>
      <c r="C81" s="647"/>
    </row>
    <row r="82" spans="2:3">
      <c r="B82" s="2872" t="s">
        <v>2698</v>
      </c>
      <c r="C82" s="651" t="e">
        <f ca="1">1-C83</f>
        <v>#DIV/0!</v>
      </c>
    </row>
    <row r="83" spans="2:3">
      <c r="B83" s="2872" t="s">
        <v>2697</v>
      </c>
      <c r="C83" s="650" t="e">
        <f ca="1">ROUND(C13/C40,3)</f>
        <v>#DIV/0!</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64" priority="4">
      <formula>$L$48&gt;$J$51</formula>
    </cfRule>
  </conditionalFormatting>
  <conditionalFormatting sqref="I55 I60">
    <cfRule type="expression" dxfId="163" priority="5">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5" sqref="I3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905</v>
      </c>
      <c r="B1" s="670"/>
      <c r="C1" s="2389" t="s">
        <v>3445</v>
      </c>
      <c r="D1" s="1274"/>
      <c r="E1" s="2582" t="s">
        <v>534</v>
      </c>
      <c r="F1" s="2583">
        <f ca="1">J53</f>
        <v>44.01</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815</v>
      </c>
      <c r="B2" s="1407">
        <f ca="1">C40+J29+L46</f>
        <v>266290</v>
      </c>
      <c r="C2" s="1300" t="s">
        <v>1094</v>
      </c>
      <c r="D2" s="1276"/>
      <c r="E2" s="2572"/>
      <c r="F2" s="1277"/>
      <c r="G2" s="2284"/>
      <c r="H2" s="1275"/>
      <c r="I2" s="1275"/>
      <c r="J2" s="1275"/>
      <c r="K2" s="1299"/>
      <c r="L2" s="1275"/>
      <c r="M2" s="1275"/>
    </row>
    <row r="3" spans="1:37" ht="18" customHeight="1" thickBot="1">
      <c r="A3" s="675" t="s">
        <v>342</v>
      </c>
      <c r="B3" s="1408">
        <f ca="1">IF(ISERROR(B2*10000/F43),0,ROUND(B2*10000/F43,0))</f>
        <v>47172</v>
      </c>
      <c r="C3" s="1300" t="s">
        <v>1095</v>
      </c>
      <c r="D3" s="1276"/>
      <c r="E3" s="2572"/>
      <c r="F3" s="1277"/>
      <c r="G3" s="2284"/>
      <c r="H3" s="676" t="s">
        <v>906</v>
      </c>
      <c r="I3" s="1275"/>
      <c r="J3" s="1275"/>
      <c r="K3" s="1299"/>
      <c r="L3" s="1275"/>
      <c r="M3" s="1275"/>
    </row>
    <row r="4" spans="1:37" ht="18" customHeight="1">
      <c r="A4" s="677" t="s">
        <v>907</v>
      </c>
      <c r="B4" s="678" t="s">
        <v>908</v>
      </c>
      <c r="C4" s="678" t="s">
        <v>909</v>
      </c>
      <c r="D4" s="678" t="s">
        <v>910</v>
      </c>
      <c r="E4" s="679" t="s">
        <v>911</v>
      </c>
      <c r="F4" s="680"/>
      <c r="G4" s="2285"/>
      <c r="H4" s="677" t="s">
        <v>907</v>
      </c>
      <c r="I4" s="678" t="s">
        <v>908</v>
      </c>
      <c r="J4" s="678" t="s">
        <v>909</v>
      </c>
      <c r="K4" s="678" t="s">
        <v>910</v>
      </c>
      <c r="L4" s="679" t="s">
        <v>911</v>
      </c>
      <c r="M4" s="680"/>
    </row>
    <row r="5" spans="1:37" ht="18" customHeight="1">
      <c r="A5" s="681">
        <v>1</v>
      </c>
      <c r="B5" s="682" t="s">
        <v>2331</v>
      </c>
      <c r="C5" s="2623">
        <f ca="1">C6+C10+C12</f>
        <v>10523</v>
      </c>
      <c r="D5" s="2633" t="s">
        <v>2534</v>
      </c>
      <c r="E5" s="2624"/>
      <c r="F5" s="2625"/>
      <c r="G5" s="2285"/>
      <c r="H5" s="681">
        <v>1</v>
      </c>
      <c r="I5" s="682" t="s">
        <v>2331</v>
      </c>
      <c r="J5" s="2623">
        <f ca="1">J6+J10+J12</f>
        <v>0</v>
      </c>
      <c r="K5" s="2626" t="s">
        <v>2534</v>
      </c>
      <c r="L5" s="2624"/>
      <c r="M5" s="2625"/>
    </row>
    <row r="6" spans="1:37" ht="18" customHeight="1">
      <c r="A6" s="2619" t="s">
        <v>2372</v>
      </c>
      <c r="B6" s="3569" t="s">
        <v>2533</v>
      </c>
      <c r="C6" s="2628">
        <f ca="1">ROUND(F6*F8*F7*(1-F9)/10000,0)</f>
        <v>10508</v>
      </c>
      <c r="D6" s="2622" t="s">
        <v>2535</v>
      </c>
      <c r="E6" s="684" t="s">
        <v>912</v>
      </c>
      <c r="F6" s="685">
        <f ca="1">INDIRECT("'数据-取费表'!u"&amp;$G$1)</f>
        <v>6</v>
      </c>
      <c r="G6" s="2285"/>
      <c r="H6" s="2619" t="s">
        <v>2372</v>
      </c>
      <c r="I6" s="3569" t="s">
        <v>2533</v>
      </c>
      <c r="J6" s="683">
        <f ca="1">ROUND(M6*M8*M7*(1-M9)/10000,0)</f>
        <v>0</v>
      </c>
      <c r="K6" s="2622" t="s">
        <v>2535</v>
      </c>
      <c r="L6" s="684" t="s">
        <v>912</v>
      </c>
      <c r="M6" s="685">
        <f ca="1">INDIRECT("'数据-取费表'!z"&amp;$G$1)</f>
        <v>0</v>
      </c>
    </row>
    <row r="7" spans="1:37" ht="18" customHeight="1">
      <c r="A7" s="2627"/>
      <c r="B7" s="3570"/>
      <c r="C7" s="2629"/>
      <c r="D7" s="2058"/>
      <c r="E7" s="2630" t="s">
        <v>913</v>
      </c>
      <c r="F7" s="685">
        <f ca="1">IF(INDIRECT("'数据-取费表'!ah"&amp;$G$1)="",INDIRECT("'数据-取费表'!k"&amp;$G$1),INDIRECT("'数据-取费表'!ah"&amp;$G$1))</f>
        <v>56450.890000000058</v>
      </c>
      <c r="G7" s="2285"/>
      <c r="H7" s="686"/>
      <c r="I7" s="3570"/>
      <c r="J7" s="688"/>
      <c r="K7" s="689"/>
      <c r="L7" s="684" t="s">
        <v>913</v>
      </c>
      <c r="M7" s="685">
        <f ca="1">F7</f>
        <v>56450.890000000058</v>
      </c>
    </row>
    <row r="8" spans="1:37" ht="18" customHeight="1">
      <c r="A8" s="686"/>
      <c r="B8" s="3570"/>
      <c r="C8" s="688"/>
      <c r="D8" s="689"/>
      <c r="E8" s="684" t="s">
        <v>914</v>
      </c>
      <c r="F8" s="685">
        <f ca="1">INDIRECT("'数据-取费表'!ai"&amp;$G$1)</f>
        <v>365</v>
      </c>
      <c r="G8" s="2285"/>
      <c r="H8" s="686"/>
      <c r="I8" s="3570"/>
      <c r="J8" s="688"/>
      <c r="K8" s="689"/>
      <c r="L8" s="684" t="s">
        <v>914</v>
      </c>
      <c r="M8" s="685">
        <f ca="1">INDIRECT("'数据-取费表'!ai"&amp;$G$1)</f>
        <v>365</v>
      </c>
    </row>
    <row r="9" spans="1:37" ht="18" customHeight="1">
      <c r="A9" s="686"/>
      <c r="B9" s="3571"/>
      <c r="C9" s="688"/>
      <c r="D9" s="689"/>
      <c r="E9" s="684" t="s">
        <v>915</v>
      </c>
      <c r="F9" s="694">
        <f ca="1">INDIRECT("'数据-取费表'!w"&amp;$G$1)</f>
        <v>0.15</v>
      </c>
      <c r="G9" s="2285"/>
      <c r="H9" s="686"/>
      <c r="I9" s="3571"/>
      <c r="J9" s="688"/>
      <c r="K9" s="689"/>
      <c r="L9" s="695" t="s">
        <v>915</v>
      </c>
      <c r="M9" s="696">
        <f ca="1">INDIRECT("'数据-取费表'!ab"&amp;$G$1)</f>
        <v>0</v>
      </c>
    </row>
    <row r="10" spans="1:37" ht="18" customHeight="1">
      <c r="A10" s="2619" t="s">
        <v>2379</v>
      </c>
      <c r="B10" s="2620" t="s">
        <v>2528</v>
      </c>
      <c r="C10" s="698">
        <f ca="1">ROUND(IF(F10="押一",F6*F8*F7/12*F11,IF(F10="押二",F6*F8*F7/12*2*F11,IF(F10="押三",F6*F8*F7/12*3*F11,C11*F11)))/10000,0)</f>
        <v>15</v>
      </c>
      <c r="D10" s="2631" t="s">
        <v>2536</v>
      </c>
      <c r="E10" s="2094" t="s">
        <v>2530</v>
      </c>
      <c r="F10" s="2828" t="s">
        <v>3549</v>
      </c>
      <c r="G10" s="2285"/>
      <c r="H10" s="2619" t="s">
        <v>2379</v>
      </c>
      <c r="I10" s="2620" t="s">
        <v>2528</v>
      </c>
      <c r="J10" s="683">
        <f ca="1">ROUND(IF(M10="押一",M6*M8*M7/12*M11,IF(M10="押二",M6*M8*M7/12*2*M11,IF(M10="押三",M6*M8*M7/12*3*M11,J11*M11)))/10000,0)</f>
        <v>0</v>
      </c>
      <c r="K10" s="2631" t="s">
        <v>2536</v>
      </c>
      <c r="L10" s="2094" t="s">
        <v>2530</v>
      </c>
      <c r="M10" s="2726" t="s">
        <v>2622</v>
      </c>
    </row>
    <row r="11" spans="1:37" ht="18" customHeight="1">
      <c r="A11" s="690"/>
      <c r="B11" s="2621" t="s">
        <v>2695</v>
      </c>
      <c r="C11" s="2412"/>
      <c r="D11" s="2867"/>
      <c r="E11" s="2094" t="s">
        <v>2531</v>
      </c>
      <c r="F11" s="696">
        <f ca="1">'数据-取费表'!B39</f>
        <v>1.4999999999999999E-2</v>
      </c>
      <c r="G11" s="2285"/>
      <c r="H11" s="2632"/>
      <c r="I11" s="2621" t="s">
        <v>2695</v>
      </c>
      <c r="J11" s="2412"/>
      <c r="K11" s="1281"/>
      <c r="L11" s="2094" t="s">
        <v>2531</v>
      </c>
      <c r="M11" s="2093">
        <f ca="1">'数据-取费表'!B39</f>
        <v>1.4999999999999999E-2</v>
      </c>
    </row>
    <row r="12" spans="1:37" ht="18" customHeight="1" thickBot="1">
      <c r="A12" s="2667" t="s">
        <v>2541</v>
      </c>
      <c r="B12" s="2668" t="s">
        <v>2529</v>
      </c>
      <c r="C12" s="2669"/>
      <c r="D12" s="2670"/>
      <c r="E12" s="2671"/>
      <c r="F12" s="2672"/>
      <c r="G12" s="2285"/>
      <c r="H12" s="2667" t="s">
        <v>2541</v>
      </c>
      <c r="I12" s="2668" t="s">
        <v>2529</v>
      </c>
      <c r="J12" s="2669"/>
      <c r="K12" s="2686"/>
      <c r="L12" s="2671"/>
      <c r="M12" s="2687"/>
    </row>
    <row r="13" spans="1:37" ht="18" customHeight="1" thickTop="1">
      <c r="A13" s="2663">
        <v>2</v>
      </c>
      <c r="B13" s="2664" t="s">
        <v>916</v>
      </c>
      <c r="C13" s="692">
        <f ca="1">ROUND(C29*F13,0)</f>
        <v>24423</v>
      </c>
      <c r="D13" s="2665" t="s">
        <v>917</v>
      </c>
      <c r="E13" s="2665" t="s">
        <v>918</v>
      </c>
      <c r="F13" s="2666">
        <f ca="1">INDIRECT("'数据-取费表'!y"&amp;$G$1)</f>
        <v>0.98</v>
      </c>
      <c r="G13" s="2285"/>
      <c r="H13" s="2663">
        <v>2</v>
      </c>
      <c r="I13" s="2664" t="s">
        <v>916</v>
      </c>
      <c r="J13" s="2618">
        <f ca="1">ROUND(J14*J15,0)</f>
        <v>0</v>
      </c>
      <c r="K13" s="2673" t="s">
        <v>917</v>
      </c>
      <c r="L13" s="2684"/>
      <c r="M13" s="2685"/>
    </row>
    <row r="14" spans="1:37" ht="18" customHeight="1">
      <c r="A14" s="2435" t="s">
        <v>2369</v>
      </c>
      <c r="B14" s="684" t="s">
        <v>355</v>
      </c>
      <c r="C14" s="702">
        <f ca="1">INDIRECT("'数据-取费表'!m"&amp;$G$1)+INDIRECT("'数据-取费表'!t"&amp;$G$1)</f>
        <v>16935</v>
      </c>
      <c r="D14" s="3349" t="s">
        <v>919</v>
      </c>
      <c r="E14" s="3348"/>
      <c r="F14" s="703"/>
      <c r="G14" s="2285"/>
      <c r="H14" s="2435" t="s">
        <v>2372</v>
      </c>
      <c r="I14" s="684" t="s">
        <v>920</v>
      </c>
      <c r="J14" s="313">
        <f ca="1">C29</f>
        <v>24921</v>
      </c>
      <c r="K14" s="303"/>
      <c r="L14" s="700"/>
      <c r="M14" s="701"/>
    </row>
    <row r="15" spans="1:37" s="706" customFormat="1" ht="18" customHeight="1" thickBot="1">
      <c r="A15" s="2435" t="s">
        <v>2605</v>
      </c>
      <c r="B15" s="684" t="s">
        <v>356</v>
      </c>
      <c r="C15" s="313">
        <f ca="1">ROUND(C14*F15,0)</f>
        <v>508</v>
      </c>
      <c r="D15" s="704" t="s">
        <v>921</v>
      </c>
      <c r="E15" s="704" t="s">
        <v>361</v>
      </c>
      <c r="F15" s="705">
        <f>'数据-取费表'!B33</f>
        <v>0.03</v>
      </c>
      <c r="G15" s="2286"/>
      <c r="H15" s="2675" t="s">
        <v>2379</v>
      </c>
      <c r="I15" s="2676" t="s">
        <v>918</v>
      </c>
      <c r="J15" s="2687">
        <f ca="1">INDIRECT("'数据-取费表'!ad"&amp;$G$1)</f>
        <v>0</v>
      </c>
      <c r="K15" s="2688"/>
      <c r="L15" s="2689"/>
      <c r="M15" s="269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5" t="s">
        <v>2606</v>
      </c>
      <c r="B16" s="684" t="s">
        <v>357</v>
      </c>
      <c r="C16" s="313">
        <f ca="1">ROUND(INDIRECT("'数据-取费表'!m"&amp;$G$1)*F16,0)</f>
        <v>0</v>
      </c>
      <c r="D16" s="684" t="s">
        <v>921</v>
      </c>
      <c r="E16" s="684" t="s">
        <v>361</v>
      </c>
      <c r="F16" s="707">
        <f ca="1">IF(INDIRECT("'数据-取费表'!c"&amp;$G$1)="住宅",'数据-取费表'!B34,0)</f>
        <v>0</v>
      </c>
      <c r="G16" s="2285"/>
      <c r="H16" s="2663" t="s">
        <v>2337</v>
      </c>
      <c r="I16" s="2664" t="s">
        <v>923</v>
      </c>
      <c r="J16" s="692">
        <f ca="1">ROUND(J17+J22+J23+J24,0)</f>
        <v>587</v>
      </c>
      <c r="K16" s="2673" t="s">
        <v>924</v>
      </c>
      <c r="L16" s="2674"/>
      <c r="M16" s="2625"/>
    </row>
    <row r="17" spans="1:37" s="706" customFormat="1" ht="18" customHeight="1">
      <c r="A17" s="2435" t="s">
        <v>2607</v>
      </c>
      <c r="B17" s="684" t="s">
        <v>358</v>
      </c>
      <c r="C17" s="313">
        <f ca="1">ROUND(F17*(F43+INDIRECT("'数据-取费表'!S"&amp;$G$1))/10000,0)</f>
        <v>1129</v>
      </c>
      <c r="D17" s="684" t="s">
        <v>925</v>
      </c>
      <c r="E17" s="684" t="s">
        <v>926</v>
      </c>
      <c r="F17" s="315">
        <f>'数据-取费表'!B35</f>
        <v>200</v>
      </c>
      <c r="G17" s="2286"/>
      <c r="H17" s="2435" t="s">
        <v>2372</v>
      </c>
      <c r="I17" s="684" t="s">
        <v>359</v>
      </c>
      <c r="J17" s="313">
        <f ca="1">ROUND(IF(项目基本情况!B11="自然人",J5*M17,J18+J19+J20),1)</f>
        <v>213.4</v>
      </c>
      <c r="K17" s="3349" t="s">
        <v>927</v>
      </c>
      <c r="L17" s="3351" t="s">
        <v>928</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5" t="s">
        <v>2608</v>
      </c>
      <c r="B18" s="684" t="s">
        <v>360</v>
      </c>
      <c r="C18" s="313">
        <f ca="1">ROUND(C14*F18,0)</f>
        <v>254</v>
      </c>
      <c r="D18" s="684" t="s">
        <v>921</v>
      </c>
      <c r="E18" s="684" t="s">
        <v>361</v>
      </c>
      <c r="F18" s="707">
        <f>'数据-取费表'!B36</f>
        <v>1.4999999999999999E-2</v>
      </c>
      <c r="G18" s="2286"/>
      <c r="H18" s="2435" t="s">
        <v>2369</v>
      </c>
      <c r="I18" s="684" t="s">
        <v>929</v>
      </c>
      <c r="J18" s="313">
        <f ca="1">ROUND(J5*M18/(1+'数据-取费表'!C42),2)</f>
        <v>0</v>
      </c>
      <c r="K18" s="3351" t="s">
        <v>930</v>
      </c>
      <c r="L18" s="684" t="s">
        <v>361</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5" t="s">
        <v>2372</v>
      </c>
      <c r="B19" s="684" t="s">
        <v>362</v>
      </c>
      <c r="C19" s="313">
        <f ca="1">SUM(C14:C18)</f>
        <v>18826</v>
      </c>
      <c r="D19" s="471" t="s">
        <v>931</v>
      </c>
      <c r="E19" s="3354"/>
      <c r="F19" s="315"/>
      <c r="G19" s="2285"/>
      <c r="H19" s="2435" t="s">
        <v>2605</v>
      </c>
      <c r="I19" s="684" t="s">
        <v>932</v>
      </c>
      <c r="J19" s="313">
        <f ca="1">IF(K19="按租金收入计税",ROUND(J5*M19,2),ROUND(C29*M19*0.7,2))</f>
        <v>209.34</v>
      </c>
      <c r="K19" s="1301" t="s">
        <v>2412</v>
      </c>
      <c r="L19" s="684" t="s">
        <v>361</v>
      </c>
      <c r="M19" s="707">
        <f>IF(K19="按租金收入计税",'数据-取费表'!B51,'数据-取费表'!B50)</f>
        <v>1.2E-2</v>
      </c>
    </row>
    <row r="20" spans="1:37" s="706" customFormat="1" ht="18" customHeight="1">
      <c r="A20" s="2435" t="s">
        <v>2609</v>
      </c>
      <c r="B20" s="684" t="s">
        <v>363</v>
      </c>
      <c r="C20" s="313">
        <f ca="1">ROUND(C19*F20,0)</f>
        <v>377</v>
      </c>
      <c r="D20" s="709" t="s">
        <v>933</v>
      </c>
      <c r="E20" s="684" t="s">
        <v>361</v>
      </c>
      <c r="F20" s="707">
        <f>'数据-取费表'!B37</f>
        <v>0.02</v>
      </c>
      <c r="G20" s="2286"/>
      <c r="H20" s="2435" t="s">
        <v>2606</v>
      </c>
      <c r="I20" s="496" t="s">
        <v>934</v>
      </c>
      <c r="J20" s="314">
        <f ca="1">ROUND(M20*M21/10000,2)</f>
        <v>4.04</v>
      </c>
      <c r="K20" s="710" t="s">
        <v>935</v>
      </c>
      <c r="L20" s="684" t="s">
        <v>936</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5" t="s">
        <v>2610</v>
      </c>
      <c r="B21" s="684" t="s">
        <v>937</v>
      </c>
      <c r="C21" s="313" t="s">
        <v>23</v>
      </c>
      <c r="D21" s="709" t="s">
        <v>938</v>
      </c>
      <c r="E21" s="684" t="s">
        <v>939</v>
      </c>
      <c r="F21" s="707">
        <f>'数据-取费表'!B38</f>
        <v>0.02</v>
      </c>
      <c r="G21" s="2286"/>
      <c r="H21" s="712"/>
      <c r="I21" s="693"/>
      <c r="J21" s="318"/>
      <c r="K21" s="713"/>
      <c r="L21" s="684" t="s">
        <v>940</v>
      </c>
      <c r="M21" s="685">
        <f ca="1">INDIRECT("'数据-取费表'!r"&amp;$G$1)</f>
        <v>13483.3</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5" t="s">
        <v>2611</v>
      </c>
      <c r="B22" s="684" t="s">
        <v>941</v>
      </c>
      <c r="C22" s="313"/>
      <c r="D22" s="2698" t="str">
        <f>IF(F23&lt;=1,"单利计息。","复利计息。")&amp;"建造成本、管理费用、销售费用产生的利息。"</f>
        <v>复利计息。建造成本、管理费用、销售费用产生的利息。</v>
      </c>
      <c r="E22" s="3354"/>
      <c r="F22" s="315"/>
      <c r="G22" s="2285"/>
      <c r="H22" s="2435" t="s">
        <v>2379</v>
      </c>
      <c r="I22" s="684" t="s">
        <v>942</v>
      </c>
      <c r="J22" s="313">
        <f ca="1">ROUND(J14*M22,1)</f>
        <v>373.8</v>
      </c>
      <c r="K22" s="3351" t="s">
        <v>943</v>
      </c>
      <c r="L22" s="684" t="s">
        <v>361</v>
      </c>
      <c r="M22" s="714">
        <f ca="1">INDIRECT("'数据-取费表'!Ak"&amp;$G$1)</f>
        <v>1.4999999999999999E-2</v>
      </c>
    </row>
    <row r="23" spans="1:37" s="706" customFormat="1" ht="18" customHeight="1">
      <c r="A23" s="2435" t="s">
        <v>2369</v>
      </c>
      <c r="B23" s="684" t="s">
        <v>2525</v>
      </c>
      <c r="C23" s="313">
        <f ca="1">IF('数据-取费表'!B22&lt;=1,ROUND(C19*F24*F23/2,0)+ROUND(C20*F24*F23/2,0),ROUND(C19*(POWER((1+F24),F23/2)-1),0)+ROUND(C20*(POWER((1+F24),F23/2)-1),0))</f>
        <v>912</v>
      </c>
      <c r="D23" s="2702" t="str">
        <f>IF(F23&lt;=1,"(建造成本+管理费用)×利率×(建设周期÷2)","(建造成本+管理费用)×((1+利率)^(建设周期÷2)-1)")</f>
        <v>(建造成本+管理费用)×((1+利率)^(建设周期÷2)-1)</v>
      </c>
      <c r="E23" s="684" t="s">
        <v>944</v>
      </c>
      <c r="F23" s="711">
        <f>'数据-取费表'!B20</f>
        <v>2</v>
      </c>
      <c r="G23" s="2286"/>
      <c r="H23" s="2435" t="s">
        <v>2610</v>
      </c>
      <c r="I23" s="684" t="s">
        <v>364</v>
      </c>
      <c r="J23" s="313">
        <f ca="1">ROUND(J13*M23,1)</f>
        <v>0</v>
      </c>
      <c r="K23" s="3351" t="s">
        <v>945</v>
      </c>
      <c r="L23" s="684" t="s">
        <v>361</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5" t="s">
        <v>2375</v>
      </c>
      <c r="B24" s="684" t="s">
        <v>946</v>
      </c>
      <c r="C24" s="313">
        <f ca="1">ROUND(IF('数据-取费表'!B22&lt;=1,F21*F24*F23/2,F21*(POWER((1+F24),F23/2)-1)),4)</f>
        <v>1E-3</v>
      </c>
      <c r="D24" s="2702" t="str">
        <f>IF(F23&lt;=1,"销售费用×利率×(建设周期÷2)","销售费用×((1+利率)^(建设周期÷2)-1)")</f>
        <v>销售费用×((1+利率)^(建设周期÷2)-1)</v>
      </c>
      <c r="E24" s="684" t="s">
        <v>947</v>
      </c>
      <c r="F24" s="717">
        <f ca="1">'数据-取费表'!B40</f>
        <v>4.7500000000000001E-2</v>
      </c>
      <c r="G24" s="2286"/>
      <c r="H24" s="2675" t="s">
        <v>2611</v>
      </c>
      <c r="I24" s="2676" t="s">
        <v>363</v>
      </c>
      <c r="J24" s="2677">
        <f ca="1">ROUND(J5*M24,1)</f>
        <v>0</v>
      </c>
      <c r="K24" s="2678" t="s">
        <v>367</v>
      </c>
      <c r="L24" s="2676" t="s">
        <v>361</v>
      </c>
      <c r="M24" s="2672">
        <f ca="1">INDIRECT("'数据-取费表'!Am"&amp;$G$1)</f>
        <v>2E-3</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5" t="s">
        <v>2376</v>
      </c>
      <c r="B25" s="684" t="s">
        <v>368</v>
      </c>
      <c r="C25" s="313"/>
      <c r="D25" s="471" t="s">
        <v>949</v>
      </c>
      <c r="E25" s="3354"/>
      <c r="F25" s="315"/>
      <c r="G25" s="2285"/>
      <c r="H25" s="2663" t="s">
        <v>2352</v>
      </c>
      <c r="I25" s="2680" t="s">
        <v>373</v>
      </c>
      <c r="J25" s="692">
        <f ca="1">J5-J16</f>
        <v>-587</v>
      </c>
      <c r="K25" s="2681" t="s">
        <v>374</v>
      </c>
      <c r="L25" s="2682"/>
      <c r="M25" s="2683"/>
    </row>
    <row r="26" spans="1:37" ht="18" customHeight="1">
      <c r="A26" s="2435" t="s">
        <v>2369</v>
      </c>
      <c r="B26" s="684" t="s">
        <v>2526</v>
      </c>
      <c r="C26" s="313">
        <f ca="1">ROUND((C19+C20)*F26,0)</f>
        <v>2880</v>
      </c>
      <c r="D26" s="709" t="s">
        <v>952</v>
      </c>
      <c r="E26" s="695" t="s">
        <v>953</v>
      </c>
      <c r="F26" s="694">
        <f ca="1">INDIRECT("'数据-取费表'!q"&amp;$G$1)</f>
        <v>0.15</v>
      </c>
      <c r="G26" s="2285"/>
      <c r="H26" s="681" t="s">
        <v>2355</v>
      </c>
      <c r="I26" s="682" t="s">
        <v>954</v>
      </c>
      <c r="J26" s="683">
        <f ca="1">IF(J5&lt;&gt;0,ROUND(J25*(1-((1+M28)/(1+M26))^M27)/(M26-M28),0),0)</f>
        <v>0</v>
      </c>
      <c r="K26" s="710" t="s">
        <v>955</v>
      </c>
      <c r="L26" s="684" t="s">
        <v>370</v>
      </c>
      <c r="M26" s="694">
        <f ca="1">INDIRECT("'数据-取费表'!I"&amp;$G$1)</f>
        <v>0.05</v>
      </c>
    </row>
    <row r="27" spans="1:37" ht="18" customHeight="1">
      <c r="A27" s="2435" t="s">
        <v>2375</v>
      </c>
      <c r="B27" s="684" t="s">
        <v>371</v>
      </c>
      <c r="C27" s="313">
        <f ca="1">ROUND(F21*F26,4)</f>
        <v>3.0000000000000001E-3</v>
      </c>
      <c r="D27" s="709" t="s">
        <v>956</v>
      </c>
      <c r="E27" s="704"/>
      <c r="F27" s="705"/>
      <c r="G27" s="2285"/>
      <c r="H27" s="686"/>
      <c r="I27" s="687"/>
      <c r="J27" s="688"/>
      <c r="K27" s="718" t="s">
        <v>957</v>
      </c>
      <c r="L27" s="684" t="s">
        <v>377</v>
      </c>
      <c r="M27" s="719">
        <f ca="1">INDIRECT("'数据-取费表'!ag"&amp;$G$1)</f>
        <v>0</v>
      </c>
    </row>
    <row r="28" spans="1:37" s="706" customFormat="1" ht="18" customHeight="1">
      <c r="A28" s="2435" t="s">
        <v>2377</v>
      </c>
      <c r="B28" s="684" t="s">
        <v>372</v>
      </c>
      <c r="C28" s="313">
        <f>ROUND(F28/(1+'数据-取费表'!C42),4)</f>
        <v>5.33E-2</v>
      </c>
      <c r="D28" s="709" t="s">
        <v>963</v>
      </c>
      <c r="E28" s="684" t="s">
        <v>361</v>
      </c>
      <c r="F28" s="707">
        <f>'数据-取费表'!B41</f>
        <v>5.6000000000000001E-2</v>
      </c>
      <c r="G28" s="2286"/>
      <c r="H28" s="690"/>
      <c r="I28" s="691"/>
      <c r="J28" s="692"/>
      <c r="K28" s="713"/>
      <c r="L28" s="684" t="s">
        <v>964</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5" t="s">
        <v>2378</v>
      </c>
      <c r="B29" s="2676" t="s">
        <v>965</v>
      </c>
      <c r="C29" s="2677">
        <f ca="1">ROUND((C19+C20+C23+C26)/(1-F21-C24-C27-C28),0)</f>
        <v>24921</v>
      </c>
      <c r="D29" s="2678"/>
      <c r="E29" s="2676"/>
      <c r="F29" s="2679"/>
      <c r="G29" s="2286"/>
      <c r="H29" s="720" t="s">
        <v>2362</v>
      </c>
      <c r="I29" s="721" t="s">
        <v>958</v>
      </c>
      <c r="J29" s="722">
        <f ca="1">ROUND(J26/(1+F40)^F41,0)</f>
        <v>0</v>
      </c>
      <c r="K29" s="723" t="s">
        <v>959</v>
      </c>
      <c r="L29" s="724"/>
      <c r="M29" s="725">
        <f ca="1">INDIRECT("'数据-取费表'!k"&amp;$G$1)</f>
        <v>56450.890000000058</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3" t="s">
        <v>2337</v>
      </c>
      <c r="B30" s="2664" t="s">
        <v>923</v>
      </c>
      <c r="C30" s="692">
        <f ca="1">ROUND(C31+C36+C37+C38,0)</f>
        <v>1206</v>
      </c>
      <c r="D30" s="2673" t="s">
        <v>924</v>
      </c>
      <c r="E30" s="2674"/>
      <c r="F30" s="2625"/>
      <c r="G30" s="2285"/>
      <c r="H30" s="1278"/>
      <c r="I30" s="1279"/>
      <c r="J30" s="1280"/>
      <c r="K30" s="1281"/>
      <c r="L30" s="1282"/>
      <c r="M30" s="1283"/>
    </row>
    <row r="31" spans="1:37" ht="18" customHeight="1">
      <c r="A31" s="2435" t="s">
        <v>2372</v>
      </c>
      <c r="B31" s="684" t="s">
        <v>359</v>
      </c>
      <c r="C31" s="313">
        <f ca="1">ROUND(IF(项目基本情况!B11="自然人",C5*F31,C32+C33+C34),1)</f>
        <v>774.6</v>
      </c>
      <c r="D31" s="3349" t="s">
        <v>927</v>
      </c>
      <c r="E31" s="3351" t="s">
        <v>966</v>
      </c>
      <c r="F31" s="708" t="str">
        <f ca="1">IF(项目基本情况!B11="企业","",IF(INDIRECT("'数据-取费表'!c"&amp;$G$1)="住宅",5%,IF(F6*F7*F8/12/(1+'数据-取费表'!C42)&gt;20000,12%,7%)))</f>
        <v/>
      </c>
      <c r="G31" s="2285"/>
      <c r="H31" s="1278"/>
      <c r="I31" s="1279"/>
      <c r="J31" s="1280"/>
      <c r="K31" s="1281"/>
      <c r="L31" s="1282"/>
      <c r="M31" s="1283"/>
    </row>
    <row r="32" spans="1:37" ht="18" customHeight="1">
      <c r="A32" s="2435" t="s">
        <v>2369</v>
      </c>
      <c r="B32" s="684" t="s">
        <v>929</v>
      </c>
      <c r="C32" s="313">
        <f ca="1">IF(项目基本情况!B11="自然人","——",ROUND(C5*F32/(1+'数据-取费表'!C42),2))</f>
        <v>561.23</v>
      </c>
      <c r="D32" s="3351" t="s">
        <v>930</v>
      </c>
      <c r="E32" s="684" t="s">
        <v>361</v>
      </c>
      <c r="F32" s="717">
        <f>'数据-取费表'!B41</f>
        <v>5.6000000000000001E-2</v>
      </c>
      <c r="G32" s="2285"/>
      <c r="H32" s="1284"/>
      <c r="I32" s="1285"/>
      <c r="J32" s="1286"/>
      <c r="K32" s="1287"/>
      <c r="L32" s="1288"/>
      <c r="M32" s="1289"/>
    </row>
    <row r="33" spans="1:18" ht="18" customHeight="1">
      <c r="A33" s="2435" t="s">
        <v>2605</v>
      </c>
      <c r="B33" s="684" t="s">
        <v>932</v>
      </c>
      <c r="C33" s="313">
        <f ca="1">IF(项目基本情况!B11="自然人","——",IF(D33="按租金收入计税",ROUND(C5*F33,2),IF(D33="按房产原值计税",ROUND(C29*F33*0.7,2),INDIRECT("'数据-取费表'!Aj"&amp;$G$1))))</f>
        <v>209.34</v>
      </c>
      <c r="D33" s="1301" t="s">
        <v>2412</v>
      </c>
      <c r="E33" s="684" t="s">
        <v>361</v>
      </c>
      <c r="F33" s="707">
        <f>IF(D33="按票据","——",IF(D33="按租金收入计税",'数据-取费表'!B51,'数据-取费表'!B50))</f>
        <v>1.2E-2</v>
      </c>
      <c r="G33" s="2285"/>
      <c r="H33" s="1290"/>
      <c r="I33" s="2881"/>
      <c r="J33" s="2882"/>
      <c r="K33" s="1291"/>
      <c r="L33" s="1290"/>
      <c r="M33" s="1290"/>
    </row>
    <row r="34" spans="1:18" ht="18" customHeight="1">
      <c r="A34" s="2619" t="s">
        <v>2606</v>
      </c>
      <c r="B34" s="496" t="s">
        <v>934</v>
      </c>
      <c r="C34" s="314">
        <f ca="1">IF(项目基本情况!B11="自然人","——",ROUND(F34*F35/10000,2))</f>
        <v>4.04</v>
      </c>
      <c r="D34" s="710" t="s">
        <v>935</v>
      </c>
      <c r="E34" s="684" t="s">
        <v>936</v>
      </c>
      <c r="F34" s="711">
        <f>'数据-取费表'!B52</f>
        <v>3</v>
      </c>
      <c r="G34" s="2285"/>
      <c r="H34" s="1278"/>
      <c r="I34" s="2881"/>
      <c r="J34" s="2882"/>
      <c r="K34" s="1292"/>
      <c r="L34" s="1293"/>
      <c r="M34" s="1293"/>
    </row>
    <row r="35" spans="1:18" ht="18" customHeight="1">
      <c r="A35" s="2693"/>
      <c r="B35" s="2691"/>
      <c r="C35" s="318"/>
      <c r="D35" s="713"/>
      <c r="E35" s="684" t="s">
        <v>940</v>
      </c>
      <c r="F35" s="685">
        <f ca="1">INDIRECT("'数据-取费表'!r"&amp;$G$1)</f>
        <v>13483.3</v>
      </c>
      <c r="G35" s="2285"/>
      <c r="H35" s="1278"/>
      <c r="I35" s="2881"/>
      <c r="J35" s="2882"/>
      <c r="K35" s="1291"/>
      <c r="L35" s="1290"/>
      <c r="M35" s="1290"/>
    </row>
    <row r="36" spans="1:18" ht="18" customHeight="1">
      <c r="A36" s="2692" t="s">
        <v>2379</v>
      </c>
      <c r="B36" s="684" t="s">
        <v>942</v>
      </c>
      <c r="C36" s="313">
        <f ca="1">ROUND(C29*F36,1)</f>
        <v>373.8</v>
      </c>
      <c r="D36" s="3351" t="s">
        <v>972</v>
      </c>
      <c r="E36" s="684" t="s">
        <v>361</v>
      </c>
      <c r="F36" s="714">
        <f ca="1">INDIRECT("'数据-取费表'!Ak"&amp;$G$1)</f>
        <v>1.4999999999999999E-2</v>
      </c>
      <c r="G36" s="2285"/>
      <c r="H36" s="1290"/>
      <c r="I36" s="2881"/>
      <c r="J36" s="2882"/>
      <c r="K36" s="1294"/>
      <c r="L36" s="1290"/>
      <c r="M36" s="1290"/>
    </row>
    <row r="37" spans="1:18" ht="18" customHeight="1">
      <c r="A37" s="2435" t="s">
        <v>2610</v>
      </c>
      <c r="B37" s="684" t="s">
        <v>364</v>
      </c>
      <c r="C37" s="313">
        <f ca="1">ROUND(C13*F37,1)</f>
        <v>36.6</v>
      </c>
      <c r="D37" s="3351" t="s">
        <v>365</v>
      </c>
      <c r="E37" s="684" t="s">
        <v>361</v>
      </c>
      <c r="F37" s="716">
        <f ca="1">INDIRECT("'数据-取费表'!Al"&amp;$G$1)</f>
        <v>1.5E-3</v>
      </c>
      <c r="G37" s="2285"/>
      <c r="H37" s="1290"/>
      <c r="I37" s="2881"/>
      <c r="J37" s="2882"/>
      <c r="K37" s="1294"/>
      <c r="L37" s="1290"/>
      <c r="M37" s="1290"/>
    </row>
    <row r="38" spans="1:18" ht="18" customHeight="1" thickBot="1">
      <c r="A38" s="2675" t="s">
        <v>2611</v>
      </c>
      <c r="B38" s="2676" t="s">
        <v>363</v>
      </c>
      <c r="C38" s="2677">
        <f ca="1">ROUND(C5*F38,1)</f>
        <v>21</v>
      </c>
      <c r="D38" s="2678" t="s">
        <v>367</v>
      </c>
      <c r="E38" s="2676" t="s">
        <v>361</v>
      </c>
      <c r="F38" s="2672">
        <f ca="1">INDIRECT("'数据-取费表'!Am"&amp;$G$1)</f>
        <v>2E-3</v>
      </c>
      <c r="G38" s="2285"/>
      <c r="H38" s="1290"/>
      <c r="I38" s="2881"/>
      <c r="J38" s="2882"/>
      <c r="K38" s="1295"/>
      <c r="L38" s="1290"/>
      <c r="M38" s="1290"/>
    </row>
    <row r="39" spans="1:18" ht="24.6" customHeight="1" thickTop="1">
      <c r="A39" s="2663" t="s">
        <v>2352</v>
      </c>
      <c r="B39" s="2680" t="s">
        <v>373</v>
      </c>
      <c r="C39" s="692">
        <f ca="1">C5-C30</f>
        <v>9317</v>
      </c>
      <c r="D39" s="2681" t="s">
        <v>374</v>
      </c>
      <c r="E39" s="2682"/>
      <c r="F39" s="2683"/>
      <c r="G39" s="2285"/>
      <c r="H39" s="1290"/>
      <c r="I39" s="2881"/>
      <c r="J39" s="2882"/>
      <c r="K39" s="1295"/>
      <c r="L39" s="1290"/>
      <c r="M39" s="1290"/>
    </row>
    <row r="40" spans="1:18" ht="18" customHeight="1">
      <c r="A40" s="681" t="s">
        <v>2355</v>
      </c>
      <c r="B40" s="682" t="s">
        <v>375</v>
      </c>
      <c r="C40" s="683">
        <f ca="1">ROUND(C39*(1-((1+F42)/(1+F40))^F41)/(F40-F42),0)</f>
        <v>266015</v>
      </c>
      <c r="D40" s="710" t="s">
        <v>369</v>
      </c>
      <c r="E40" s="684" t="s">
        <v>370</v>
      </c>
      <c r="F40" s="694">
        <f ca="1">INDIRECT("'数据-取费表'!I"&amp;$G$1)</f>
        <v>0.05</v>
      </c>
      <c r="G40" s="2285"/>
      <c r="H40" s="1296"/>
      <c r="I40" s="2881"/>
      <c r="J40" s="2882"/>
      <c r="K40" s="1295"/>
      <c r="L40" s="1296"/>
      <c r="M40" s="1296"/>
    </row>
    <row r="41" spans="1:18" ht="18" customHeight="1">
      <c r="A41" s="686"/>
      <c r="B41" s="687"/>
      <c r="C41" s="688"/>
      <c r="D41" s="718" t="s">
        <v>376</v>
      </c>
      <c r="E41" s="684" t="s">
        <v>377</v>
      </c>
      <c r="F41" s="719">
        <f ca="1">IF(INDIRECT("'数据-取费表'!af"&amp;$G$1)=0,INDIRECT("'数据-取费表'!ae"&amp;$G$1),INDIRECT("'数据-取费表'!af"&amp;$G$1))</f>
        <v>44.01</v>
      </c>
      <c r="G41" s="2285"/>
      <c r="H41" s="1192"/>
      <c r="I41" s="2881"/>
      <c r="J41" s="2882"/>
      <c r="K41" s="1294"/>
      <c r="L41" s="1192"/>
      <c r="M41" s="1192"/>
    </row>
    <row r="42" spans="1:18" ht="18" customHeight="1">
      <c r="A42" s="690"/>
      <c r="B42" s="691"/>
      <c r="C42" s="692"/>
      <c r="D42" s="713"/>
      <c r="E42" s="684" t="s">
        <v>378</v>
      </c>
      <c r="F42" s="694">
        <f ca="1">INDIRECT("'数据-取费表'!v"&amp;$G$1)</f>
        <v>0.03</v>
      </c>
      <c r="G42" s="2285"/>
      <c r="H42" s="1192"/>
      <c r="I42" s="2881"/>
      <c r="J42" s="2882"/>
      <c r="K42" s="1294"/>
      <c r="L42" s="1192"/>
      <c r="M42" s="1192"/>
    </row>
    <row r="43" spans="1:18" ht="18" customHeight="1" thickBot="1">
      <c r="A43" s="720" t="s">
        <v>2362</v>
      </c>
      <c r="B43" s="721" t="s">
        <v>379</v>
      </c>
      <c r="C43" s="722">
        <f ca="1">ROUND(C40*10000/F43,0)</f>
        <v>47123</v>
      </c>
      <c r="D43" s="723" t="s">
        <v>380</v>
      </c>
      <c r="E43" s="724" t="s">
        <v>381</v>
      </c>
      <c r="F43" s="725">
        <f ca="1">INDIRECT("'数据-取费表'!k"&amp;$G$1)</f>
        <v>56450.890000000058</v>
      </c>
      <c r="G43" s="2285"/>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8" t="s">
        <v>2485</v>
      </c>
      <c r="P45" s="1296"/>
      <c r="Q45" s="1296"/>
      <c r="R45" s="1296"/>
    </row>
    <row r="46" spans="1:18" s="1455" customFormat="1" ht="21" thickBot="1">
      <c r="A46" s="2393" t="s">
        <v>2324</v>
      </c>
      <c r="B46" s="2394"/>
      <c r="C46" s="2722">
        <f ca="1">C68-C40</f>
        <v>-277037</v>
      </c>
      <c r="D46" s="2723" t="str">
        <f>C2</f>
        <v>万元</v>
      </c>
      <c r="E46" s="1433"/>
      <c r="F46" s="1433"/>
      <c r="I46" s="2575" t="s">
        <v>2420</v>
      </c>
      <c r="J46" s="2576"/>
      <c r="K46" s="2577"/>
      <c r="L46" s="2579">
        <f ca="1">IF(M47="住宅",0,IF(L48&gt;J51,L60,J60))</f>
        <v>275</v>
      </c>
      <c r="O46" s="2591" t="s">
        <v>2463</v>
      </c>
      <c r="P46" s="2592" t="s">
        <v>2464</v>
      </c>
      <c r="Q46" s="2593" t="s">
        <v>2462</v>
      </c>
      <c r="R46" s="2593" t="s">
        <v>2465</v>
      </c>
    </row>
    <row r="47" spans="1:18" s="1455" customFormat="1" ht="15.75" thickBot="1">
      <c r="A47" s="2395" t="s">
        <v>907</v>
      </c>
      <c r="B47" s="2431" t="s">
        <v>908</v>
      </c>
      <c r="C47" s="2727" t="s">
        <v>909</v>
      </c>
      <c r="D47" s="2431" t="s">
        <v>910</v>
      </c>
      <c r="E47" s="2534" t="s">
        <v>911</v>
      </c>
      <c r="F47" s="2535"/>
      <c r="G47" s="1457"/>
      <c r="I47" s="2550" t="s">
        <v>2413</v>
      </c>
      <c r="J47" s="2551" t="s">
        <v>3471</v>
      </c>
      <c r="K47" s="2560" t="s">
        <v>2436</v>
      </c>
      <c r="L47" s="2561">
        <f ca="1">INDIRECT("'数据-取费表'!d"&amp;$G$1)</f>
        <v>50</v>
      </c>
      <c r="M47" s="2581" t="str">
        <f>IF(ISNUMBER(FIND("住宅",C1)),"住宅","非住宅")</f>
        <v>非住宅</v>
      </c>
      <c r="O47" s="2584" t="s">
        <v>2448</v>
      </c>
      <c r="P47" s="2594" t="s">
        <v>2466</v>
      </c>
      <c r="Q47" s="2585">
        <f ca="1">C40+J29</f>
        <v>266015</v>
      </c>
      <c r="R47" s="2585" t="s">
        <v>2467</v>
      </c>
    </row>
    <row r="48" spans="1:18" s="1455" customFormat="1" ht="47.25" thickBot="1">
      <c r="A48" s="2708" t="s">
        <v>2616</v>
      </c>
      <c r="B48" s="682" t="s">
        <v>2331</v>
      </c>
      <c r="C48" s="3353">
        <f ca="1">C49+C53+C55</f>
        <v>0</v>
      </c>
      <c r="D48" s="2712"/>
      <c r="E48" s="2713"/>
      <c r="F48" s="2415"/>
      <c r="G48" s="1457"/>
      <c r="H48" s="1458"/>
      <c r="I48" s="2541" t="s">
        <v>2414</v>
      </c>
      <c r="J48" s="2552" t="s">
        <v>2415</v>
      </c>
      <c r="K48" s="2562" t="s">
        <v>678</v>
      </c>
      <c r="L48" s="2165">
        <f ca="1">INDIRECT("'数据-取费表'!f"&amp;$G$1)</f>
        <v>44.01</v>
      </c>
      <c r="O48" s="2584" t="s">
        <v>2449</v>
      </c>
      <c r="P48" s="2594" t="s">
        <v>2468</v>
      </c>
      <c r="Q48" s="2585">
        <f ca="1">J60</f>
        <v>275</v>
      </c>
      <c r="R48" s="2585" t="s">
        <v>2476</v>
      </c>
    </row>
    <row r="49" spans="1:18" s="1455" customFormat="1" ht="15.75" thickBot="1">
      <c r="A49" s="2428" t="s">
        <v>2617</v>
      </c>
      <c r="B49" s="2711" t="s">
        <v>2619</v>
      </c>
      <c r="C49" s="2720">
        <f ca="1">ROUND(F49*F51*F50*(1-F52)/10000,0)</f>
        <v>0</v>
      </c>
      <c r="D49" s="2530" t="s">
        <v>2332</v>
      </c>
      <c r="E49" s="2533" t="s">
        <v>2325</v>
      </c>
      <c r="F49" s="2536"/>
      <c r="G49" s="1459"/>
      <c r="H49" s="1458"/>
      <c r="I49" s="2541" t="s">
        <v>2434</v>
      </c>
      <c r="J49" s="2553">
        <v>2016</v>
      </c>
      <c r="K49" s="2563" t="s">
        <v>2439</v>
      </c>
      <c r="L49" s="2564"/>
      <c r="O49" s="2586" t="s">
        <v>2450</v>
      </c>
      <c r="P49" s="2594" t="s">
        <v>2469</v>
      </c>
      <c r="Q49" s="2585">
        <f ca="1">C29</f>
        <v>24921</v>
      </c>
      <c r="R49" s="2585" t="s">
        <v>2467</v>
      </c>
    </row>
    <row r="50" spans="1:18" s="1455" customFormat="1" ht="15.75" thickBot="1">
      <c r="A50" s="2429"/>
      <c r="B50" s="2432"/>
      <c r="C50" s="2728"/>
      <c r="D50" s="2402"/>
      <c r="E50" s="2531" t="s">
        <v>913</v>
      </c>
      <c r="F50" s="2532">
        <f ca="1">F7</f>
        <v>56450.890000000058</v>
      </c>
      <c r="H50" s="1458"/>
      <c r="I50" s="2541" t="s">
        <v>2416</v>
      </c>
      <c r="J50" s="2554">
        <f>SUMPRODUCT((I63:I65=J47)*(J62:L62=J48)*(J63:L65))</f>
        <v>60</v>
      </c>
      <c r="K50" s="2563" t="s">
        <v>2440</v>
      </c>
      <c r="L50" s="2564"/>
      <c r="M50" s="2558"/>
      <c r="O50" s="2586" t="s">
        <v>2451</v>
      </c>
      <c r="P50" s="2594" t="s">
        <v>2477</v>
      </c>
      <c r="Q50" s="2587">
        <f ca="1">J58</f>
        <v>0.4</v>
      </c>
      <c r="R50" s="2585"/>
    </row>
    <row r="51" spans="1:18" s="1455" customFormat="1" ht="15.75" thickBot="1">
      <c r="A51" s="2430"/>
      <c r="B51" s="2432"/>
      <c r="C51" s="2433"/>
      <c r="D51" s="2402"/>
      <c r="E51" s="2434" t="s">
        <v>914</v>
      </c>
      <c r="F51" s="685">
        <f ca="1">F8</f>
        <v>365</v>
      </c>
      <c r="I51" s="2555" t="s">
        <v>2421</v>
      </c>
      <c r="J51" s="2556">
        <f>IF(J49="",J50,J49+J50-YEAR('数据-取费表'!B2))</f>
        <v>59</v>
      </c>
      <c r="K51" s="2565" t="s">
        <v>2441</v>
      </c>
      <c r="L51" s="2578">
        <f ca="1">ROUND(-PV(INDIRECT("'数据-取费表'!h"&amp;$G$1),L48,(C39-C13*C76),0),0)</f>
        <v>137723</v>
      </c>
      <c r="M51" s="2559"/>
      <c r="O51" s="2586" t="s">
        <v>2452</v>
      </c>
      <c r="P51" s="2594" t="s">
        <v>2478</v>
      </c>
      <c r="Q51" s="2587">
        <f>J52</f>
        <v>8.5000000000000006E-2</v>
      </c>
      <c r="R51" s="2585"/>
    </row>
    <row r="52" spans="1:18" s="1455" customFormat="1" ht="15.75" thickBot="1">
      <c r="A52" s="2430"/>
      <c r="B52" s="2432"/>
      <c r="C52" s="2433"/>
      <c r="D52" s="2402"/>
      <c r="E52" s="2434" t="s">
        <v>915</v>
      </c>
      <c r="F52" s="2529"/>
      <c r="I52" s="2557" t="s">
        <v>2444</v>
      </c>
      <c r="J52" s="2571">
        <f>'数据-取费表'!J8</f>
        <v>8.5000000000000006E-2</v>
      </c>
      <c r="K52" s="2557" t="s">
        <v>2429</v>
      </c>
      <c r="L52" s="2571">
        <f>'数据-取费表'!H8</f>
        <v>4.4999999999999998E-2</v>
      </c>
      <c r="M52" s="2394"/>
      <c r="O52" s="2586" t="s">
        <v>2453</v>
      </c>
      <c r="P52" s="2594" t="s">
        <v>2470</v>
      </c>
      <c r="Q52" s="2585">
        <f ca="1">J53</f>
        <v>44.01</v>
      </c>
      <c r="R52" s="2585" t="s">
        <v>2471</v>
      </c>
    </row>
    <row r="53" spans="1:18" s="1455" customFormat="1" ht="43.5" thickBot="1">
      <c r="A53" s="2826" t="s">
        <v>2618</v>
      </c>
      <c r="B53" s="433" t="s">
        <v>2528</v>
      </c>
      <c r="C53" s="698">
        <f ca="1">ROUND(IF(F53="押一",F49*F51*F50/12*F11,IF(F53="押二",F49*F51*F50/12*2*F11,IF(F53="押三",F49*F51*F50/12*3*F11,C54*F11)))/10000,0)</f>
        <v>0</v>
      </c>
      <c r="D53" s="2631" t="s">
        <v>2536</v>
      </c>
      <c r="E53" s="2094" t="s">
        <v>2530</v>
      </c>
      <c r="F53" s="2828"/>
      <c r="I53" s="2567" t="s">
        <v>2446</v>
      </c>
      <c r="J53" s="2568">
        <f ca="1">IF(M47="住宅",J51,MIN(J51,L48))</f>
        <v>44.01</v>
      </c>
      <c r="K53" s="35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8"/>
      <c r="O53" s="2584" t="s">
        <v>2454</v>
      </c>
      <c r="P53" s="2594" t="s">
        <v>2472</v>
      </c>
      <c r="Q53" s="2585">
        <f ca="1">Q47+Q48</f>
        <v>266290</v>
      </c>
      <c r="R53" s="2585" t="s">
        <v>2455</v>
      </c>
    </row>
    <row r="54" spans="1:18" s="1455" customFormat="1" ht="16.5" thickBot="1">
      <c r="A54" s="2827"/>
      <c r="B54" s="2621" t="s">
        <v>2695</v>
      </c>
      <c r="C54" s="2412"/>
      <c r="D54" s="2631"/>
      <c r="E54" s="3341"/>
      <c r="F54" s="2537"/>
      <c r="I54" s="2409"/>
      <c r="J54" s="2566"/>
      <c r="K54" s="2566"/>
      <c r="L54" s="2566"/>
      <c r="M54" s="1459"/>
      <c r="O54" s="2588" t="s">
        <v>2479</v>
      </c>
      <c r="P54" s="1296"/>
      <c r="Q54" s="1296"/>
      <c r="R54" s="1296"/>
    </row>
    <row r="55" spans="1:18" s="1455" customFormat="1" ht="15.75" thickBot="1">
      <c r="A55" s="2667" t="s">
        <v>2541</v>
      </c>
      <c r="B55" s="2668" t="s">
        <v>2529</v>
      </c>
      <c r="C55" s="2669"/>
      <c r="D55" s="2631"/>
      <c r="E55" s="3341"/>
      <c r="F55" s="2537"/>
      <c r="I55" s="3318" t="s">
        <v>2422</v>
      </c>
      <c r="J55" s="3317">
        <f ca="1">ROUND(IF(J47="钢混",J57/J50,1-(1-2%)*(J50-J57)/J50),3)</f>
        <v>0.25</v>
      </c>
      <c r="K55" s="2548" t="s">
        <v>2423</v>
      </c>
      <c r="L55" s="2570"/>
      <c r="O55" s="2591" t="s">
        <v>2463</v>
      </c>
      <c r="P55" s="2592" t="s">
        <v>2464</v>
      </c>
      <c r="Q55" s="2593" t="s">
        <v>2462</v>
      </c>
      <c r="R55" s="2593" t="s">
        <v>2465</v>
      </c>
    </row>
    <row r="56" spans="1:18" s="1455" customFormat="1" ht="44.25" thickTop="1" thickBot="1">
      <c r="A56" s="2406">
        <v>2</v>
      </c>
      <c r="B56" s="2407" t="s">
        <v>916</v>
      </c>
      <c r="C56" s="608">
        <f ca="1">C13</f>
        <v>24423</v>
      </c>
      <c r="D56" s="2695"/>
      <c r="E56" s="2408"/>
      <c r="F56" s="2537"/>
      <c r="I56" s="2540" t="s">
        <v>2424</v>
      </c>
      <c r="J56" s="2569" t="s">
        <v>41</v>
      </c>
      <c r="K56" s="2541" t="s">
        <v>2428</v>
      </c>
      <c r="L56" s="2165" t="str">
        <f ca="1">IF(L48&lt;J51,"——",L48-J51)</f>
        <v>——</v>
      </c>
      <c r="O56" s="2584" t="s">
        <v>2448</v>
      </c>
      <c r="P56" s="2594" t="s">
        <v>2466</v>
      </c>
      <c r="Q56" s="2585">
        <f ca="1">C40+J29</f>
        <v>266015</v>
      </c>
      <c r="R56" s="2585" t="s">
        <v>2467</v>
      </c>
    </row>
    <row r="57" spans="1:18" s="1455" customFormat="1" ht="29.25" thickBot="1">
      <c r="A57" s="2538"/>
      <c r="B57" s="2399" t="s">
        <v>965</v>
      </c>
      <c r="C57" s="614">
        <f ca="1">C29</f>
        <v>24921</v>
      </c>
      <c r="D57" s="2410"/>
      <c r="E57" s="2411"/>
      <c r="F57" s="2539"/>
      <c r="I57" s="2542" t="s">
        <v>2445</v>
      </c>
      <c r="J57" s="2546">
        <f ca="1">IF(OR(M47="住宅",J51&lt;L48,J56="是"),"——",J51-L48)</f>
        <v>14.990000000000002</v>
      </c>
      <c r="K57" s="2541" t="s">
        <v>2900</v>
      </c>
      <c r="L57" s="2165" t="str">
        <f ca="1">IF(L48&lt;J51,"——",IF(L55="比较法",L49,IF(L55="基准地价",L50,L51)))</f>
        <v>——</v>
      </c>
      <c r="O57" s="2584" t="s">
        <v>2449</v>
      </c>
      <c r="P57" s="2594" t="s">
        <v>2473</v>
      </c>
      <c r="Q57" s="2585">
        <f ca="1">L60</f>
        <v>0</v>
      </c>
      <c r="R57" s="2585" t="s">
        <v>2488</v>
      </c>
    </row>
    <row r="58" spans="1:18" s="1455" customFormat="1" ht="29.25" thickBot="1">
      <c r="A58" s="697" t="s">
        <v>2337</v>
      </c>
      <c r="B58" s="2407" t="s">
        <v>923</v>
      </c>
      <c r="C58" s="698">
        <f ca="1">ROUND(C59+C64+C65+C66,0)</f>
        <v>624</v>
      </c>
      <c r="D58" s="2413" t="s">
        <v>924</v>
      </c>
      <c r="E58" s="2414"/>
      <c r="F58" s="2415"/>
      <c r="I58" s="2542" t="s">
        <v>2425</v>
      </c>
      <c r="J58" s="3319">
        <f ca="1">IF(J55&lt;0.4,0.4,J55)</f>
        <v>0.4</v>
      </c>
      <c r="K58" s="2565" t="s">
        <v>2901</v>
      </c>
      <c r="L58" s="2165">
        <f ca="1">IF(ISERROR(POWER(1+L52,L47-L48)*(POWER(1+L52,L48)-1)/(POWER(1+L52,L47)-1)),0,POWER(1+L52,L47-L48)*(POWER(1+L52,L48)-1)/(POWER(1+L52,L47)-1))</f>
        <v>0.96244233818119329</v>
      </c>
      <c r="O58" s="2586" t="s">
        <v>2450</v>
      </c>
      <c r="P58" s="2594" t="s">
        <v>2480</v>
      </c>
      <c r="Q58" s="2585">
        <f>IF(L55="比较法",L49,IF(L55="基准地价",L50,0))</f>
        <v>0</v>
      </c>
      <c r="R58" s="2585" t="s">
        <v>2467</v>
      </c>
    </row>
    <row r="59" spans="1:18" s="1455" customFormat="1" ht="29.25" thickBot="1">
      <c r="A59" s="2435" t="s">
        <v>2372</v>
      </c>
      <c r="B59" s="2399" t="s">
        <v>359</v>
      </c>
      <c r="C59" s="313">
        <f ca="1">ROUND(IF(项目基本情况!B11="自然人",C48*F59,C60+C61+C62),1)</f>
        <v>213.4</v>
      </c>
      <c r="D59" s="2416" t="s">
        <v>927</v>
      </c>
      <c r="E59" s="2417" t="s">
        <v>928</v>
      </c>
      <c r="F59" s="708" t="str">
        <f ca="1">IF(项目基本情况!B11="企业","",IF(INDIRECT("'数据-取费表'!c"&amp;$G$1)="住宅",5%,IF(F49*F50*F51/12/(1+'数据-取费表'!C42)&gt;20000,12%,7%)))</f>
        <v/>
      </c>
      <c r="I59" s="2542" t="s">
        <v>2426</v>
      </c>
      <c r="J59" s="2546">
        <f ca="1">IF(OR(M47="住宅",J51&lt;L48,J56="是"),"——",ROUND(C29*J58,0))</f>
        <v>9968</v>
      </c>
      <c r="K59" s="2565" t="s">
        <v>2902</v>
      </c>
      <c r="L59" s="2165">
        <f ca="1">IF(ISERROR(POWER(1+L52,L47-J51)*(POWER(1+L52,J51)-1)/(POWER(1+L52,L47)-1)),0,POWER(1+L52,L47-J51)*(POWER(1+L52,J51)-1)/(POWER(1+L52,L47)-1))</f>
        <v>1.0407208245438404</v>
      </c>
      <c r="O59" s="2586" t="s">
        <v>2451</v>
      </c>
      <c r="P59" s="2594" t="s">
        <v>2481</v>
      </c>
      <c r="Q59" s="2587">
        <f>L52</f>
        <v>4.4999999999999998E-2</v>
      </c>
      <c r="R59" s="2585"/>
    </row>
    <row r="60" spans="1:18" s="1455" customFormat="1" ht="20.25" thickBot="1">
      <c r="A60" s="2435" t="s">
        <v>2369</v>
      </c>
      <c r="B60" s="2399" t="s">
        <v>929</v>
      </c>
      <c r="C60" s="313">
        <f ca="1">IF(项目基本情况!B11="自然人","——",ROUND(C48*F60/(1+'数据-取费表'!C42),2))</f>
        <v>0</v>
      </c>
      <c r="D60" s="2417" t="s">
        <v>930</v>
      </c>
      <c r="E60" s="2399" t="s">
        <v>361</v>
      </c>
      <c r="F60" s="717">
        <f t="shared" ref="F60:F66" si="0">F32</f>
        <v>5.6000000000000001E-2</v>
      </c>
      <c r="I60" s="2543" t="s">
        <v>2427</v>
      </c>
      <c r="J60" s="2547">
        <f ca="1">IF(OR(M47="住宅",J51&lt;L48,J56="是"),"0",ROUND(J59/(1+J52)^J53,0))</f>
        <v>275</v>
      </c>
      <c r="K60" s="2549" t="s">
        <v>2430</v>
      </c>
      <c r="L60" s="2547">
        <f ca="1">IF(OR(M47="住宅",L48&lt;J51),0,ROUND(L57*(L58/L59-1),0))</f>
        <v>0</v>
      </c>
      <c r="O60" s="2586" t="s">
        <v>2452</v>
      </c>
      <c r="P60" s="2594" t="s">
        <v>2482</v>
      </c>
      <c r="Q60" s="2585">
        <f ca="1">L58</f>
        <v>0.96244233818119329</v>
      </c>
      <c r="R60" s="2585" t="s">
        <v>2457</v>
      </c>
    </row>
    <row r="61" spans="1:18" s="1455" customFormat="1" ht="20.25" thickBot="1">
      <c r="A61" s="2435" t="s">
        <v>2370</v>
      </c>
      <c r="B61" s="2399" t="s">
        <v>932</v>
      </c>
      <c r="C61" s="313">
        <f ca="1">IF(项目基本情况!B11="自然人","——",IF(D61="按租金收入计税",ROUND(C48*F61,2),IF(D61="按房产原值计税",ROUND(C57*F61*0.7,2),INDIRECT("'数据-取费表'!Aj"&amp;$G$1))))</f>
        <v>209.34</v>
      </c>
      <c r="D61" s="1301" t="s">
        <v>2412</v>
      </c>
      <c r="E61" s="2399" t="s">
        <v>361</v>
      </c>
      <c r="F61" s="707">
        <f t="shared" si="0"/>
        <v>1.2E-2</v>
      </c>
      <c r="I61" s="2409"/>
      <c r="J61" s="2409"/>
      <c r="K61" s="2409"/>
      <c r="L61" s="2409"/>
      <c r="O61" s="2586" t="s">
        <v>2453</v>
      </c>
      <c r="P61" s="2594" t="s">
        <v>2483</v>
      </c>
      <c r="Q61" s="2585">
        <f ca="1">L59</f>
        <v>1.0407208245438404</v>
      </c>
      <c r="R61" s="2585" t="s">
        <v>2458</v>
      </c>
    </row>
    <row r="62" spans="1:18" s="1455" customFormat="1" ht="15.75" thickBot="1">
      <c r="A62" s="2435" t="s">
        <v>2371</v>
      </c>
      <c r="B62" s="2398" t="s">
        <v>934</v>
      </c>
      <c r="C62" s="314">
        <f ca="1">IF(项目基本情况!B11="自然人","——",ROUND(F62*F63/10000,2))</f>
        <v>4.04</v>
      </c>
      <c r="D62" s="2418" t="s">
        <v>935</v>
      </c>
      <c r="E62" s="2399" t="s">
        <v>936</v>
      </c>
      <c r="F62" s="711">
        <f t="shared" si="0"/>
        <v>3</v>
      </c>
      <c r="I62" s="2544" t="s">
        <v>2417</v>
      </c>
      <c r="J62" s="2545" t="s">
        <v>2418</v>
      </c>
      <c r="K62" s="2545" t="s">
        <v>2419</v>
      </c>
      <c r="L62" s="2545" t="s">
        <v>2415</v>
      </c>
      <c r="M62" s="3320" t="s">
        <v>3038</v>
      </c>
      <c r="O62" s="2584" t="s">
        <v>2454</v>
      </c>
      <c r="P62" s="2594" t="s">
        <v>2472</v>
      </c>
      <c r="Q62" s="2585">
        <f ca="1">Q56+Q57</f>
        <v>266015</v>
      </c>
      <c r="R62" s="2585" t="s">
        <v>2455</v>
      </c>
    </row>
    <row r="63" spans="1:18" s="1455" customFormat="1" ht="16.5" thickBot="1">
      <c r="A63" s="712"/>
      <c r="B63" s="2405"/>
      <c r="C63" s="318"/>
      <c r="D63" s="2419"/>
      <c r="E63" s="2399" t="s">
        <v>940</v>
      </c>
      <c r="F63" s="685">
        <f t="shared" ca="1" si="0"/>
        <v>13483.3</v>
      </c>
      <c r="I63" s="2544" t="s">
        <v>2431</v>
      </c>
      <c r="J63" s="3323">
        <v>70</v>
      </c>
      <c r="K63" s="3323">
        <v>50</v>
      </c>
      <c r="L63" s="3323">
        <v>80</v>
      </c>
      <c r="M63" s="3321">
        <v>0.02</v>
      </c>
      <c r="O63" s="2588" t="s">
        <v>2486</v>
      </c>
      <c r="P63" s="1296"/>
      <c r="Q63" s="1296"/>
      <c r="R63" s="1296"/>
    </row>
    <row r="64" spans="1:18" s="1455" customFormat="1" ht="15.75" thickBot="1">
      <c r="A64" s="2435" t="s">
        <v>2379</v>
      </c>
      <c r="B64" s="2399" t="s">
        <v>942</v>
      </c>
      <c r="C64" s="313">
        <f ca="1">ROUND(C57*F64,1)</f>
        <v>373.8</v>
      </c>
      <c r="D64" s="2417" t="s">
        <v>972</v>
      </c>
      <c r="E64" s="2399" t="s">
        <v>361</v>
      </c>
      <c r="F64" s="714">
        <f t="shared" ca="1" si="0"/>
        <v>1.4999999999999999E-2</v>
      </c>
      <c r="I64" s="2544" t="s">
        <v>103</v>
      </c>
      <c r="J64" s="3323">
        <v>50</v>
      </c>
      <c r="K64" s="3323">
        <v>35</v>
      </c>
      <c r="L64" s="3323">
        <v>60</v>
      </c>
      <c r="M64" s="3322">
        <v>0</v>
      </c>
      <c r="O64" s="2591" t="s">
        <v>2463</v>
      </c>
      <c r="P64" s="2592" t="s">
        <v>2464</v>
      </c>
      <c r="Q64" s="2593" t="s">
        <v>2462</v>
      </c>
      <c r="R64" s="2593" t="s">
        <v>2465</v>
      </c>
    </row>
    <row r="65" spans="1:18" s="1455" customFormat="1" ht="15.75" thickBot="1">
      <c r="A65" s="2435" t="s">
        <v>2373</v>
      </c>
      <c r="B65" s="2399" t="s">
        <v>364</v>
      </c>
      <c r="C65" s="313">
        <f ca="1">ROUND(C56*F65,1)</f>
        <v>36.6</v>
      </c>
      <c r="D65" s="2417" t="s">
        <v>945</v>
      </c>
      <c r="E65" s="2399" t="s">
        <v>361</v>
      </c>
      <c r="F65" s="716">
        <f t="shared" ca="1" si="0"/>
        <v>1.5E-3</v>
      </c>
      <c r="I65" s="2544" t="s">
        <v>2433</v>
      </c>
      <c r="J65" s="3323">
        <v>40</v>
      </c>
      <c r="K65" s="3323">
        <v>30</v>
      </c>
      <c r="L65" s="3323">
        <v>50</v>
      </c>
      <c r="M65" s="3321">
        <v>0.02</v>
      </c>
      <c r="O65" s="2584" t="s">
        <v>2448</v>
      </c>
      <c r="P65" s="2594" t="s">
        <v>2466</v>
      </c>
      <c r="Q65" s="2585">
        <f ca="1">C40+J29</f>
        <v>266015</v>
      </c>
      <c r="R65" s="2585" t="s">
        <v>2467</v>
      </c>
    </row>
    <row r="66" spans="1:18" s="1455" customFormat="1" ht="20.25" thickBot="1">
      <c r="A66" s="2435" t="s">
        <v>2374</v>
      </c>
      <c r="B66" s="2399" t="s">
        <v>363</v>
      </c>
      <c r="C66" s="313">
        <f ca="1">ROUND(C48*F66,1)</f>
        <v>0</v>
      </c>
      <c r="D66" s="2417" t="s">
        <v>367</v>
      </c>
      <c r="E66" s="2399" t="s">
        <v>361</v>
      </c>
      <c r="F66" s="694">
        <f t="shared" ca="1" si="0"/>
        <v>2E-3</v>
      </c>
      <c r="O66" s="2584" t="s">
        <v>2449</v>
      </c>
      <c r="P66" s="2594" t="s">
        <v>2473</v>
      </c>
      <c r="Q66" s="2585">
        <f ca="1">L60</f>
        <v>0</v>
      </c>
      <c r="R66" s="2585" t="s">
        <v>2456</v>
      </c>
    </row>
    <row r="67" spans="1:18" s="1455" customFormat="1" ht="24.75" thickBot="1">
      <c r="A67" s="2406" t="s">
        <v>2352</v>
      </c>
      <c r="B67" s="2420" t="s">
        <v>373</v>
      </c>
      <c r="C67" s="698">
        <f ca="1">C48-C58</f>
        <v>-624</v>
      </c>
      <c r="D67" s="2416" t="s">
        <v>374</v>
      </c>
      <c r="E67" s="2421"/>
      <c r="F67" s="2422"/>
      <c r="O67" s="2586" t="s">
        <v>2450</v>
      </c>
      <c r="P67" s="2594" t="s">
        <v>2480</v>
      </c>
      <c r="Q67" s="2589">
        <f ca="1">L51</f>
        <v>137723</v>
      </c>
      <c r="R67" s="2590" t="s">
        <v>2490</v>
      </c>
    </row>
    <row r="68" spans="1:18" s="1455" customFormat="1" ht="20.25" thickBot="1">
      <c r="A68" s="2396" t="s">
        <v>2355</v>
      </c>
      <c r="B68" s="2397" t="s">
        <v>2356</v>
      </c>
      <c r="C68" s="683">
        <f ca="1">ROUND(C67*(1-((1+F70)/(1+F68))^F69)/(F68-F70),0)</f>
        <v>-11022</v>
      </c>
      <c r="D68" s="2418" t="s">
        <v>955</v>
      </c>
      <c r="E68" s="2399" t="s">
        <v>370</v>
      </c>
      <c r="F68" s="694">
        <f ca="1">F40</f>
        <v>0.05</v>
      </c>
      <c r="O68" s="2586" t="s">
        <v>2451</v>
      </c>
      <c r="P68" s="2595" t="s">
        <v>2484</v>
      </c>
      <c r="Q68" s="2585">
        <f ca="1">ROUND(Q69-Q70*Q71,0)</f>
        <v>7241</v>
      </c>
      <c r="R68" s="2585" t="s">
        <v>2489</v>
      </c>
    </row>
    <row r="69" spans="1:18" s="1455" customFormat="1" ht="15.75" thickBot="1">
      <c r="A69" s="2400"/>
      <c r="B69" s="2401"/>
      <c r="C69" s="688"/>
      <c r="D69" s="2423" t="s">
        <v>957</v>
      </c>
      <c r="E69" s="2399" t="s">
        <v>377</v>
      </c>
      <c r="F69" s="719">
        <f ca="1">F41</f>
        <v>44.01</v>
      </c>
      <c r="O69" s="2586" t="s">
        <v>2459</v>
      </c>
      <c r="P69" s="2595" t="s">
        <v>2474</v>
      </c>
      <c r="Q69" s="2585">
        <f ca="1">C39</f>
        <v>9317</v>
      </c>
      <c r="R69" s="2585" t="s">
        <v>2467</v>
      </c>
    </row>
    <row r="70" spans="1:18" s="1455" customFormat="1" ht="15.75" thickBot="1">
      <c r="A70" s="2403"/>
      <c r="B70" s="2404"/>
      <c r="C70" s="692"/>
      <c r="D70" s="2419"/>
      <c r="E70" s="2399" t="s">
        <v>964</v>
      </c>
      <c r="F70" s="2529"/>
      <c r="O70" s="2586" t="s">
        <v>2460</v>
      </c>
      <c r="P70" s="2595" t="s">
        <v>2475</v>
      </c>
      <c r="Q70" s="2585">
        <f ca="1">C13</f>
        <v>24423</v>
      </c>
      <c r="R70" s="2585" t="s">
        <v>2467</v>
      </c>
    </row>
    <row r="71" spans="1:18" s="1455" customFormat="1" ht="15.75" thickBot="1">
      <c r="A71" s="2424" t="s">
        <v>2362</v>
      </c>
      <c r="B71" s="2425" t="s">
        <v>2363</v>
      </c>
      <c r="C71" s="722">
        <f ca="1">ROUND(C68*10000/F71,0)</f>
        <v>-1952</v>
      </c>
      <c r="D71" s="2426" t="s">
        <v>380</v>
      </c>
      <c r="E71" s="2427" t="s">
        <v>381</v>
      </c>
      <c r="F71" s="725">
        <f ca="1">F43</f>
        <v>56450.890000000058</v>
      </c>
      <c r="I71" s="2394"/>
      <c r="K71" s="2394"/>
      <c r="O71" s="2586" t="s">
        <v>2461</v>
      </c>
      <c r="P71" s="2595" t="s">
        <v>2487</v>
      </c>
      <c r="Q71" s="2587">
        <f ca="1">C76</f>
        <v>8.5000000000000006E-2</v>
      </c>
      <c r="R71" s="2585"/>
    </row>
    <row r="72" spans="1:18" s="1455" customFormat="1" ht="15.75" thickBot="1">
      <c r="B72" s="1460"/>
      <c r="C72" s="1460"/>
      <c r="I72" s="2394"/>
      <c r="O72" s="2586" t="s">
        <v>2452</v>
      </c>
      <c r="P72" s="2594" t="s">
        <v>2481</v>
      </c>
      <c r="Q72" s="2587">
        <f>L52</f>
        <v>4.4999999999999998E-2</v>
      </c>
      <c r="R72" s="2585"/>
    </row>
    <row r="73" spans="1:18" ht="20.25" thickBot="1">
      <c r="A73" s="1455"/>
      <c r="B73" s="1460"/>
      <c r="C73" s="1460"/>
      <c r="D73" s="1455"/>
      <c r="E73" s="1455"/>
      <c r="F73" s="1455"/>
      <c r="I73" s="2580"/>
      <c r="O73" s="2586" t="s">
        <v>2453</v>
      </c>
      <c r="P73" s="2594" t="s">
        <v>2482</v>
      </c>
      <c r="Q73" s="2585">
        <f ca="1">L58</f>
        <v>0.96244233818119329</v>
      </c>
      <c r="R73" s="2585" t="s">
        <v>2457</v>
      </c>
    </row>
    <row r="74" spans="1:18" ht="20.25" thickBot="1">
      <c r="A74" s="1455"/>
      <c r="B74" s="727" t="s">
        <v>382</v>
      </c>
      <c r="C74" s="728"/>
      <c r="D74" s="1455"/>
      <c r="E74" s="1455"/>
      <c r="F74" s="1455"/>
      <c r="O74" s="2586" t="s">
        <v>2491</v>
      </c>
      <c r="P74" s="2594" t="s">
        <v>2483</v>
      </c>
      <c r="Q74" s="2585">
        <f ca="1">L59</f>
        <v>1.0407208245438404</v>
      </c>
      <c r="R74" s="2585" t="s">
        <v>2458</v>
      </c>
    </row>
    <row r="75" spans="1:18" ht="15.75" thickBot="1">
      <c r="A75" s="1455"/>
      <c r="B75" s="729" t="s">
        <v>970</v>
      </c>
      <c r="C75" s="730">
        <f ca="1">ROUND(C13*C76,0)</f>
        <v>2076</v>
      </c>
      <c r="D75" s="1455"/>
      <c r="E75" s="1455"/>
      <c r="F75" s="1455"/>
      <c r="K75" s="1456"/>
      <c r="L75" s="1455"/>
      <c r="O75" s="2584" t="s">
        <v>2454</v>
      </c>
      <c r="P75" s="2594" t="s">
        <v>2472</v>
      </c>
      <c r="Q75" s="2585">
        <f ca="1">Q65+Q66</f>
        <v>266015</v>
      </c>
      <c r="R75" s="2585" t="s">
        <v>2455</v>
      </c>
    </row>
    <row r="76" spans="1:18">
      <c r="B76" s="731" t="s">
        <v>971</v>
      </c>
      <c r="C76" s="732">
        <f ca="1">INDIRECT("'数据-取费表'!j"&amp;$G$1)</f>
        <v>8.5000000000000006E-2</v>
      </c>
      <c r="I76" s="1455"/>
      <c r="J76" s="1455"/>
      <c r="K76" s="1456"/>
      <c r="L76" s="1455"/>
    </row>
    <row r="77" spans="1:18">
      <c r="B77" s="733" t="s">
        <v>974</v>
      </c>
      <c r="C77" s="734"/>
      <c r="I77" s="1455"/>
      <c r="J77" s="1455"/>
      <c r="K77" s="1456"/>
      <c r="L77" s="1455"/>
    </row>
    <row r="78" spans="1:18">
      <c r="B78" s="646" t="s">
        <v>960</v>
      </c>
      <c r="C78" s="735"/>
    </row>
    <row r="79" spans="1:18">
      <c r="B79" s="2873" t="s">
        <v>2700</v>
      </c>
      <c r="C79" s="650">
        <f ca="1">1-C80</f>
        <v>0.77700000000000002</v>
      </c>
    </row>
    <row r="80" spans="1:18">
      <c r="B80" s="2873" t="s">
        <v>2699</v>
      </c>
      <c r="C80" s="650">
        <f ca="1">ROUND(C75/C39,3)</f>
        <v>0.223</v>
      </c>
    </row>
    <row r="81" spans="2:3">
      <c r="B81" s="646" t="s">
        <v>383</v>
      </c>
      <c r="C81" s="647"/>
    </row>
    <row r="82" spans="2:3">
      <c r="B82" s="2872" t="s">
        <v>2698</v>
      </c>
      <c r="C82" s="651">
        <f ca="1">1-C83</f>
        <v>0.90800000000000003</v>
      </c>
    </row>
    <row r="83" spans="2:3">
      <c r="B83" s="2872" t="s">
        <v>2697</v>
      </c>
      <c r="C83" s="650">
        <f ca="1">ROUND(C13/C40,3)</f>
        <v>9.1999999999999998E-2</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59" priority="4">
      <formula>$L$48&gt;$J$51</formula>
    </cfRule>
  </conditionalFormatting>
  <conditionalFormatting sqref="I55 I60">
    <cfRule type="expression" dxfId="158" priority="5">
      <formula>$J$51&gt;$L$48</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26" sqref="D26"/>
    </sheetView>
  </sheetViews>
  <sheetFormatPr defaultRowHeight="13.5"/>
  <cols>
    <col min="1" max="1" width="23.625" customWidth="1"/>
    <col min="2" max="2" width="12" customWidth="1"/>
    <col min="4" max="4" width="14.125" customWidth="1"/>
  </cols>
  <sheetData>
    <row r="1" spans="1:5" ht="20.25">
      <c r="A1" s="2780" t="s">
        <v>2671</v>
      </c>
      <c r="B1" s="2781"/>
      <c r="C1" s="2781"/>
      <c r="D1" s="2781"/>
      <c r="E1" s="2782"/>
    </row>
    <row r="2" spans="1:5" ht="14.25">
      <c r="A2" s="2783" t="s">
        <v>2672</v>
      </c>
      <c r="B2" s="2777">
        <f ca="1">SUMIF(B6:B13,"&lt;&gt;#ref!",B6:B13)</f>
        <v>288266</v>
      </c>
      <c r="C2" s="2778" t="s">
        <v>2669</v>
      </c>
      <c r="D2" s="2779" t="s">
        <v>2674</v>
      </c>
      <c r="E2" s="2787">
        <f>SUM(E6:E13)</f>
        <v>60838.810000000056</v>
      </c>
    </row>
    <row r="3" spans="1:5" ht="14.25">
      <c r="A3" s="2783" t="s">
        <v>2673</v>
      </c>
      <c r="B3" s="2777">
        <f ca="1">ROUND(B2*10000/E2,0)</f>
        <v>47382</v>
      </c>
      <c r="C3" s="2778" t="s">
        <v>2670</v>
      </c>
      <c r="D3" s="2784"/>
      <c r="E3" s="2788"/>
    </row>
    <row r="4" spans="1:5" ht="14.25">
      <c r="A4" s="2791"/>
      <c r="B4" s="2784"/>
      <c r="C4" s="2784"/>
      <c r="D4" s="2784"/>
      <c r="E4" s="2788"/>
    </row>
    <row r="5" spans="1:5">
      <c r="A5" s="2795" t="s">
        <v>2676</v>
      </c>
      <c r="B5" s="3572" t="s">
        <v>2678</v>
      </c>
      <c r="C5" s="3572"/>
      <c r="D5" s="2794"/>
      <c r="E5" s="2796" t="s">
        <v>2677</v>
      </c>
    </row>
    <row r="6" spans="1:5">
      <c r="A6" s="2792" t="str">
        <f>'数据-取费表'!AN6</f>
        <v>收益法（1层商业）</v>
      </c>
      <c r="B6" s="2786">
        <f ca="1">'数据-取费表'!AO6</f>
        <v>21976</v>
      </c>
      <c r="C6" s="2778" t="s">
        <v>2669</v>
      </c>
      <c r="D6" s="2784"/>
      <c r="E6" s="2787">
        <f>IF(A6=0,0,'数据-取费表'!K6+'数据-取费表'!S6)</f>
        <v>4387.92</v>
      </c>
    </row>
    <row r="7" spans="1:5">
      <c r="A7" s="2792">
        <f>'数据-取费表'!AN7</f>
        <v>0</v>
      </c>
      <c r="B7" s="2786" t="e">
        <f ca="1">'数据-取费表'!AO7</f>
        <v>#REF!</v>
      </c>
      <c r="C7" s="2778" t="s">
        <v>2669</v>
      </c>
      <c r="D7" s="2784"/>
      <c r="E7" s="2787">
        <f>IF(A7=0,0,'数据-取费表'!K7+'数据-取费表'!S7)</f>
        <v>0</v>
      </c>
    </row>
    <row r="8" spans="1:5">
      <c r="A8" s="2792" t="str">
        <f>'数据-取费表'!AN8</f>
        <v>收益法（办公）</v>
      </c>
      <c r="B8" s="2786">
        <f ca="1">'数据-取费表'!AO8</f>
        <v>266290</v>
      </c>
      <c r="C8" s="2778" t="s">
        <v>2669</v>
      </c>
      <c r="D8" s="2784"/>
      <c r="E8" s="2787">
        <f>IF(A8=0,0,'数据-取费表'!K8+'数据-取费表'!S8)</f>
        <v>56450.890000000058</v>
      </c>
    </row>
    <row r="9" spans="1:5">
      <c r="A9" s="2792">
        <f>'数据-取费表'!AN9</f>
        <v>0</v>
      </c>
      <c r="B9" s="2786" t="e">
        <f ca="1">'数据-取费表'!AO9</f>
        <v>#REF!</v>
      </c>
      <c r="C9" s="2778" t="s">
        <v>2669</v>
      </c>
      <c r="D9" s="2784"/>
      <c r="E9" s="2787">
        <f>IF(A9=0,0,'数据-取费表'!K9+'数据-取费表'!S9)</f>
        <v>0</v>
      </c>
    </row>
    <row r="10" spans="1:5">
      <c r="A10" s="2792">
        <f>'数据-取费表'!AN10</f>
        <v>0</v>
      </c>
      <c r="B10" s="2786" t="e">
        <f ca="1">'数据-取费表'!AO10</f>
        <v>#REF!</v>
      </c>
      <c r="C10" s="2778" t="s">
        <v>2669</v>
      </c>
      <c r="D10" s="2784"/>
      <c r="E10" s="2787">
        <f>IF(A10=0,0,'数据-取费表'!K10+'数据-取费表'!S10)</f>
        <v>0</v>
      </c>
    </row>
    <row r="11" spans="1:5">
      <c r="A11" s="2792">
        <f>'数据-取费表'!AN11</f>
        <v>0</v>
      </c>
      <c r="B11" s="2786" t="e">
        <f ca="1">'数据-取费表'!AO11</f>
        <v>#REF!</v>
      </c>
      <c r="C11" s="2778" t="s">
        <v>2669</v>
      </c>
      <c r="D11" s="2784"/>
      <c r="E11" s="2787">
        <f>IF(A11=0,0,'数据-取费表'!K11+'数据-取费表'!S11)</f>
        <v>0</v>
      </c>
    </row>
    <row r="12" spans="1:5">
      <c r="A12" s="2792">
        <f>'数据-取费表'!AN12</f>
        <v>0</v>
      </c>
      <c r="B12" s="2786" t="e">
        <f ca="1">'数据-取费表'!AO12</f>
        <v>#REF!</v>
      </c>
      <c r="C12" s="2778" t="s">
        <v>2669</v>
      </c>
      <c r="D12" s="2784"/>
      <c r="E12" s="2787">
        <f>IF(A12=0,0,'数据-取费表'!K12+'数据-取费表'!S12)</f>
        <v>0</v>
      </c>
    </row>
    <row r="13" spans="1:5" ht="14.25" thickBot="1">
      <c r="A13" s="2793">
        <f>'数据-取费表'!AN13</f>
        <v>0</v>
      </c>
      <c r="B13" s="2789" t="e">
        <f ca="1">'数据-取费表'!AO13</f>
        <v>#REF!</v>
      </c>
      <c r="C13" s="2797" t="s">
        <v>2669</v>
      </c>
      <c r="D13" s="2785"/>
      <c r="E13" s="2790">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73" t="s">
        <v>2545</v>
      </c>
      <c r="B1" s="3574"/>
      <c r="C1" s="3575"/>
      <c r="D1" s="3576">
        <f>SUM(I10,I15,I20,I21,I23)</f>
        <v>0</v>
      </c>
      <c r="E1" s="3576"/>
      <c r="F1" s="3576"/>
      <c r="G1" s="3576"/>
      <c r="H1" s="3576"/>
      <c r="I1" s="3577"/>
    </row>
    <row r="2" spans="1:9">
      <c r="A2" s="3578" t="s">
        <v>2546</v>
      </c>
      <c r="B2" s="3579" t="s">
        <v>2547</v>
      </c>
      <c r="C2" s="3579"/>
      <c r="D2" s="2635" t="s">
        <v>2548</v>
      </c>
      <c r="E2" s="2635" t="s">
        <v>2549</v>
      </c>
      <c r="F2" s="2635" t="s">
        <v>2550</v>
      </c>
      <c r="G2" s="2635" t="s">
        <v>2551</v>
      </c>
      <c r="H2" s="2635" t="s">
        <v>2552</v>
      </c>
      <c r="I2" s="2636" t="s">
        <v>2553</v>
      </c>
    </row>
    <row r="3" spans="1:9">
      <c r="A3" s="3578"/>
      <c r="B3" s="3579" t="s">
        <v>2554</v>
      </c>
      <c r="C3" s="3579"/>
      <c r="D3" s="2637"/>
      <c r="E3" s="2635"/>
      <c r="F3" s="2638"/>
      <c r="G3" s="2638"/>
      <c r="H3" s="2639"/>
      <c r="I3" s="2640">
        <f>ROUND(D3*E3*F3*G3*H3/10000,0)</f>
        <v>0</v>
      </c>
    </row>
    <row r="4" spans="1:9">
      <c r="A4" s="3578"/>
      <c r="B4" s="3579" t="s">
        <v>2555</v>
      </c>
      <c r="C4" s="3579"/>
      <c r="D4" s="2637"/>
      <c r="E4" s="2635"/>
      <c r="F4" s="2638"/>
      <c r="G4" s="2638"/>
      <c r="H4" s="2639"/>
      <c r="I4" s="2640">
        <f t="shared" ref="I4:I9" si="0">ROUND(D4*E4*F4*G4*H4/10000,0)</f>
        <v>0</v>
      </c>
    </row>
    <row r="5" spans="1:9">
      <c r="A5" s="3578"/>
      <c r="B5" s="3579" t="s">
        <v>2556</v>
      </c>
      <c r="C5" s="3579"/>
      <c r="D5" s="2637"/>
      <c r="E5" s="2635"/>
      <c r="F5" s="2638"/>
      <c r="G5" s="2638"/>
      <c r="H5" s="2639"/>
      <c r="I5" s="2640">
        <f t="shared" si="0"/>
        <v>0</v>
      </c>
    </row>
    <row r="6" spans="1:9">
      <c r="A6" s="3578"/>
      <c r="B6" s="3579" t="s">
        <v>2557</v>
      </c>
      <c r="C6" s="3579"/>
      <c r="D6" s="2637"/>
      <c r="E6" s="2635"/>
      <c r="F6" s="2638"/>
      <c r="G6" s="2638"/>
      <c r="H6" s="2639"/>
      <c r="I6" s="2640">
        <f t="shared" si="0"/>
        <v>0</v>
      </c>
    </row>
    <row r="7" spans="1:9">
      <c r="A7" s="3578"/>
      <c r="B7" s="3579" t="s">
        <v>2558</v>
      </c>
      <c r="C7" s="3579"/>
      <c r="D7" s="2637"/>
      <c r="E7" s="2635"/>
      <c r="F7" s="2638"/>
      <c r="G7" s="2638"/>
      <c r="H7" s="2639"/>
      <c r="I7" s="2640">
        <f t="shared" si="0"/>
        <v>0</v>
      </c>
    </row>
    <row r="8" spans="1:9">
      <c r="A8" s="3578"/>
      <c r="B8" s="3579" t="s">
        <v>2559</v>
      </c>
      <c r="C8" s="3579"/>
      <c r="D8" s="2637"/>
      <c r="E8" s="2635"/>
      <c r="F8" s="2638"/>
      <c r="G8" s="2638"/>
      <c r="H8" s="2639"/>
      <c r="I8" s="2640">
        <f t="shared" si="0"/>
        <v>0</v>
      </c>
    </row>
    <row r="9" spans="1:9">
      <c r="A9" s="3578"/>
      <c r="B9" s="3579" t="s">
        <v>2560</v>
      </c>
      <c r="C9" s="3579"/>
      <c r="D9" s="2637"/>
      <c r="E9" s="2635"/>
      <c r="F9" s="2638"/>
      <c r="G9" s="2638"/>
      <c r="H9" s="2639"/>
      <c r="I9" s="2640">
        <f t="shared" si="0"/>
        <v>0</v>
      </c>
    </row>
    <row r="10" spans="1:9">
      <c r="A10" s="3578"/>
      <c r="B10" s="3580" t="s">
        <v>2561</v>
      </c>
      <c r="C10" s="3580"/>
      <c r="D10" s="2641"/>
      <c r="E10" s="2641" t="e">
        <f>ROUND(D1*10000/D10/H9,0)</f>
        <v>#DIV/0!</v>
      </c>
      <c r="F10" s="2642"/>
      <c r="G10" s="2642"/>
      <c r="H10" s="2643"/>
      <c r="I10" s="2644">
        <f>SUM(I3:I9)</f>
        <v>0</v>
      </c>
    </row>
    <row r="11" spans="1:9" ht="14.25">
      <c r="A11" s="3578" t="s">
        <v>2562</v>
      </c>
      <c r="B11" s="3579" t="s">
        <v>2563</v>
      </c>
      <c r="C11" s="3579"/>
      <c r="D11" s="2637" t="s">
        <v>2564</v>
      </c>
      <c r="E11" s="2637" t="s">
        <v>2565</v>
      </c>
      <c r="F11" s="2638" t="s">
        <v>2566</v>
      </c>
      <c r="G11" s="2638" t="s">
        <v>2552</v>
      </c>
      <c r="H11" s="2645" t="s">
        <v>2567</v>
      </c>
      <c r="I11" s="2636" t="s">
        <v>2553</v>
      </c>
    </row>
    <row r="12" spans="1:9">
      <c r="A12" s="3578"/>
      <c r="B12" s="3579" t="s">
        <v>2568</v>
      </c>
      <c r="C12" s="3579"/>
      <c r="D12" s="2637"/>
      <c r="E12" s="2637"/>
      <c r="F12" s="2638"/>
      <c r="G12" s="2639"/>
      <c r="H12" s="2646"/>
      <c r="I12" s="2636">
        <f>ROUND(D12*E12*F12*G12/10000,0)</f>
        <v>0</v>
      </c>
    </row>
    <row r="13" spans="1:9">
      <c r="A13" s="3578"/>
      <c r="B13" s="3579" t="s">
        <v>2569</v>
      </c>
      <c r="C13" s="3579"/>
      <c r="D13" s="2637"/>
      <c r="E13" s="2637"/>
      <c r="F13" s="2638"/>
      <c r="G13" s="2639"/>
      <c r="H13" s="2646"/>
      <c r="I13" s="2636">
        <f>ROUND(D13*E13*F13*G13/10000,0)</f>
        <v>0</v>
      </c>
    </row>
    <row r="14" spans="1:9">
      <c r="A14" s="3578"/>
      <c r="B14" s="3579" t="s">
        <v>2570</v>
      </c>
      <c r="C14" s="3579"/>
      <c r="D14" s="2637"/>
      <c r="E14" s="2637"/>
      <c r="F14" s="2638"/>
      <c r="G14" s="2639"/>
      <c r="H14" s="2646"/>
      <c r="I14" s="2636">
        <f>ROUND(D14*E14*F14*G14/10000,0)</f>
        <v>0</v>
      </c>
    </row>
    <row r="15" spans="1:9">
      <c r="A15" s="3578"/>
      <c r="B15" s="3580" t="s">
        <v>2561</v>
      </c>
      <c r="C15" s="3580"/>
      <c r="D15" s="2641"/>
      <c r="E15" s="2641">
        <f>SUM(E12:E14)</f>
        <v>0</v>
      </c>
      <c r="F15" s="2642"/>
      <c r="G15" s="2639"/>
      <c r="H15" s="2646"/>
      <c r="I15" s="2647">
        <f>SUM(I12:I14)</f>
        <v>0</v>
      </c>
    </row>
    <row r="16" spans="1:9" ht="24">
      <c r="A16" s="3578" t="s">
        <v>2571</v>
      </c>
      <c r="B16" s="3579" t="s">
        <v>2572</v>
      </c>
      <c r="C16" s="3579"/>
      <c r="D16" s="2637" t="s">
        <v>2548</v>
      </c>
      <c r="E16" s="2648" t="s">
        <v>2573</v>
      </c>
      <c r="F16" s="2638" t="s">
        <v>2574</v>
      </c>
      <c r="G16" s="2639" t="s">
        <v>2552</v>
      </c>
      <c r="H16" s="2645" t="s">
        <v>2567</v>
      </c>
      <c r="I16" s="2636" t="s">
        <v>2553</v>
      </c>
    </row>
    <row r="17" spans="1:9" ht="14.25">
      <c r="A17" s="3578"/>
      <c r="B17" s="3579" t="s">
        <v>2575</v>
      </c>
      <c r="C17" s="3579"/>
      <c r="D17" s="2637"/>
      <c r="E17" s="2637"/>
      <c r="F17" s="2638"/>
      <c r="G17" s="2639"/>
      <c r="H17" s="2649"/>
      <c r="I17" s="2650">
        <f>ROUND(D17*E17*F17*G17/10000,0)</f>
        <v>0</v>
      </c>
    </row>
    <row r="18" spans="1:9" ht="14.25">
      <c r="A18" s="3578"/>
      <c r="B18" s="3579" t="s">
        <v>2576</v>
      </c>
      <c r="C18" s="3579"/>
      <c r="D18" s="2637"/>
      <c r="E18" s="2637"/>
      <c r="F18" s="2638"/>
      <c r="G18" s="2639"/>
      <c r="H18" s="2649"/>
      <c r="I18" s="2650">
        <f>ROUND(D18*E18*F18*G18/10000,0)</f>
        <v>0</v>
      </c>
    </row>
    <row r="19" spans="1:9" ht="14.25">
      <c r="A19" s="3578"/>
      <c r="B19" s="3579" t="s">
        <v>2577</v>
      </c>
      <c r="C19" s="3579"/>
      <c r="D19" s="2637"/>
      <c r="E19" s="2637"/>
      <c r="F19" s="2638"/>
      <c r="G19" s="2639"/>
      <c r="H19" s="2649"/>
      <c r="I19" s="2650">
        <f>ROUND(D19*E19*F19*G19/10000,0)</f>
        <v>0</v>
      </c>
    </row>
    <row r="20" spans="1:9">
      <c r="A20" s="3578"/>
      <c r="B20" s="3580" t="s">
        <v>2561</v>
      </c>
      <c r="C20" s="3580"/>
      <c r="D20" s="2641">
        <f>SUM(D17:D19)</f>
        <v>0</v>
      </c>
      <c r="E20" s="2641"/>
      <c r="F20" s="2642"/>
      <c r="G20" s="2639"/>
      <c r="H20" s="2646"/>
      <c r="I20" s="2647">
        <f>SUM(I17:I19)</f>
        <v>0</v>
      </c>
    </row>
    <row r="21" spans="1:9">
      <c r="A21" s="3578" t="s">
        <v>2578</v>
      </c>
      <c r="B21" s="3582"/>
      <c r="C21" s="3582"/>
      <c r="D21" s="3582"/>
      <c r="E21" s="3582"/>
      <c r="F21" s="3582"/>
      <c r="G21" s="3582"/>
      <c r="H21" s="3298">
        <v>0.1</v>
      </c>
      <c r="I21" s="2644">
        <f>ROUND(I10*H21,0)</f>
        <v>0</v>
      </c>
    </row>
    <row r="22" spans="1:9" ht="14.25">
      <c r="A22" s="3583" t="s">
        <v>2579</v>
      </c>
      <c r="B22" s="3584"/>
      <c r="C22" s="3585"/>
      <c r="D22" s="2651" t="s">
        <v>2580</v>
      </c>
      <c r="E22" s="2651" t="s">
        <v>2581</v>
      </c>
      <c r="F22" s="2652" t="s">
        <v>2582</v>
      </c>
      <c r="G22" s="2652" t="s">
        <v>2583</v>
      </c>
      <c r="H22" s="2645" t="s">
        <v>2584</v>
      </c>
      <c r="I22" s="2636" t="s">
        <v>2585</v>
      </c>
    </row>
    <row r="23" spans="1:9" ht="14.25" thickBot="1">
      <c r="A23" s="3586"/>
      <c r="B23" s="3587"/>
      <c r="C23" s="3588"/>
      <c r="D23" s="2653"/>
      <c r="E23" s="2653"/>
      <c r="F23" s="2653"/>
      <c r="G23" s="2654"/>
      <c r="H23" s="2655"/>
      <c r="I23" s="2656">
        <f>ROUND(E23*D23*F23*(1-G23)/10000,0)</f>
        <v>0</v>
      </c>
    </row>
    <row r="26" spans="1:9">
      <c r="A26" s="2657" t="s">
        <v>2586</v>
      </c>
      <c r="B26" s="2657"/>
      <c r="C26" s="2657"/>
      <c r="D26" s="2657"/>
      <c r="E26" s="3589">
        <f>C27-C30-C31-C32</f>
        <v>0</v>
      </c>
      <c r="F26" s="3589"/>
      <c r="G26" s="3589"/>
      <c r="H26" s="3252" t="s">
        <v>2959</v>
      </c>
    </row>
    <row r="27" spans="1:9">
      <c r="A27" s="2658">
        <v>1</v>
      </c>
      <c r="B27" s="2659" t="s">
        <v>2587</v>
      </c>
      <c r="C27" s="2659">
        <f>C28+C29</f>
        <v>0</v>
      </c>
      <c r="D27" s="2659"/>
      <c r="E27" s="3590"/>
      <c r="F27" s="3590"/>
      <c r="G27" s="3590"/>
    </row>
    <row r="28" spans="1:9">
      <c r="A28" s="2660" t="s">
        <v>2588</v>
      </c>
      <c r="B28" s="2659" t="s">
        <v>2589</v>
      </c>
      <c r="C28" s="2659"/>
      <c r="D28" s="2659"/>
      <c r="E28" s="3590"/>
      <c r="F28" s="3590"/>
      <c r="G28" s="3590"/>
    </row>
    <row r="29" spans="1:9">
      <c r="A29" s="2660" t="s">
        <v>2590</v>
      </c>
      <c r="B29" s="2659" t="s">
        <v>2591</v>
      </c>
      <c r="C29" s="2659"/>
      <c r="D29" s="2659"/>
      <c r="E29" s="2659" t="s">
        <v>2592</v>
      </c>
      <c r="F29" s="2659"/>
      <c r="G29" s="2659"/>
    </row>
    <row r="30" spans="1:9">
      <c r="A30" s="2658">
        <v>2</v>
      </c>
      <c r="B30" s="2659" t="s">
        <v>2593</v>
      </c>
      <c r="C30" s="2659">
        <f>C27*D30</f>
        <v>0</v>
      </c>
      <c r="D30" s="2661">
        <v>0.2</v>
      </c>
      <c r="E30" s="2659" t="s">
        <v>2594</v>
      </c>
      <c r="F30" s="2659"/>
      <c r="G30" s="2659"/>
    </row>
    <row r="31" spans="1:9">
      <c r="A31" s="2658">
        <v>3</v>
      </c>
      <c r="B31" s="2659" t="s">
        <v>2595</v>
      </c>
      <c r="C31" s="2659">
        <f>C25*D31</f>
        <v>0</v>
      </c>
      <c r="D31" s="2661">
        <v>0.15</v>
      </c>
      <c r="E31" s="2659" t="s">
        <v>2596</v>
      </c>
      <c r="F31" s="2659"/>
      <c r="G31" s="2659"/>
    </row>
    <row r="32" spans="1:9">
      <c r="A32" s="2658">
        <v>4</v>
      </c>
      <c r="B32" s="2659" t="s">
        <v>2597</v>
      </c>
      <c r="C32" s="2659">
        <f>C27*D32</f>
        <v>0</v>
      </c>
      <c r="D32" s="2661">
        <v>0.05</v>
      </c>
      <c r="E32" s="3581"/>
      <c r="F32" s="3581"/>
      <c r="G32" s="3581"/>
    </row>
    <row r="33" spans="1:7" hidden="1">
      <c r="A33" s="3591" t="s">
        <v>2598</v>
      </c>
      <c r="B33" s="3592"/>
      <c r="C33" s="3592"/>
      <c r="D33" s="3593"/>
      <c r="E33" s="3589"/>
      <c r="F33" s="3589"/>
      <c r="G33" s="3589"/>
    </row>
    <row r="34" spans="1:7" hidden="1">
      <c r="A34" s="2662">
        <v>1</v>
      </c>
      <c r="B34" s="2659" t="s">
        <v>2599</v>
      </c>
      <c r="C34" s="2659"/>
      <c r="D34" s="2659"/>
      <c r="E34" s="3590"/>
      <c r="F34" s="3590"/>
      <c r="G34" s="3590"/>
    </row>
    <row r="35" spans="1:7" hidden="1">
      <c r="A35" s="2662">
        <v>2</v>
      </c>
      <c r="B35" s="2659" t="s">
        <v>2600</v>
      </c>
      <c r="C35" s="2659"/>
      <c r="D35" s="2659"/>
      <c r="E35" s="3590"/>
      <c r="F35" s="3590"/>
      <c r="G35" s="3590"/>
    </row>
    <row r="36" spans="1:7" hidden="1">
      <c r="A36" s="2662">
        <v>3</v>
      </c>
      <c r="B36" s="2659" t="s">
        <v>2601</v>
      </c>
      <c r="C36" s="2659"/>
      <c r="D36" s="2659"/>
      <c r="E36" s="3590"/>
      <c r="F36" s="3590"/>
      <c r="G36" s="3590"/>
    </row>
    <row r="37" spans="1:7" hidden="1">
      <c r="A37" s="2662">
        <v>4</v>
      </c>
      <c r="B37" s="2659" t="s">
        <v>2602</v>
      </c>
      <c r="C37" s="2659"/>
      <c r="D37" s="2659"/>
      <c r="E37" s="3590"/>
      <c r="F37" s="3590"/>
      <c r="G37" s="3590"/>
    </row>
    <row r="38" spans="1:7" hidden="1">
      <c r="A38" s="3591" t="s">
        <v>2603</v>
      </c>
      <c r="B38" s="3592"/>
      <c r="C38" s="3592"/>
      <c r="D38" s="3593"/>
      <c r="E38" s="3589"/>
      <c r="F38" s="3589"/>
      <c r="G38" s="35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975</v>
      </c>
      <c r="B1" s="3102" t="s">
        <v>976</v>
      </c>
      <c r="C1" s="3103" t="s">
        <v>977</v>
      </c>
      <c r="D1" s="3104"/>
      <c r="E1" s="3105"/>
      <c r="F1" s="3106" t="s">
        <v>2694</v>
      </c>
      <c r="G1" s="3108" t="s">
        <v>978</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979</v>
      </c>
      <c r="B2" s="2844" t="e">
        <f ca="1">IF(C2="——",ROUND(C49*D3/10000,0),ROUND(C49*D3/10000,0)-D2)</f>
        <v>#DIV/0!</v>
      </c>
      <c r="C2" s="3098"/>
      <c r="D2" s="2721" t="e">
        <f ca="1">SUMIF(INDIRECT("'"&amp;F2&amp;"'"&amp;"!A:A"),"承租人权益价值",INDIRECT("'"&amp;F2&amp;"'"&amp;"!c:c"))</f>
        <v>#REF!</v>
      </c>
      <c r="E2" s="3099" t="s">
        <v>864</v>
      </c>
      <c r="F2" s="3100"/>
      <c r="G2" s="2287"/>
      <c r="H2" s="2287"/>
      <c r="I2" s="2287"/>
      <c r="J2" s="2287"/>
      <c r="K2" s="2289"/>
      <c r="L2" s="2290"/>
      <c r="M2" s="2291"/>
      <c r="N2" s="2291"/>
      <c r="O2" s="2291"/>
      <c r="P2" s="1337"/>
      <c r="Q2" s="1336"/>
      <c r="R2" s="1336"/>
      <c r="S2" s="1336"/>
      <c r="T2" s="1336"/>
      <c r="U2" s="1336"/>
      <c r="V2" s="1336"/>
      <c r="W2" s="1336"/>
      <c r="X2" s="1336"/>
      <c r="Y2" s="1336"/>
      <c r="Z2" s="1336"/>
      <c r="AA2" s="1336"/>
      <c r="AB2" s="1336"/>
      <c r="AC2" s="1338"/>
    </row>
    <row r="3" spans="1:29" s="89" customFormat="1" ht="28.5" customHeight="1" thickBot="1">
      <c r="A3" s="87" t="s">
        <v>980</v>
      </c>
      <c r="B3" s="742" t="e">
        <f ca="1">IF(C2="——",C49,ROUND(B2*10000/D3,0))</f>
        <v>#DIV/0!</v>
      </c>
      <c r="C3" s="142" t="s">
        <v>981</v>
      </c>
      <c r="D3" s="742">
        <f>IF(D1="",'数据-汇总表'!E3,SUMIF('数据-汇总表'!$C19:$C33,D1,'数据-汇总表'!$E19:$E33))</f>
        <v>66965.320000000065</v>
      </c>
      <c r="E3" s="2287"/>
      <c r="F3" s="2288"/>
      <c r="G3" s="2287"/>
      <c r="H3" s="2287"/>
      <c r="I3" s="2287"/>
      <c r="J3" s="2287"/>
      <c r="K3" s="2289"/>
      <c r="L3" s="2290"/>
      <c r="M3" s="2291"/>
      <c r="N3" s="2291"/>
      <c r="O3" s="2291"/>
      <c r="P3" s="1337"/>
      <c r="Q3" s="1336"/>
      <c r="R3" s="1336"/>
      <c r="S3" s="1336"/>
      <c r="T3" s="1336"/>
      <c r="U3" s="1336"/>
      <c r="V3" s="1336"/>
      <c r="W3" s="1336"/>
      <c r="X3" s="1336"/>
      <c r="Y3" s="1336"/>
      <c r="Z3" s="1336"/>
      <c r="AA3" s="1336"/>
      <c r="AB3" s="1336"/>
      <c r="AC3" s="1339"/>
    </row>
    <row r="4" spans="1:29">
      <c r="A4" s="143" t="s">
        <v>982</v>
      </c>
      <c r="B4" s="144"/>
      <c r="C4" s="3612" t="s">
        <v>983</v>
      </c>
      <c r="D4" s="3613"/>
      <c r="E4" s="3614" t="s">
        <v>984</v>
      </c>
      <c r="F4" s="3615"/>
      <c r="G4" s="3612" t="s">
        <v>985</v>
      </c>
      <c r="H4" s="3613"/>
      <c r="I4" s="3612" t="s">
        <v>986</v>
      </c>
      <c r="J4" s="3613"/>
      <c r="K4" s="145" t="s">
        <v>987</v>
      </c>
      <c r="L4" s="2292"/>
      <c r="M4" s="2293"/>
      <c r="N4" s="2293"/>
      <c r="O4" s="2293"/>
      <c r="P4" s="3616" t="s">
        <v>982</v>
      </c>
      <c r="Q4" s="3617"/>
      <c r="R4" s="3599" t="s">
        <v>984</v>
      </c>
      <c r="S4" s="3600"/>
      <c r="T4" s="3599" t="s">
        <v>985</v>
      </c>
      <c r="U4" s="3600"/>
      <c r="V4" s="3624" t="s">
        <v>986</v>
      </c>
      <c r="W4" s="3624"/>
      <c r="X4" s="1340"/>
      <c r="Y4" s="3599" t="s">
        <v>982</v>
      </c>
      <c r="Z4" s="3600"/>
      <c r="AA4" s="3594" t="s">
        <v>984</v>
      </c>
      <c r="AB4" s="3594" t="s">
        <v>985</v>
      </c>
      <c r="AC4" s="3594" t="s">
        <v>986</v>
      </c>
    </row>
    <row r="5" spans="1:29">
      <c r="A5" s="146"/>
      <c r="B5" s="147"/>
      <c r="C5" s="3605" t="s">
        <v>988</v>
      </c>
      <c r="D5" s="3606"/>
      <c r="E5" s="3603" t="s">
        <v>989</v>
      </c>
      <c r="F5" s="3604"/>
      <c r="G5" s="3605" t="s">
        <v>990</v>
      </c>
      <c r="H5" s="3606"/>
      <c r="I5" s="3605" t="s">
        <v>991</v>
      </c>
      <c r="J5" s="3606"/>
      <c r="K5" s="152"/>
      <c r="L5" s="2292"/>
      <c r="M5" s="2293"/>
      <c r="N5" s="2293"/>
      <c r="O5" s="2293"/>
      <c r="P5" s="3618"/>
      <c r="Q5" s="3619"/>
      <c r="R5" s="3601"/>
      <c r="S5" s="3602"/>
      <c r="T5" s="3601"/>
      <c r="U5" s="3602"/>
      <c r="V5" s="3624"/>
      <c r="W5" s="3624"/>
      <c r="X5" s="1340"/>
      <c r="Y5" s="3601"/>
      <c r="Z5" s="3602"/>
      <c r="AA5" s="3595"/>
      <c r="AB5" s="3595"/>
      <c r="AC5" s="3595"/>
    </row>
    <row r="6" spans="1:29" ht="14.25" thickBot="1">
      <c r="A6" s="148"/>
      <c r="B6" s="149"/>
      <c r="C6" s="3607" t="s">
        <v>992</v>
      </c>
      <c r="D6" s="3608"/>
      <c r="E6" s="3609" t="s">
        <v>992</v>
      </c>
      <c r="F6" s="3610"/>
      <c r="G6" s="3607" t="s">
        <v>992</v>
      </c>
      <c r="H6" s="3608"/>
      <c r="I6" s="3607" t="s">
        <v>992</v>
      </c>
      <c r="J6" s="3608"/>
      <c r="K6" s="152" t="s">
        <v>993</v>
      </c>
      <c r="L6" s="2292"/>
      <c r="M6" s="2293"/>
      <c r="N6" s="2293"/>
      <c r="O6" s="2293"/>
      <c r="P6" s="3620"/>
      <c r="Q6" s="3621"/>
      <c r="R6" s="3601"/>
      <c r="S6" s="3602"/>
      <c r="T6" s="3622"/>
      <c r="U6" s="3623"/>
      <c r="V6" s="3624"/>
      <c r="W6" s="3624"/>
      <c r="X6" s="1340"/>
      <c r="Y6" s="3622"/>
      <c r="Z6" s="3623"/>
      <c r="AA6" s="3596"/>
      <c r="AB6" s="3596"/>
      <c r="AC6" s="3596"/>
    </row>
    <row r="7" spans="1:29" s="40" customFormat="1" ht="15" thickBot="1">
      <c r="A7" s="1014" t="s">
        <v>994</v>
      </c>
      <c r="B7" s="1015"/>
      <c r="C7" s="1016">
        <f>'数据-取费表'!B2</f>
        <v>42956</v>
      </c>
      <c r="D7" s="754">
        <v>100</v>
      </c>
      <c r="E7" s="1017"/>
      <c r="F7" s="756">
        <f>SUMIF(58:58,YEAR(E7)&amp;"-"&amp;MONTH(E7),59:59)</f>
        <v>0</v>
      </c>
      <c r="G7" s="1017"/>
      <c r="H7" s="754">
        <f>SUMIF(58:58,YEAR(G7)&amp;"-"&amp;MONTH(G7),59:59)</f>
        <v>0</v>
      </c>
      <c r="I7" s="1017"/>
      <c r="J7" s="754">
        <f>SUMIF(58:58,YEAR(I7)&amp;"-"&amp;MONTH(I7),59:59)</f>
        <v>0</v>
      </c>
      <c r="K7" s="1341"/>
      <c r="L7" s="2294"/>
      <c r="M7" s="2256"/>
      <c r="N7" s="2256"/>
      <c r="O7" s="2256"/>
      <c r="P7" s="3597" t="s">
        <v>994</v>
      </c>
      <c r="Q7" s="3625"/>
      <c r="R7" s="1342" t="s">
        <v>111</v>
      </c>
      <c r="S7" s="1343">
        <f t="shared" ref="S7:S15" si="0">F7</f>
        <v>0</v>
      </c>
      <c r="T7" s="1342" t="s">
        <v>111</v>
      </c>
      <c r="U7" s="1343">
        <f t="shared" ref="U7:U15" si="1">H7</f>
        <v>0</v>
      </c>
      <c r="V7" s="1342" t="s">
        <v>111</v>
      </c>
      <c r="W7" s="1343">
        <f t="shared" ref="W7:W15" si="2">J7</f>
        <v>0</v>
      </c>
      <c r="X7" s="287"/>
      <c r="Y7" s="3597" t="s">
        <v>994</v>
      </c>
      <c r="Z7" s="3598"/>
      <c r="AA7" s="1344" t="e">
        <f>D7/F7</f>
        <v>#DIV/0!</v>
      </c>
      <c r="AB7" s="1344" t="e">
        <f>D7/H7</f>
        <v>#DIV/0!</v>
      </c>
      <c r="AC7" s="1344" t="e">
        <f>D7/J7</f>
        <v>#DIV/0!</v>
      </c>
    </row>
    <row r="8" spans="1:29" s="40" customFormat="1" ht="15" thickBot="1">
      <c r="A8" s="1014" t="s">
        <v>995</v>
      </c>
      <c r="B8" s="1015"/>
      <c r="C8" s="1020" t="s">
        <v>151</v>
      </c>
      <c r="D8" s="754">
        <v>100</v>
      </c>
      <c r="E8" s="1345"/>
      <c r="F8" s="756">
        <f>SUMIF(61:61,E8,62:62)-SUMIF(61:61,C8,62:62)+100</f>
        <v>0</v>
      </c>
      <c r="G8" s="1020"/>
      <c r="H8" s="754">
        <f>SUMIF(61:61,G8,62:62)-SUMIF(61:61,C8,62:62)+100</f>
        <v>0</v>
      </c>
      <c r="I8" s="1345"/>
      <c r="J8" s="754">
        <f>SUMIF(61:61,I8,62:62)-SUMIF(61:61,C8,62:62)+100</f>
        <v>0</v>
      </c>
      <c r="K8" s="1341"/>
      <c r="L8" s="2294"/>
      <c r="M8" s="2256"/>
      <c r="N8" s="2256"/>
      <c r="O8" s="2256"/>
      <c r="P8" s="3597" t="s">
        <v>995</v>
      </c>
      <c r="Q8" s="3598"/>
      <c r="R8" s="1342" t="s">
        <v>111</v>
      </c>
      <c r="S8" s="1343">
        <f t="shared" si="0"/>
        <v>0</v>
      </c>
      <c r="T8" s="1342" t="s">
        <v>111</v>
      </c>
      <c r="U8" s="1343">
        <f t="shared" si="1"/>
        <v>0</v>
      </c>
      <c r="V8" s="1342" t="s">
        <v>111</v>
      </c>
      <c r="W8" s="1343">
        <f t="shared" si="2"/>
        <v>0</v>
      </c>
      <c r="X8" s="287"/>
      <c r="Y8" s="3597" t="s">
        <v>995</v>
      </c>
      <c r="Z8" s="3598"/>
      <c r="AA8" s="1344" t="e">
        <f t="shared" ref="AA8:AA19" si="3">D8/F8</f>
        <v>#DIV/0!</v>
      </c>
      <c r="AB8" s="1344" t="e">
        <f t="shared" ref="AB8:AB19" si="4">D8/H8</f>
        <v>#DIV/0!</v>
      </c>
      <c r="AC8" s="1344" t="e">
        <f t="shared" ref="AC8:AC19" si="5">D8/J8</f>
        <v>#DIV/0!</v>
      </c>
    </row>
    <row r="9" spans="1:29" s="40" customFormat="1" ht="14.25">
      <c r="A9" s="1021" t="s">
        <v>996</v>
      </c>
      <c r="B9" s="62" t="s">
        <v>997</v>
      </c>
      <c r="C9" s="1346"/>
      <c r="D9" s="425">
        <v>100</v>
      </c>
      <c r="E9" s="1347"/>
      <c r="F9" s="761">
        <f>SUMIF(63:63,E9,64:64)-SUMIF(63:63,C9,64:64)+100</f>
        <v>100</v>
      </c>
      <c r="G9" s="1348"/>
      <c r="H9" s="425">
        <f>SUMIF(63:63,G9,64:64)-SUMIF(63:63,C9,64:64)+100</f>
        <v>100</v>
      </c>
      <c r="I9" s="1348"/>
      <c r="J9" s="425">
        <f>SUMIF(63:63,I9,64:64)-SUMIF(63:63,C9,64:64)+100</f>
        <v>100</v>
      </c>
      <c r="K9" s="1341"/>
      <c r="L9" s="2294"/>
      <c r="M9" s="2256"/>
      <c r="N9" s="2256"/>
      <c r="O9" s="2256"/>
      <c r="P9" s="3611" t="s">
        <v>63</v>
      </c>
      <c r="Q9" s="7" t="str">
        <f t="shared" ref="Q9:Q15" si="6">B9</f>
        <v>用途</v>
      </c>
      <c r="R9" s="1342" t="s">
        <v>61</v>
      </c>
      <c r="S9" s="1343">
        <f t="shared" si="0"/>
        <v>100</v>
      </c>
      <c r="T9" s="1342" t="s">
        <v>61</v>
      </c>
      <c r="U9" s="1343">
        <f t="shared" si="1"/>
        <v>100</v>
      </c>
      <c r="V9" s="1342" t="s">
        <v>61</v>
      </c>
      <c r="W9" s="1343">
        <f t="shared" si="2"/>
        <v>100</v>
      </c>
      <c r="X9" s="287"/>
      <c r="Y9" s="3435" t="s">
        <v>63</v>
      </c>
      <c r="Z9" s="288" t="str">
        <f t="shared" ref="Z9:Z15" si="7">Q9</f>
        <v>用途</v>
      </c>
      <c r="AA9" s="1344">
        <f t="shared" si="3"/>
        <v>1</v>
      </c>
      <c r="AB9" s="1344">
        <f t="shared" si="4"/>
        <v>1</v>
      </c>
      <c r="AC9" s="1344">
        <f t="shared" si="5"/>
        <v>1</v>
      </c>
    </row>
    <row r="10" spans="1:29" s="92" customFormat="1" ht="27">
      <c r="A10" s="150"/>
      <c r="B10" s="12" t="s">
        <v>102</v>
      </c>
      <c r="C10" s="1349"/>
      <c r="D10" s="426">
        <v>100</v>
      </c>
      <c r="E10" s="1350"/>
      <c r="F10" s="768">
        <f>SUMIF(65:65,E10,66:66)-SUMIF(65:65,C10,66:66)+100</f>
        <v>100</v>
      </c>
      <c r="G10" s="1349"/>
      <c r="H10" s="426">
        <f>SUMIF(65:65,G10,66:66)-SUMIF(65:65,C10,66:66)+100</f>
        <v>100</v>
      </c>
      <c r="I10" s="1349"/>
      <c r="J10" s="426">
        <f>SUMIF(65:65,I10,66:66)-SUMIF(65:65,C10,66:66)+100</f>
        <v>100</v>
      </c>
      <c r="K10" s="769"/>
      <c r="L10" s="2295"/>
      <c r="M10" s="2296"/>
      <c r="N10" s="2296"/>
      <c r="O10" s="2296"/>
      <c r="P10" s="3611"/>
      <c r="Q10" s="7" t="str">
        <f t="shared" si="6"/>
        <v>土地使用年限（年）</v>
      </c>
      <c r="R10" s="1342" t="s">
        <v>61</v>
      </c>
      <c r="S10" s="1343">
        <f t="shared" si="0"/>
        <v>100</v>
      </c>
      <c r="T10" s="1342" t="s">
        <v>61</v>
      </c>
      <c r="U10" s="1343">
        <f t="shared" si="1"/>
        <v>100</v>
      </c>
      <c r="V10" s="1342" t="s">
        <v>61</v>
      </c>
      <c r="W10" s="1343">
        <f t="shared" si="2"/>
        <v>100</v>
      </c>
      <c r="X10" s="287"/>
      <c r="Y10" s="3435"/>
      <c r="Z10" s="288" t="str">
        <f t="shared" si="7"/>
        <v>土地使用年限（年）</v>
      </c>
      <c r="AA10" s="1344">
        <f t="shared" si="3"/>
        <v>1</v>
      </c>
      <c r="AB10" s="1344">
        <f t="shared" si="4"/>
        <v>1</v>
      </c>
      <c r="AC10" s="1344">
        <f t="shared" si="5"/>
        <v>1</v>
      </c>
    </row>
    <row r="11" spans="1:29" ht="15">
      <c r="A11" s="151"/>
      <c r="B11" s="12" t="s">
        <v>89</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7"/>
      <c r="M11" s="2293"/>
      <c r="N11" s="2293"/>
      <c r="O11" s="2293"/>
      <c r="P11" s="3611"/>
      <c r="Q11" s="7" t="str">
        <f t="shared" si="6"/>
        <v>容积率</v>
      </c>
      <c r="R11" s="1342" t="s">
        <v>100</v>
      </c>
      <c r="S11" s="1343" t="e">
        <f t="shared" si="0"/>
        <v>#N/A</v>
      </c>
      <c r="T11" s="1342" t="s">
        <v>100</v>
      </c>
      <c r="U11" s="1343" t="e">
        <f t="shared" si="1"/>
        <v>#N/A</v>
      </c>
      <c r="V11" s="1342" t="s">
        <v>100</v>
      </c>
      <c r="W11" s="1343" t="e">
        <f t="shared" si="2"/>
        <v>#N/A</v>
      </c>
      <c r="X11" s="287"/>
      <c r="Y11" s="3435"/>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4"/>
      <c r="M12" s="2256"/>
      <c r="N12" s="2256"/>
      <c r="O12" s="2256"/>
      <c r="P12" s="3611"/>
      <c r="Q12" s="7">
        <f t="shared" si="6"/>
        <v>111</v>
      </c>
      <c r="R12" s="1342" t="s">
        <v>100</v>
      </c>
      <c r="S12" s="1343">
        <f t="shared" si="0"/>
        <v>100</v>
      </c>
      <c r="T12" s="1342" t="s">
        <v>100</v>
      </c>
      <c r="U12" s="1343">
        <f t="shared" si="1"/>
        <v>100</v>
      </c>
      <c r="V12" s="1342" t="s">
        <v>100</v>
      </c>
      <c r="W12" s="1343">
        <f t="shared" si="2"/>
        <v>100</v>
      </c>
      <c r="X12" s="287"/>
      <c r="Y12" s="3435"/>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298"/>
      <c r="M13" s="2293"/>
      <c r="N13" s="2293"/>
      <c r="O13" s="2293"/>
      <c r="P13" s="3611"/>
      <c r="Q13" s="7">
        <f t="shared" si="6"/>
        <v>111</v>
      </c>
      <c r="R13" s="1342" t="s">
        <v>100</v>
      </c>
      <c r="S13" s="1343">
        <f t="shared" si="0"/>
        <v>100</v>
      </c>
      <c r="T13" s="1342" t="s">
        <v>100</v>
      </c>
      <c r="U13" s="1343">
        <f t="shared" si="1"/>
        <v>100</v>
      </c>
      <c r="V13" s="1342" t="s">
        <v>100</v>
      </c>
      <c r="W13" s="1343">
        <f t="shared" si="2"/>
        <v>100</v>
      </c>
      <c r="X13" s="287"/>
      <c r="Y13" s="3435"/>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298"/>
      <c r="M14" s="2293"/>
      <c r="N14" s="2293"/>
      <c r="O14" s="2293"/>
      <c r="P14" s="3611"/>
      <c r="Q14" s="7">
        <f t="shared" si="6"/>
        <v>111</v>
      </c>
      <c r="R14" s="1342" t="s">
        <v>100</v>
      </c>
      <c r="S14" s="1343">
        <f t="shared" si="0"/>
        <v>100</v>
      </c>
      <c r="T14" s="1342" t="s">
        <v>100</v>
      </c>
      <c r="U14" s="1343">
        <f t="shared" si="1"/>
        <v>100</v>
      </c>
      <c r="V14" s="1342" t="s">
        <v>100</v>
      </c>
      <c r="W14" s="1343">
        <f t="shared" si="2"/>
        <v>100</v>
      </c>
      <c r="X14" s="287"/>
      <c r="Y14" s="3435"/>
      <c r="Z14" s="288">
        <f t="shared" si="7"/>
        <v>111</v>
      </c>
      <c r="AA14" s="1344">
        <f t="shared" si="3"/>
        <v>1</v>
      </c>
      <c r="AB14" s="1344">
        <f t="shared" si="4"/>
        <v>1</v>
      </c>
      <c r="AC14" s="1344">
        <f t="shared" si="5"/>
        <v>1</v>
      </c>
    </row>
    <row r="15" spans="1:29" ht="94.5">
      <c r="A15" s="155" t="s">
        <v>65</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298"/>
      <c r="M15" s="2293"/>
      <c r="N15" s="2293"/>
      <c r="O15" s="2293"/>
      <c r="P15" s="3638" t="s">
        <v>65</v>
      </c>
      <c r="Q15" s="1351" t="str">
        <f t="shared" si="6"/>
        <v>居住社区成熟度</v>
      </c>
      <c r="R15" s="1352" t="s">
        <v>100</v>
      </c>
      <c r="S15" s="1353">
        <f t="shared" si="0"/>
        <v>100</v>
      </c>
      <c r="T15" s="1352" t="s">
        <v>100</v>
      </c>
      <c r="U15" s="1353">
        <f t="shared" si="1"/>
        <v>100</v>
      </c>
      <c r="V15" s="1352" t="s">
        <v>100</v>
      </c>
      <c r="W15" s="1353">
        <f t="shared" si="2"/>
        <v>100</v>
      </c>
      <c r="X15" s="1340"/>
      <c r="Y15" s="3631" t="s">
        <v>65</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298"/>
      <c r="M16" s="2293"/>
      <c r="N16" s="2293"/>
      <c r="O16" s="2293"/>
      <c r="P16" s="3639"/>
      <c r="Q16" s="1351"/>
      <c r="R16" s="1352"/>
      <c r="S16" s="1353"/>
      <c r="T16" s="1352"/>
      <c r="U16" s="1353"/>
      <c r="V16" s="1352"/>
      <c r="W16" s="1353"/>
      <c r="X16" s="1340"/>
      <c r="Y16" s="3632"/>
      <c r="Z16" s="1354"/>
      <c r="AA16" s="1355">
        <v>1</v>
      </c>
      <c r="AB16" s="1355">
        <v>1</v>
      </c>
      <c r="AC16" s="1355">
        <v>1</v>
      </c>
    </row>
    <row r="17" spans="1:29" ht="81">
      <c r="A17" s="151"/>
      <c r="B17" s="1356" t="s">
        <v>68</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298"/>
      <c r="M17" s="2293"/>
      <c r="N17" s="2293"/>
      <c r="O17" s="2293"/>
      <c r="P17" s="3639"/>
      <c r="Q17" s="1351" t="str">
        <f>B17</f>
        <v>交通便捷度</v>
      </c>
      <c r="R17" s="1352" t="s">
        <v>100</v>
      </c>
      <c r="S17" s="1353">
        <f>F17</f>
        <v>100</v>
      </c>
      <c r="T17" s="1352" t="s">
        <v>100</v>
      </c>
      <c r="U17" s="1353">
        <f>H17</f>
        <v>100</v>
      </c>
      <c r="V17" s="1352" t="s">
        <v>100</v>
      </c>
      <c r="W17" s="1353">
        <f>J17</f>
        <v>100</v>
      </c>
      <c r="X17" s="1340"/>
      <c r="Y17" s="3632"/>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298"/>
      <c r="M18" s="2293"/>
      <c r="N18" s="2293"/>
      <c r="O18" s="2293"/>
      <c r="P18" s="3639"/>
      <c r="Q18" s="1351"/>
      <c r="R18" s="1352"/>
      <c r="S18" s="1353"/>
      <c r="T18" s="1352"/>
      <c r="U18" s="1353"/>
      <c r="V18" s="1352"/>
      <c r="W18" s="1353"/>
      <c r="X18" s="1340"/>
      <c r="Y18" s="3632"/>
      <c r="Z18" s="1354"/>
      <c r="AA18" s="1355">
        <v>1</v>
      </c>
      <c r="AB18" s="1355">
        <v>1</v>
      </c>
      <c r="AC18" s="1355">
        <v>1</v>
      </c>
    </row>
    <row r="19" spans="1:29" ht="40.5">
      <c r="A19" s="151"/>
      <c r="B19" s="1356" t="s">
        <v>2630</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298"/>
      <c r="M19" s="2293"/>
      <c r="N19" s="2293"/>
      <c r="O19" s="2293"/>
      <c r="P19" s="3639"/>
      <c r="Q19" s="1351" t="str">
        <f>B19</f>
        <v>公共配套设施</v>
      </c>
      <c r="R19" s="1352" t="s">
        <v>100</v>
      </c>
      <c r="S19" s="1353">
        <f>F19</f>
        <v>100</v>
      </c>
      <c r="T19" s="1352" t="s">
        <v>100</v>
      </c>
      <c r="U19" s="1353">
        <f>H19</f>
        <v>100</v>
      </c>
      <c r="V19" s="1352" t="s">
        <v>100</v>
      </c>
      <c r="W19" s="1353">
        <f>J19</f>
        <v>100</v>
      </c>
      <c r="X19" s="1340"/>
      <c r="Y19" s="3632"/>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298"/>
      <c r="M20" s="2293"/>
      <c r="N20" s="2293"/>
      <c r="O20" s="2293"/>
      <c r="P20" s="3639"/>
      <c r="Q20" s="1351"/>
      <c r="R20" s="1352"/>
      <c r="S20" s="1353"/>
      <c r="T20" s="1352"/>
      <c r="U20" s="1353"/>
      <c r="V20" s="1352"/>
      <c r="W20" s="1353"/>
      <c r="X20" s="1340"/>
      <c r="Y20" s="3632"/>
      <c r="Z20" s="1354"/>
      <c r="AA20" s="1355">
        <v>1</v>
      </c>
      <c r="AB20" s="1355">
        <v>1</v>
      </c>
      <c r="AC20" s="1355">
        <v>1</v>
      </c>
    </row>
    <row r="21" spans="1:29" ht="27">
      <c r="A21" s="151"/>
      <c r="B21" s="1412" t="s">
        <v>2641</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298"/>
      <c r="M21" s="2293"/>
      <c r="N21" s="2293"/>
      <c r="O21" s="2293"/>
      <c r="P21" s="3639"/>
      <c r="Q21" s="2743" t="str">
        <f>B21</f>
        <v>基础设施水平</v>
      </c>
      <c r="R21" s="1352" t="s">
        <v>61</v>
      </c>
      <c r="S21" s="1353">
        <f>F21</f>
        <v>100</v>
      </c>
      <c r="T21" s="1352" t="s">
        <v>61</v>
      </c>
      <c r="U21" s="1353">
        <f>H21</f>
        <v>100</v>
      </c>
      <c r="V21" s="1352" t="s">
        <v>61</v>
      </c>
      <c r="W21" s="1353">
        <f>J21</f>
        <v>100</v>
      </c>
      <c r="X21" s="2745"/>
      <c r="Y21" s="3632"/>
      <c r="Z21" s="2744"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0"/>
      <c r="L22" s="2298"/>
      <c r="M22" s="2293"/>
      <c r="N22" s="2293"/>
      <c r="O22" s="2293"/>
      <c r="P22" s="3639"/>
      <c r="Q22" s="2743"/>
      <c r="R22" s="1352"/>
      <c r="S22" s="1353"/>
      <c r="T22" s="1352"/>
      <c r="U22" s="1353"/>
      <c r="V22" s="1352"/>
      <c r="W22" s="1353"/>
      <c r="X22" s="2745"/>
      <c r="Y22" s="3632"/>
      <c r="Z22" s="2744"/>
      <c r="AA22" s="1355">
        <v>1</v>
      </c>
      <c r="AB22" s="1355">
        <v>1</v>
      </c>
      <c r="AC22" s="1355">
        <v>1</v>
      </c>
    </row>
    <row r="23" spans="1:29" ht="54">
      <c r="A23" s="151"/>
      <c r="B23" s="1356" t="s">
        <v>69</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298"/>
      <c r="M23" s="2293"/>
      <c r="N23" s="2293"/>
      <c r="O23" s="2293"/>
      <c r="P23" s="3639"/>
      <c r="Q23" s="1351" t="str">
        <f>B23</f>
        <v>自然及人文环境</v>
      </c>
      <c r="R23" s="1352" t="s">
        <v>100</v>
      </c>
      <c r="S23" s="1353">
        <f>F23</f>
        <v>100</v>
      </c>
      <c r="T23" s="1352" t="s">
        <v>100</v>
      </c>
      <c r="U23" s="1353">
        <f>H23</f>
        <v>100</v>
      </c>
      <c r="V23" s="1352" t="s">
        <v>100</v>
      </c>
      <c r="W23" s="1353">
        <f>J23</f>
        <v>100</v>
      </c>
      <c r="X23" s="1340"/>
      <c r="Y23" s="3632"/>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298"/>
      <c r="M24" s="2293"/>
      <c r="N24" s="2293"/>
      <c r="O24" s="2293"/>
      <c r="P24" s="3639"/>
      <c r="Q24" s="1351"/>
      <c r="R24" s="1352"/>
      <c r="S24" s="1353"/>
      <c r="T24" s="1352"/>
      <c r="U24" s="1353"/>
      <c r="V24" s="1352"/>
      <c r="W24" s="1353"/>
      <c r="X24" s="1340"/>
      <c r="Y24" s="3632"/>
      <c r="Z24" s="1354"/>
      <c r="AA24" s="1355">
        <v>1</v>
      </c>
      <c r="AB24" s="1355">
        <v>1</v>
      </c>
      <c r="AC24" s="1355">
        <v>1</v>
      </c>
    </row>
    <row r="25" spans="1:29" ht="15">
      <c r="A25" s="151"/>
      <c r="B25" s="12" t="s">
        <v>2291</v>
      </c>
      <c r="C25" s="107"/>
      <c r="D25" s="778">
        <v>100</v>
      </c>
      <c r="E25" s="109"/>
      <c r="F25" s="778">
        <f>SUMIF(86:86,E25,87:87)-SUMIF(86:86,C25,87:87)+100</f>
        <v>100</v>
      </c>
      <c r="G25" s="108"/>
      <c r="H25" s="778">
        <f>SUMIF(86:86,G25,87:87)-SUMIF(86:86,C25,87:87)+100</f>
        <v>100</v>
      </c>
      <c r="I25" s="108"/>
      <c r="J25" s="778">
        <f>SUMIF(86:86,I25,87:87)-SUMIF(86:86,C25,87:87)+100</f>
        <v>100</v>
      </c>
      <c r="K25" s="769"/>
      <c r="L25" s="2298"/>
      <c r="M25" s="2293"/>
      <c r="N25" s="2293"/>
      <c r="O25" s="2293"/>
      <c r="P25" s="3639"/>
      <c r="Q25" s="1351" t="str">
        <f t="shared" ref="Q25:Q46" si="11">B25</f>
        <v>楼层-1</v>
      </c>
      <c r="R25" s="1352" t="s">
        <v>100</v>
      </c>
      <c r="S25" s="1353">
        <f t="shared" ref="S25:S46" si="12">F25</f>
        <v>100</v>
      </c>
      <c r="T25" s="1352" t="s">
        <v>100</v>
      </c>
      <c r="U25" s="1353">
        <f t="shared" ref="U25:U46" si="13">H25</f>
        <v>100</v>
      </c>
      <c r="V25" s="1352" t="s">
        <v>100</v>
      </c>
      <c r="W25" s="1353">
        <f t="shared" ref="W25:W46" si="14">J25</f>
        <v>100</v>
      </c>
      <c r="X25" s="1340"/>
      <c r="Y25" s="3632"/>
      <c r="Z25" s="1354" t="str">
        <f>Q25</f>
        <v>楼层-1</v>
      </c>
      <c r="AA25" s="1355">
        <f t="shared" ref="AA25:AA46" si="15">D25/F25</f>
        <v>1</v>
      </c>
      <c r="AB25" s="1355">
        <f t="shared" ref="AB25:AB46" si="16">D25/H25</f>
        <v>1</v>
      </c>
      <c r="AC25" s="1355">
        <f t="shared" ref="AC25:AC46" si="17">D25/J25</f>
        <v>1</v>
      </c>
    </row>
    <row r="26" spans="1:29" ht="15">
      <c r="A26" s="151"/>
      <c r="B26" s="12" t="s">
        <v>70</v>
      </c>
      <c r="C26" s="107"/>
      <c r="D26" s="778">
        <v>100</v>
      </c>
      <c r="E26" s="109"/>
      <c r="F26" s="778">
        <f>SUMIF(88:88,E26,89:89)-SUMIF(88:88,C26,89:89)+100</f>
        <v>100</v>
      </c>
      <c r="G26" s="108"/>
      <c r="H26" s="778">
        <f>SUMIF(88:88,G26,89:89)-SUMIF(88:88,C26,89:89)+100</f>
        <v>100</v>
      </c>
      <c r="I26" s="108"/>
      <c r="J26" s="778">
        <f>SUMIF(88:88,I26,89:89)-SUMIF(88:88,C26,89:89)+100</f>
        <v>100</v>
      </c>
      <c r="K26" s="769"/>
      <c r="L26" s="2298"/>
      <c r="M26" s="2293"/>
      <c r="N26" s="2293"/>
      <c r="O26" s="2293"/>
      <c r="P26" s="3639"/>
      <c r="Q26" s="1351" t="str">
        <f t="shared" si="11"/>
        <v>朝向</v>
      </c>
      <c r="R26" s="1352" t="s">
        <v>100</v>
      </c>
      <c r="S26" s="1353">
        <f t="shared" si="12"/>
        <v>100</v>
      </c>
      <c r="T26" s="1352" t="s">
        <v>100</v>
      </c>
      <c r="U26" s="1353">
        <f t="shared" si="13"/>
        <v>100</v>
      </c>
      <c r="V26" s="1352" t="s">
        <v>100</v>
      </c>
      <c r="W26" s="1353">
        <f t="shared" si="14"/>
        <v>100</v>
      </c>
      <c r="X26" s="1340"/>
      <c r="Y26" s="3632"/>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4"/>
      <c r="M27" s="2256"/>
      <c r="N27" s="2256"/>
      <c r="O27" s="2256"/>
      <c r="P27" s="3639"/>
      <c r="Q27" s="7">
        <f t="shared" si="11"/>
        <v>111</v>
      </c>
      <c r="R27" s="1342" t="s">
        <v>100</v>
      </c>
      <c r="S27" s="1343">
        <f t="shared" si="12"/>
        <v>100</v>
      </c>
      <c r="T27" s="1342" t="s">
        <v>100</v>
      </c>
      <c r="U27" s="1343">
        <f t="shared" si="13"/>
        <v>100</v>
      </c>
      <c r="V27" s="1342" t="s">
        <v>100</v>
      </c>
      <c r="W27" s="1343">
        <f t="shared" si="14"/>
        <v>100</v>
      </c>
      <c r="X27" s="287"/>
      <c r="Y27" s="3632"/>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298"/>
      <c r="M28" s="2293"/>
      <c r="N28" s="2293"/>
      <c r="O28" s="2293"/>
      <c r="P28" s="3639"/>
      <c r="Q28" s="1351">
        <f t="shared" si="11"/>
        <v>111</v>
      </c>
      <c r="R28" s="1352" t="s">
        <v>100</v>
      </c>
      <c r="S28" s="1353">
        <f t="shared" si="12"/>
        <v>100</v>
      </c>
      <c r="T28" s="1352" t="s">
        <v>100</v>
      </c>
      <c r="U28" s="1353">
        <f t="shared" si="13"/>
        <v>100</v>
      </c>
      <c r="V28" s="1352" t="s">
        <v>100</v>
      </c>
      <c r="W28" s="1353">
        <f t="shared" si="14"/>
        <v>100</v>
      </c>
      <c r="X28" s="1340"/>
      <c r="Y28" s="3632"/>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298"/>
      <c r="M29" s="2293"/>
      <c r="N29" s="2293"/>
      <c r="O29" s="2293"/>
      <c r="P29" s="3639"/>
      <c r="Q29" s="1351">
        <f t="shared" si="11"/>
        <v>111</v>
      </c>
      <c r="R29" s="1352" t="s">
        <v>100</v>
      </c>
      <c r="S29" s="1353">
        <f t="shared" si="12"/>
        <v>100</v>
      </c>
      <c r="T29" s="1352" t="s">
        <v>100</v>
      </c>
      <c r="U29" s="1353">
        <f t="shared" si="13"/>
        <v>100</v>
      </c>
      <c r="V29" s="1352" t="s">
        <v>100</v>
      </c>
      <c r="W29" s="1353">
        <f t="shared" si="14"/>
        <v>100</v>
      </c>
      <c r="X29" s="1340"/>
      <c r="Y29" s="3632"/>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298"/>
      <c r="M30" s="2293"/>
      <c r="N30" s="2293"/>
      <c r="O30" s="2293"/>
      <c r="P30" s="3639"/>
      <c r="Q30" s="1351">
        <f t="shared" si="11"/>
        <v>111</v>
      </c>
      <c r="R30" s="1352" t="s">
        <v>100</v>
      </c>
      <c r="S30" s="1353">
        <f t="shared" si="12"/>
        <v>100</v>
      </c>
      <c r="T30" s="1352" t="s">
        <v>100</v>
      </c>
      <c r="U30" s="1353">
        <f t="shared" si="13"/>
        <v>100</v>
      </c>
      <c r="V30" s="1352" t="s">
        <v>100</v>
      </c>
      <c r="W30" s="1353">
        <f t="shared" si="14"/>
        <v>100</v>
      </c>
      <c r="X30" s="1340"/>
      <c r="Y30" s="3632"/>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298"/>
      <c r="M31" s="2293"/>
      <c r="N31" s="2293"/>
      <c r="O31" s="2293"/>
      <c r="P31" s="3639"/>
      <c r="Q31" s="1351">
        <f t="shared" si="11"/>
        <v>111</v>
      </c>
      <c r="R31" s="1352" t="s">
        <v>100</v>
      </c>
      <c r="S31" s="1353">
        <f t="shared" si="12"/>
        <v>100</v>
      </c>
      <c r="T31" s="1352" t="s">
        <v>100</v>
      </c>
      <c r="U31" s="1353">
        <f t="shared" si="13"/>
        <v>100</v>
      </c>
      <c r="V31" s="1352" t="s">
        <v>100</v>
      </c>
      <c r="W31" s="1353">
        <f t="shared" si="14"/>
        <v>100</v>
      </c>
      <c r="X31" s="1340"/>
      <c r="Y31" s="3632"/>
      <c r="Z31" s="1354">
        <f t="shared" si="18"/>
        <v>111</v>
      </c>
      <c r="AA31" s="1355">
        <f t="shared" si="15"/>
        <v>1</v>
      </c>
      <c r="AB31" s="1355">
        <f t="shared" si="16"/>
        <v>1</v>
      </c>
      <c r="AC31" s="1355">
        <f t="shared" si="17"/>
        <v>1</v>
      </c>
    </row>
    <row r="32" spans="1:29" ht="15">
      <c r="A32" s="155" t="s">
        <v>998</v>
      </c>
      <c r="B32" s="62" t="s">
        <v>71</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298"/>
      <c r="M32" s="2293"/>
      <c r="N32" s="2293"/>
      <c r="O32" s="2293"/>
      <c r="P32" s="3633" t="s">
        <v>66</v>
      </c>
      <c r="Q32" s="1351" t="str">
        <f t="shared" si="11"/>
        <v>建筑类型</v>
      </c>
      <c r="R32" s="1352" t="s">
        <v>100</v>
      </c>
      <c r="S32" s="1353">
        <f t="shared" si="12"/>
        <v>100</v>
      </c>
      <c r="T32" s="1352" t="s">
        <v>100</v>
      </c>
      <c r="U32" s="1353">
        <f t="shared" si="13"/>
        <v>100</v>
      </c>
      <c r="V32" s="1352" t="s">
        <v>100</v>
      </c>
      <c r="W32" s="1353">
        <f t="shared" si="14"/>
        <v>100</v>
      </c>
      <c r="X32" s="1340"/>
      <c r="Y32" s="3636" t="s">
        <v>66</v>
      </c>
      <c r="Z32" s="1354" t="str">
        <f t="shared" si="18"/>
        <v>建筑类型</v>
      </c>
      <c r="AA32" s="1355">
        <f t="shared" si="15"/>
        <v>1</v>
      </c>
      <c r="AB32" s="1355">
        <f t="shared" si="16"/>
        <v>1</v>
      </c>
      <c r="AC32" s="1355">
        <f t="shared" si="17"/>
        <v>1</v>
      </c>
    </row>
    <row r="33" spans="1:29" s="1039" customFormat="1" ht="14.25">
      <c r="A33" s="1043"/>
      <c r="B33" s="12" t="s">
        <v>72</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7"/>
      <c r="M33" s="2299"/>
      <c r="N33" s="2299"/>
      <c r="O33" s="2299"/>
      <c r="P33" s="3634"/>
      <c r="Q33" s="1359" t="str">
        <f t="shared" si="11"/>
        <v>项目建筑规模</v>
      </c>
      <c r="R33" s="1360" t="s">
        <v>100</v>
      </c>
      <c r="S33" s="1361" t="e">
        <f t="shared" si="12"/>
        <v>#N/A</v>
      </c>
      <c r="T33" s="1360" t="s">
        <v>100</v>
      </c>
      <c r="U33" s="1361" t="e">
        <f t="shared" si="13"/>
        <v>#N/A</v>
      </c>
      <c r="V33" s="1360" t="s">
        <v>100</v>
      </c>
      <c r="W33" s="1361" t="e">
        <f t="shared" si="14"/>
        <v>#N/A</v>
      </c>
      <c r="X33" s="1362"/>
      <c r="Y33" s="3636"/>
      <c r="Z33" s="1363" t="str">
        <f t="shared" si="18"/>
        <v>项目建筑规模</v>
      </c>
      <c r="AA33" s="1355" t="e">
        <f t="shared" si="15"/>
        <v>#N/A</v>
      </c>
      <c r="AB33" s="1355" t="e">
        <f t="shared" si="16"/>
        <v>#N/A</v>
      </c>
      <c r="AC33" s="1355" t="e">
        <f t="shared" si="17"/>
        <v>#N/A</v>
      </c>
    </row>
    <row r="34" spans="1:29" ht="15">
      <c r="A34" s="161"/>
      <c r="B34" s="12" t="s">
        <v>73</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298"/>
      <c r="M34" s="2293"/>
      <c r="N34" s="2293"/>
      <c r="O34" s="2293"/>
      <c r="P34" s="3634"/>
      <c r="Q34" s="1351" t="str">
        <f t="shared" si="11"/>
        <v>建筑结构</v>
      </c>
      <c r="R34" s="1352" t="s">
        <v>100</v>
      </c>
      <c r="S34" s="1353">
        <f t="shared" si="12"/>
        <v>100</v>
      </c>
      <c r="T34" s="1352" t="s">
        <v>100</v>
      </c>
      <c r="U34" s="1353">
        <f t="shared" si="13"/>
        <v>100</v>
      </c>
      <c r="V34" s="1352" t="s">
        <v>100</v>
      </c>
      <c r="W34" s="1353">
        <f t="shared" si="14"/>
        <v>100</v>
      </c>
      <c r="X34" s="1340"/>
      <c r="Y34" s="3636"/>
      <c r="Z34" s="1354" t="str">
        <f t="shared" si="18"/>
        <v>建筑结构</v>
      </c>
      <c r="AA34" s="1355">
        <f t="shared" si="15"/>
        <v>1</v>
      </c>
      <c r="AB34" s="1355">
        <f t="shared" si="16"/>
        <v>1</v>
      </c>
      <c r="AC34" s="1355">
        <f t="shared" si="17"/>
        <v>1</v>
      </c>
    </row>
    <row r="35" spans="1:29" ht="15">
      <c r="A35" s="161"/>
      <c r="B35" s="12" t="s">
        <v>74</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298"/>
      <c r="M35" s="2293"/>
      <c r="N35" s="2293"/>
      <c r="O35" s="2293"/>
      <c r="P35" s="3634"/>
      <c r="Q35" s="1351" t="str">
        <f t="shared" si="11"/>
        <v>建筑品质</v>
      </c>
      <c r="R35" s="1352" t="s">
        <v>100</v>
      </c>
      <c r="S35" s="1353">
        <f t="shared" si="12"/>
        <v>100</v>
      </c>
      <c r="T35" s="1352" t="s">
        <v>100</v>
      </c>
      <c r="U35" s="1353">
        <f t="shared" si="13"/>
        <v>100</v>
      </c>
      <c r="V35" s="1352" t="s">
        <v>100</v>
      </c>
      <c r="W35" s="1353">
        <f t="shared" si="14"/>
        <v>100</v>
      </c>
      <c r="X35" s="1340"/>
      <c r="Y35" s="3636"/>
      <c r="Z35" s="1354" t="str">
        <f t="shared" si="18"/>
        <v>建筑品质</v>
      </c>
      <c r="AA35" s="1355">
        <f t="shared" si="15"/>
        <v>1</v>
      </c>
      <c r="AB35" s="1355">
        <f t="shared" si="16"/>
        <v>1</v>
      </c>
      <c r="AC35" s="1355">
        <f t="shared" si="17"/>
        <v>1</v>
      </c>
    </row>
    <row r="36" spans="1:29" ht="15">
      <c r="A36" s="161"/>
      <c r="B36" s="12" t="s">
        <v>75</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298"/>
      <c r="M36" s="2293"/>
      <c r="N36" s="2293"/>
      <c r="O36" s="2293"/>
      <c r="P36" s="3634"/>
      <c r="Q36" s="1351" t="str">
        <f t="shared" si="11"/>
        <v>公共部分装修</v>
      </c>
      <c r="R36" s="1352" t="s">
        <v>100</v>
      </c>
      <c r="S36" s="1353">
        <f t="shared" si="12"/>
        <v>100</v>
      </c>
      <c r="T36" s="1352" t="s">
        <v>100</v>
      </c>
      <c r="U36" s="1353">
        <f t="shared" si="13"/>
        <v>100</v>
      </c>
      <c r="V36" s="1352" t="s">
        <v>100</v>
      </c>
      <c r="W36" s="1353">
        <f t="shared" si="14"/>
        <v>100</v>
      </c>
      <c r="X36" s="1340"/>
      <c r="Y36" s="3636"/>
      <c r="Z36" s="1354" t="str">
        <f t="shared" si="18"/>
        <v>公共部分装修</v>
      </c>
      <c r="AA36" s="1355">
        <f t="shared" si="15"/>
        <v>1</v>
      </c>
      <c r="AB36" s="1355">
        <f t="shared" si="16"/>
        <v>1</v>
      </c>
      <c r="AC36" s="1355">
        <f t="shared" si="17"/>
        <v>1</v>
      </c>
    </row>
    <row r="37" spans="1:29" s="40" customFormat="1" ht="15">
      <c r="A37" s="1041"/>
      <c r="B37" s="12" t="s">
        <v>76</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4"/>
      <c r="M37" s="2256"/>
      <c r="N37" s="2256"/>
      <c r="O37" s="2256"/>
      <c r="P37" s="3634"/>
      <c r="Q37" s="7" t="str">
        <f t="shared" si="11"/>
        <v>成新度</v>
      </c>
      <c r="R37" s="1342" t="s">
        <v>100</v>
      </c>
      <c r="S37" s="1343" t="e">
        <f t="shared" si="12"/>
        <v>#N/A</v>
      </c>
      <c r="T37" s="1342" t="s">
        <v>100</v>
      </c>
      <c r="U37" s="1343" t="e">
        <f t="shared" si="13"/>
        <v>#N/A</v>
      </c>
      <c r="V37" s="1342" t="s">
        <v>100</v>
      </c>
      <c r="W37" s="1343" t="e">
        <f t="shared" si="14"/>
        <v>#N/A</v>
      </c>
      <c r="X37" s="287"/>
      <c r="Y37" s="3636"/>
      <c r="Z37" s="288" t="str">
        <f t="shared" si="18"/>
        <v>成新度</v>
      </c>
      <c r="AA37" s="1344" t="e">
        <f t="shared" si="15"/>
        <v>#N/A</v>
      </c>
      <c r="AB37" s="1344" t="e">
        <f t="shared" si="16"/>
        <v>#N/A</v>
      </c>
      <c r="AC37" s="1344" t="e">
        <f t="shared" si="17"/>
        <v>#N/A</v>
      </c>
    </row>
    <row r="38" spans="1:29" ht="15">
      <c r="A38" s="161"/>
      <c r="B38" s="12" t="s">
        <v>77</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298"/>
      <c r="M38" s="2293"/>
      <c r="N38" s="2293"/>
      <c r="O38" s="2293"/>
      <c r="P38" s="3634" t="s">
        <v>66</v>
      </c>
      <c r="Q38" s="1351" t="str">
        <f t="shared" si="11"/>
        <v>物业管理</v>
      </c>
      <c r="R38" s="1352" t="s">
        <v>100</v>
      </c>
      <c r="S38" s="1353">
        <f t="shared" si="12"/>
        <v>100</v>
      </c>
      <c r="T38" s="1352" t="s">
        <v>100</v>
      </c>
      <c r="U38" s="1353">
        <f t="shared" si="13"/>
        <v>100</v>
      </c>
      <c r="V38" s="1352" t="s">
        <v>100</v>
      </c>
      <c r="W38" s="1353">
        <f t="shared" si="14"/>
        <v>100</v>
      </c>
      <c r="X38" s="1340"/>
      <c r="Y38" s="3636" t="s">
        <v>66</v>
      </c>
      <c r="Z38" s="1354" t="str">
        <f t="shared" si="18"/>
        <v>物业管理</v>
      </c>
      <c r="AA38" s="1355">
        <f t="shared" si="15"/>
        <v>1</v>
      </c>
      <c r="AB38" s="1355">
        <f t="shared" si="16"/>
        <v>1</v>
      </c>
      <c r="AC38" s="1355">
        <f t="shared" si="17"/>
        <v>1</v>
      </c>
    </row>
    <row r="39" spans="1:29" ht="15">
      <c r="A39" s="161"/>
      <c r="B39" s="12" t="s">
        <v>2642</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298"/>
      <c r="M39" s="2293"/>
      <c r="N39" s="2293"/>
      <c r="O39" s="2293"/>
      <c r="P39" s="3634"/>
      <c r="Q39" s="1351" t="str">
        <f t="shared" si="11"/>
        <v>市政基础设施</v>
      </c>
      <c r="R39" s="1352" t="s">
        <v>100</v>
      </c>
      <c r="S39" s="1353">
        <f t="shared" si="12"/>
        <v>100</v>
      </c>
      <c r="T39" s="1352" t="s">
        <v>100</v>
      </c>
      <c r="U39" s="1353">
        <f t="shared" si="13"/>
        <v>100</v>
      </c>
      <c r="V39" s="1352" t="s">
        <v>100</v>
      </c>
      <c r="W39" s="1353">
        <f t="shared" si="14"/>
        <v>100</v>
      </c>
      <c r="X39" s="1340"/>
      <c r="Y39" s="3636"/>
      <c r="Z39" s="1354" t="str">
        <f t="shared" si="18"/>
        <v>市政基础设施</v>
      </c>
      <c r="AA39" s="1355">
        <f t="shared" si="15"/>
        <v>1</v>
      </c>
      <c r="AB39" s="1355">
        <f t="shared" si="16"/>
        <v>1</v>
      </c>
      <c r="AC39" s="1355">
        <f t="shared" si="17"/>
        <v>1</v>
      </c>
    </row>
    <row r="40" spans="1:29" ht="15">
      <c r="A40" s="161"/>
      <c r="B40" s="12" t="s">
        <v>78</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8"/>
      <c r="M40" s="2293"/>
      <c r="N40" s="2293"/>
      <c r="O40" s="2293"/>
      <c r="P40" s="3634"/>
      <c r="Q40" s="1351" t="str">
        <f t="shared" si="11"/>
        <v>房型</v>
      </c>
      <c r="R40" s="1352" t="s">
        <v>100</v>
      </c>
      <c r="S40" s="1353">
        <f t="shared" si="12"/>
        <v>100</v>
      </c>
      <c r="T40" s="1352" t="s">
        <v>100</v>
      </c>
      <c r="U40" s="1353">
        <f t="shared" si="13"/>
        <v>100</v>
      </c>
      <c r="V40" s="1352" t="s">
        <v>100</v>
      </c>
      <c r="W40" s="1353">
        <f t="shared" si="14"/>
        <v>100</v>
      </c>
      <c r="X40" s="1340"/>
      <c r="Y40" s="3636"/>
      <c r="Z40" s="1354" t="str">
        <f t="shared" si="18"/>
        <v>房型</v>
      </c>
      <c r="AA40" s="1355">
        <f t="shared" si="15"/>
        <v>1</v>
      </c>
      <c r="AB40" s="1355">
        <f t="shared" si="16"/>
        <v>1</v>
      </c>
      <c r="AC40" s="1355">
        <f t="shared" si="17"/>
        <v>1</v>
      </c>
    </row>
    <row r="41" spans="1:29" s="1039" customFormat="1" ht="27">
      <c r="A41" s="1043"/>
      <c r="B41" s="12" t="s">
        <v>101</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7"/>
      <c r="M41" s="2299"/>
      <c r="N41" s="2299"/>
      <c r="O41" s="2299"/>
      <c r="P41" s="3634"/>
      <c r="Q41" s="1359" t="str">
        <f t="shared" si="11"/>
        <v>单套/主力户型建筑面积</v>
      </c>
      <c r="R41" s="1360" t="s">
        <v>100</v>
      </c>
      <c r="S41" s="1361">
        <f t="shared" si="12"/>
        <v>100</v>
      </c>
      <c r="T41" s="1360" t="s">
        <v>100</v>
      </c>
      <c r="U41" s="1361">
        <f t="shared" si="13"/>
        <v>100</v>
      </c>
      <c r="V41" s="1360" t="s">
        <v>100</v>
      </c>
      <c r="W41" s="1361">
        <f t="shared" si="14"/>
        <v>100</v>
      </c>
      <c r="X41" s="1362"/>
      <c r="Y41" s="3636"/>
      <c r="Z41" s="1363" t="str">
        <f t="shared" si="18"/>
        <v>单套/主力户型建筑面积</v>
      </c>
      <c r="AA41" s="1355">
        <f t="shared" si="15"/>
        <v>1</v>
      </c>
      <c r="AB41" s="1355">
        <f t="shared" si="16"/>
        <v>1</v>
      </c>
      <c r="AC41" s="1355">
        <f t="shared" si="17"/>
        <v>1</v>
      </c>
    </row>
    <row r="42" spans="1:29" ht="15">
      <c r="A42" s="161"/>
      <c r="B42" s="12" t="s">
        <v>79</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298"/>
      <c r="M42" s="2293"/>
      <c r="N42" s="2293"/>
      <c r="O42" s="2293"/>
      <c r="P42" s="3634"/>
      <c r="Q42" s="1351" t="str">
        <f t="shared" si="11"/>
        <v>内部装修</v>
      </c>
      <c r="R42" s="1352" t="s">
        <v>100</v>
      </c>
      <c r="S42" s="1353">
        <f t="shared" si="12"/>
        <v>100</v>
      </c>
      <c r="T42" s="1352" t="s">
        <v>100</v>
      </c>
      <c r="U42" s="1353">
        <f t="shared" si="13"/>
        <v>100</v>
      </c>
      <c r="V42" s="1352" t="s">
        <v>100</v>
      </c>
      <c r="W42" s="1353">
        <f t="shared" si="14"/>
        <v>100</v>
      </c>
      <c r="X42" s="1340"/>
      <c r="Y42" s="3636"/>
      <c r="Z42" s="1354" t="str">
        <f t="shared" si="18"/>
        <v>内部装修</v>
      </c>
      <c r="AA42" s="1355">
        <f t="shared" si="15"/>
        <v>1</v>
      </c>
      <c r="AB42" s="1355">
        <f t="shared" si="16"/>
        <v>1</v>
      </c>
      <c r="AC42" s="1355">
        <f t="shared" si="17"/>
        <v>1</v>
      </c>
    </row>
    <row r="43" spans="1:29" ht="27">
      <c r="A43" s="161"/>
      <c r="B43" s="12" t="s">
        <v>80</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298"/>
      <c r="M43" s="2293"/>
      <c r="N43" s="2293"/>
      <c r="O43" s="2293"/>
      <c r="P43" s="3634"/>
      <c r="Q43" s="1351" t="str">
        <f t="shared" si="11"/>
        <v>内部装修维护情况</v>
      </c>
      <c r="R43" s="1352" t="s">
        <v>100</v>
      </c>
      <c r="S43" s="1353">
        <f t="shared" si="12"/>
        <v>100</v>
      </c>
      <c r="T43" s="1352" t="s">
        <v>100</v>
      </c>
      <c r="U43" s="1353">
        <f t="shared" si="13"/>
        <v>100</v>
      </c>
      <c r="V43" s="1352" t="s">
        <v>100</v>
      </c>
      <c r="W43" s="1353">
        <f t="shared" si="14"/>
        <v>100</v>
      </c>
      <c r="X43" s="1340"/>
      <c r="Y43" s="3636"/>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4"/>
      <c r="M44" s="2256"/>
      <c r="N44" s="2256"/>
      <c r="O44" s="2256"/>
      <c r="P44" s="3634"/>
      <c r="Q44" s="7">
        <f t="shared" si="11"/>
        <v>111</v>
      </c>
      <c r="R44" s="1342" t="s">
        <v>100</v>
      </c>
      <c r="S44" s="1343">
        <f t="shared" si="12"/>
        <v>100</v>
      </c>
      <c r="T44" s="1342" t="s">
        <v>100</v>
      </c>
      <c r="U44" s="1343">
        <f t="shared" si="13"/>
        <v>100</v>
      </c>
      <c r="V44" s="1342" t="s">
        <v>100</v>
      </c>
      <c r="W44" s="1343">
        <f t="shared" si="14"/>
        <v>100</v>
      </c>
      <c r="X44" s="287"/>
      <c r="Y44" s="3636"/>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8"/>
      <c r="M45" s="2293"/>
      <c r="N45" s="2293"/>
      <c r="O45" s="2293"/>
      <c r="P45" s="3634"/>
      <c r="Q45" s="1351">
        <f t="shared" si="11"/>
        <v>111</v>
      </c>
      <c r="R45" s="1352" t="s">
        <v>100</v>
      </c>
      <c r="S45" s="1353">
        <f t="shared" si="12"/>
        <v>100</v>
      </c>
      <c r="T45" s="1352" t="s">
        <v>100</v>
      </c>
      <c r="U45" s="1353">
        <f t="shared" si="13"/>
        <v>100</v>
      </c>
      <c r="V45" s="1352" t="s">
        <v>100</v>
      </c>
      <c r="W45" s="1353">
        <f t="shared" si="14"/>
        <v>100</v>
      </c>
      <c r="X45" s="1340"/>
      <c r="Y45" s="3636"/>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8"/>
      <c r="M46" s="2293"/>
      <c r="N46" s="2293"/>
      <c r="O46" s="2293"/>
      <c r="P46" s="3635"/>
      <c r="Q46" s="1351">
        <f t="shared" si="11"/>
        <v>111</v>
      </c>
      <c r="R46" s="1352" t="s">
        <v>99</v>
      </c>
      <c r="S46" s="1353">
        <f t="shared" si="12"/>
        <v>100</v>
      </c>
      <c r="T46" s="1352" t="s">
        <v>99</v>
      </c>
      <c r="U46" s="1353">
        <f t="shared" si="13"/>
        <v>100</v>
      </c>
      <c r="V46" s="1352" t="s">
        <v>99</v>
      </c>
      <c r="W46" s="1353">
        <f t="shared" si="14"/>
        <v>100</v>
      </c>
      <c r="X46" s="1340"/>
      <c r="Y46" s="3637"/>
      <c r="Z46" s="1354">
        <f t="shared" si="18"/>
        <v>111</v>
      </c>
      <c r="AA46" s="1355">
        <f t="shared" si="15"/>
        <v>1</v>
      </c>
      <c r="AB46" s="1355">
        <f t="shared" si="16"/>
        <v>1</v>
      </c>
      <c r="AC46" s="1355">
        <f t="shared" si="17"/>
        <v>1</v>
      </c>
    </row>
    <row r="47" spans="1:29" ht="15">
      <c r="A47" s="163" t="s">
        <v>98</v>
      </c>
      <c r="B47" s="164"/>
      <c r="C47" s="2833" t="s">
        <v>97</v>
      </c>
      <c r="D47" s="2834"/>
      <c r="E47" s="2835"/>
      <c r="F47" s="2836"/>
      <c r="G47" s="2837"/>
      <c r="H47" s="2838"/>
      <c r="I47" s="2835"/>
      <c r="J47" s="2838"/>
      <c r="K47" s="1364"/>
      <c r="L47" s="2300"/>
      <c r="M47" s="2301"/>
      <c r="N47" s="2293"/>
      <c r="O47" s="2301"/>
      <c r="P47" s="3629" t="str">
        <f>A47</f>
        <v>成交单价（元/平方米）</v>
      </c>
      <c r="Q47" s="3629"/>
      <c r="R47" s="3630">
        <f>E47</f>
        <v>0</v>
      </c>
      <c r="S47" s="3630"/>
      <c r="T47" s="3630">
        <f>G47</f>
        <v>0</v>
      </c>
      <c r="U47" s="3630"/>
      <c r="V47" s="3630">
        <f>I47</f>
        <v>0</v>
      </c>
      <c r="W47" s="3630"/>
      <c r="X47" s="1365"/>
      <c r="Y47" s="1366"/>
      <c r="Z47" s="1365"/>
      <c r="AA47" s="1365"/>
      <c r="AB47" s="1365"/>
      <c r="AC47" s="1365"/>
    </row>
    <row r="48" spans="1:29" ht="15.75" thickBot="1">
      <c r="A48" s="165" t="s">
        <v>96</v>
      </c>
      <c r="B48" s="166"/>
      <c r="C48" s="2839" t="e">
        <f>R49</f>
        <v>#DIV/0!</v>
      </c>
      <c r="D48" s="2840"/>
      <c r="E48" s="2841" t="e">
        <f>R48</f>
        <v>#DIV/0!</v>
      </c>
      <c r="F48" s="2841"/>
      <c r="G48" s="2839" t="e">
        <f>T48</f>
        <v>#DIV/0!</v>
      </c>
      <c r="H48" s="2840"/>
      <c r="I48" s="2841" t="e">
        <f>V48</f>
        <v>#DIV/0!</v>
      </c>
      <c r="J48" s="2840"/>
      <c r="K48" s="1367"/>
      <c r="L48" s="2300"/>
      <c r="M48" s="2301"/>
      <c r="N48" s="2301"/>
      <c r="O48" s="2301"/>
      <c r="P48" s="3629" t="str">
        <f>A48</f>
        <v>比较价值（元/平方米）</v>
      </c>
      <c r="Q48" s="3629"/>
      <c r="R48" s="3630" t="e">
        <f>IF(F1="售价",ROUND(PRODUCT(R47,AA7:AA46),0),ROUND(PRODUCT(R47,AA7:AA46),1))</f>
        <v>#DIV/0!</v>
      </c>
      <c r="S48" s="3630"/>
      <c r="T48" s="3630" t="e">
        <f>IF(F1="售价",ROUND(PRODUCT(T47,AB7:AB46),0),ROUND(PRODUCT(T47,AB7:AB46),1))</f>
        <v>#DIV/0!</v>
      </c>
      <c r="U48" s="3630"/>
      <c r="V48" s="3630" t="e">
        <f>IF(F1="售价",ROUND(PRODUCT(V47,AC7:AC46),0),ROUND(PRODUCT(V47,AC7:AC46),1))</f>
        <v>#DIV/0!</v>
      </c>
      <c r="W48" s="3630"/>
      <c r="X48" s="1365"/>
      <c r="Y48" s="1365"/>
      <c r="Z48" s="1365"/>
      <c r="AA48" s="1365"/>
      <c r="AB48" s="1365"/>
      <c r="AC48" s="1365"/>
    </row>
    <row r="49" spans="1:29" ht="15.75" thickBot="1">
      <c r="A49" s="115" t="s">
        <v>3016</v>
      </c>
      <c r="B49" s="116"/>
      <c r="C49" s="2842" t="e">
        <f>R49</f>
        <v>#DIV/0!</v>
      </c>
      <c r="D49" s="2843"/>
      <c r="E49" s="2843"/>
      <c r="F49" s="2843"/>
      <c r="G49" s="2843"/>
      <c r="H49" s="2843"/>
      <c r="I49" s="2843"/>
      <c r="J49" s="2843"/>
      <c r="K49" s="1368"/>
      <c r="L49" s="2300"/>
      <c r="M49" s="2301"/>
      <c r="N49" s="2301"/>
      <c r="O49" s="2301"/>
      <c r="P49" s="3626" t="str">
        <f>A49</f>
        <v>估价对象XX用房的比较价值（楼面单价，元/平方米）</v>
      </c>
      <c r="Q49" s="3627"/>
      <c r="R49" s="3628" t="e">
        <f>IF(F1="售价",ROUND(AVERAGE(R48:V48),0),ROUND(AVERAGE(R48:V48),1))</f>
        <v>#DIV/0!</v>
      </c>
      <c r="S49" s="3628"/>
      <c r="T49" s="3628"/>
      <c r="U49" s="3628"/>
      <c r="V49" s="3628"/>
      <c r="W49" s="3628"/>
      <c r="X49" s="1365"/>
      <c r="Y49" s="1365"/>
      <c r="Z49" s="1365"/>
      <c r="AA49" s="1365"/>
      <c r="AB49" s="1365"/>
      <c r="AC49" s="1365"/>
    </row>
    <row r="50" spans="1:29">
      <c r="A50" s="2301"/>
      <c r="B50" s="2301"/>
      <c r="C50" s="2301"/>
      <c r="D50" s="2301"/>
      <c r="E50" s="2301"/>
      <c r="F50" s="2301"/>
      <c r="G50" s="2310"/>
      <c r="H50" s="2301"/>
      <c r="I50" s="2301"/>
      <c r="J50" s="2301"/>
      <c r="K50" s="2302"/>
      <c r="L50" s="2303"/>
      <c r="M50" s="2301"/>
      <c r="N50" s="2301"/>
      <c r="O50" s="2301"/>
    </row>
    <row r="51" spans="1:29">
      <c r="A51" s="2301"/>
      <c r="B51" s="2301"/>
      <c r="C51" s="2301"/>
      <c r="D51" s="2301"/>
      <c r="E51" s="2301"/>
      <c r="F51" s="2301"/>
      <c r="G51" s="2301"/>
      <c r="H51" s="2301"/>
      <c r="I51" s="2301"/>
      <c r="J51" s="2301"/>
      <c r="K51" s="2302"/>
      <c r="L51" s="2303"/>
      <c r="M51" s="2301"/>
      <c r="N51" s="2301"/>
      <c r="O51" s="2301"/>
    </row>
    <row r="52" spans="1:29" ht="13.5" customHeight="1">
      <c r="A52" s="2301"/>
      <c r="B52" s="2301"/>
      <c r="C52" s="840" t="s">
        <v>1002</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2"/>
      <c r="L52" s="2303"/>
      <c r="M52" s="2301"/>
      <c r="N52" s="2301"/>
      <c r="O52" s="2301"/>
    </row>
    <row r="53" spans="1:29" ht="13.5" customHeight="1">
      <c r="A53" s="2301"/>
      <c r="B53" s="2301"/>
      <c r="C53" s="840" t="s">
        <v>1003</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2"/>
      <c r="L53" s="2303"/>
      <c r="M53" s="2301"/>
      <c r="N53" s="2301"/>
      <c r="O53" s="2301"/>
    </row>
    <row r="54" spans="1:29" s="119" customFormat="1" ht="13.5" customHeight="1">
      <c r="A54" s="2306"/>
      <c r="B54" s="2306"/>
      <c r="C54" s="840" t="s">
        <v>1004</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4"/>
      <c r="L54" s="2305"/>
      <c r="M54" s="2306"/>
      <c r="N54" s="2306"/>
      <c r="O54" s="2306"/>
      <c r="P54" s="1371"/>
    </row>
    <row r="55" spans="1:29" s="119" customFormat="1">
      <c r="A55" s="2306"/>
      <c r="B55" s="2311"/>
      <c r="C55" s="2312"/>
      <c r="D55" s="2306"/>
      <c r="E55" s="2306"/>
      <c r="F55" s="2306"/>
      <c r="G55" s="2306"/>
      <c r="H55" s="2306"/>
      <c r="I55" s="2306"/>
      <c r="J55" s="2306"/>
      <c r="K55" s="2304"/>
      <c r="L55" s="2305"/>
      <c r="M55" s="2306"/>
      <c r="N55" s="2306"/>
      <c r="O55" s="2306"/>
      <c r="P55" s="1371"/>
    </row>
    <row r="56" spans="1:29">
      <c r="A56" s="2301"/>
      <c r="B56" s="2311"/>
      <c r="C56" s="2312"/>
      <c r="D56" s="2301"/>
      <c r="E56" s="2301"/>
      <c r="F56" s="2301"/>
      <c r="G56" s="2301"/>
      <c r="H56" s="2301"/>
      <c r="I56" s="2301"/>
      <c r="J56" s="2301"/>
      <c r="K56" s="2302"/>
      <c r="L56" s="2303"/>
      <c r="M56" s="2301"/>
      <c r="N56" s="2301"/>
      <c r="O56" s="2301"/>
    </row>
    <row r="57" spans="1:29" ht="21" thickBot="1">
      <c r="A57" s="1372" t="s">
        <v>123</v>
      </c>
      <c r="B57" s="1365"/>
      <c r="C57" s="1373"/>
      <c r="D57" s="1373"/>
      <c r="E57" s="1373"/>
      <c r="F57" s="1374"/>
      <c r="G57" s="1374"/>
      <c r="H57" s="1373"/>
      <c r="I57" s="1373"/>
      <c r="J57" s="1373"/>
      <c r="K57" s="2307"/>
      <c r="L57" s="2308"/>
      <c r="M57" s="2309"/>
      <c r="N57" s="2309"/>
      <c r="O57" s="2309"/>
      <c r="P57" s="1376"/>
      <c r="Q57" s="121"/>
    </row>
    <row r="58" spans="1:29" s="851" customFormat="1" ht="15">
      <c r="A58" s="848" t="s">
        <v>2795</v>
      </c>
      <c r="B58" s="849"/>
      <c r="C58" s="3044" t="str">
        <f>YEAR(C7)&amp;"-"&amp;MONTH(C7)</f>
        <v>2017-8</v>
      </c>
      <c r="D58" s="3043">
        <f>EDATE(C58,-1)</f>
        <v>42917</v>
      </c>
      <c r="E58" s="3043">
        <f>EDATE(D58,-1)</f>
        <v>42887</v>
      </c>
      <c r="F58" s="3043">
        <f t="shared" ref="F58:O58" si="19">EDATE(E58,-1)</f>
        <v>42856</v>
      </c>
      <c r="G58" s="3043">
        <f t="shared" si="19"/>
        <v>42826</v>
      </c>
      <c r="H58" s="3043">
        <f t="shared" si="19"/>
        <v>42795</v>
      </c>
      <c r="I58" s="3043">
        <f t="shared" si="19"/>
        <v>42767</v>
      </c>
      <c r="J58" s="3043">
        <f t="shared" si="19"/>
        <v>42736</v>
      </c>
      <c r="K58" s="3043">
        <f t="shared" si="19"/>
        <v>42705</v>
      </c>
      <c r="L58" s="3043">
        <f t="shared" si="19"/>
        <v>42675</v>
      </c>
      <c r="M58" s="3043">
        <f t="shared" si="19"/>
        <v>42644</v>
      </c>
      <c r="N58" s="3043">
        <f t="shared" si="19"/>
        <v>42614</v>
      </c>
      <c r="O58" s="3043">
        <f t="shared" si="19"/>
        <v>42583</v>
      </c>
      <c r="P58" s="3036"/>
    </row>
    <row r="59" spans="1:29" s="40" customFormat="1" ht="14.25">
      <c r="A59" s="1045"/>
      <c r="B59" s="3039"/>
      <c r="C59" s="3040">
        <v>100</v>
      </c>
      <c r="D59" s="854"/>
      <c r="E59" s="855"/>
      <c r="F59" s="855"/>
      <c r="G59" s="855"/>
      <c r="H59" s="855"/>
      <c r="I59" s="855"/>
      <c r="J59" s="855"/>
      <c r="K59" s="855"/>
      <c r="L59" s="855"/>
      <c r="M59" s="856"/>
      <c r="N59" s="855"/>
      <c r="O59" s="856"/>
      <c r="P59" s="1377"/>
    </row>
    <row r="60" spans="1:29" s="40" customFormat="1" ht="15" thickBot="1">
      <c r="A60" s="1047" t="s">
        <v>114</v>
      </c>
      <c r="B60" s="1048"/>
      <c r="C60" s="860"/>
      <c r="D60" s="861"/>
      <c r="E60" s="861"/>
      <c r="F60" s="861"/>
      <c r="G60" s="861"/>
      <c r="H60" s="861"/>
      <c r="I60" s="861"/>
      <c r="J60" s="861"/>
      <c r="K60" s="861"/>
      <c r="L60" s="861"/>
      <c r="M60" s="862"/>
      <c r="N60" s="861"/>
      <c r="O60" s="862"/>
      <c r="P60" s="1377"/>
      <c r="Q60" s="121"/>
    </row>
    <row r="61" spans="1:29" s="40" customFormat="1">
      <c r="A61" s="1049" t="s">
        <v>62</v>
      </c>
      <c r="B61" s="1046"/>
      <c r="C61" s="1050" t="s">
        <v>112</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63</v>
      </c>
      <c r="B63" s="286" t="s">
        <v>64</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102</v>
      </c>
      <c r="C65" s="882" t="s">
        <v>1005</v>
      </c>
      <c r="D65" s="882" t="s">
        <v>1006</v>
      </c>
      <c r="E65" s="882" t="s">
        <v>1007</v>
      </c>
      <c r="F65" s="882" t="s">
        <v>1008</v>
      </c>
      <c r="G65" s="882" t="s">
        <v>1009</v>
      </c>
      <c r="H65" s="882" t="s">
        <v>1010</v>
      </c>
      <c r="I65" s="882" t="s">
        <v>1011</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89</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65</v>
      </c>
      <c r="B76" s="286" t="s">
        <v>106</v>
      </c>
      <c r="C76" s="916" t="s">
        <v>1012</v>
      </c>
      <c r="D76" s="916" t="s">
        <v>1013</v>
      </c>
      <c r="E76" s="916" t="s">
        <v>1014</v>
      </c>
      <c r="F76" s="916" t="s">
        <v>1015</v>
      </c>
      <c r="G76" s="916" t="s">
        <v>1016</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88</v>
      </c>
      <c r="C78" s="921" t="s">
        <v>1012</v>
      </c>
      <c r="D78" s="921" t="s">
        <v>1013</v>
      </c>
      <c r="E78" s="921" t="s">
        <v>1014</v>
      </c>
      <c r="F78" s="921" t="s">
        <v>1015</v>
      </c>
      <c r="G78" s="921" t="s">
        <v>1016</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2634</v>
      </c>
      <c r="C80" s="921" t="s">
        <v>1012</v>
      </c>
      <c r="D80" s="921" t="s">
        <v>1013</v>
      </c>
      <c r="E80" s="921" t="s">
        <v>423</v>
      </c>
      <c r="F80" s="921" t="s">
        <v>424</v>
      </c>
      <c r="G80" s="921" t="s">
        <v>425</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2644</v>
      </c>
      <c r="C82" s="177" t="s">
        <v>2645</v>
      </c>
      <c r="D82" s="177" t="s">
        <v>2649</v>
      </c>
      <c r="E82" s="177" t="s">
        <v>2646</v>
      </c>
      <c r="F82" s="177" t="s">
        <v>2647</v>
      </c>
      <c r="G82" s="177" t="s">
        <v>2648</v>
      </c>
      <c r="H82" s="882"/>
      <c r="I82" s="882"/>
      <c r="J82" s="882"/>
      <c r="K82" s="882"/>
      <c r="L82" s="882"/>
      <c r="M82" s="2762"/>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94</v>
      </c>
      <c r="C84" s="921" t="s">
        <v>421</v>
      </c>
      <c r="D84" s="921" t="s">
        <v>422</v>
      </c>
      <c r="E84" s="921" t="s">
        <v>423</v>
      </c>
      <c r="F84" s="921" t="s">
        <v>424</v>
      </c>
      <c r="G84" s="921" t="s">
        <v>425</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2292</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93</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66</v>
      </c>
      <c r="B100" s="286" t="s">
        <v>119</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92</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91</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107</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120</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108</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121</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2636</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109</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101</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122</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90</v>
      </c>
      <c r="C124" s="921" t="s">
        <v>421</v>
      </c>
      <c r="D124" s="921" t="s">
        <v>422</v>
      </c>
      <c r="E124" s="921" t="s">
        <v>423</v>
      </c>
      <c r="F124" s="921" t="s">
        <v>424</v>
      </c>
      <c r="G124" s="921" t="s">
        <v>425</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38" t="s">
        <v>2293</v>
      </c>
    </row>
    <row r="137" spans="1:17" ht="14.25">
      <c r="B137" s="2139" t="s">
        <v>2294</v>
      </c>
      <c r="C137" s="2140"/>
      <c r="D137" s="2140"/>
      <c r="E137" s="2140"/>
      <c r="F137" s="2140"/>
      <c r="G137" s="2141"/>
      <c r="H137" s="2142"/>
      <c r="I137" s="2143" t="s">
        <v>2295</v>
      </c>
      <c r="J137" s="2140"/>
      <c r="K137" s="2144"/>
    </row>
    <row r="138" spans="1:17" ht="14.25">
      <c r="B138" s="2145"/>
      <c r="C138" s="1775" t="s">
        <v>2296</v>
      </c>
      <c r="D138" s="1775" t="s">
        <v>2297</v>
      </c>
      <c r="E138" s="2146" t="s">
        <v>2298</v>
      </c>
      <c r="F138" s="2147" t="s">
        <v>2299</v>
      </c>
      <c r="G138" s="1775" t="s">
        <v>2297</v>
      </c>
      <c r="H138" s="2148" t="s">
        <v>2298</v>
      </c>
      <c r="I138" s="2149"/>
      <c r="J138" s="1775" t="s">
        <v>2300</v>
      </c>
      <c r="K138" s="2148" t="s">
        <v>2301</v>
      </c>
    </row>
    <row r="139" spans="1:17" ht="15">
      <c r="B139" s="2150">
        <v>6</v>
      </c>
      <c r="C139" s="2151">
        <v>96</v>
      </c>
      <c r="D139" s="2152" t="s">
        <v>2302</v>
      </c>
      <c r="E139" s="2153">
        <v>100</v>
      </c>
      <c r="F139" s="2154">
        <v>102.5</v>
      </c>
      <c r="G139" s="2152" t="s">
        <v>2302</v>
      </c>
      <c r="H139" s="2155">
        <v>105</v>
      </c>
      <c r="I139" s="2156" t="s">
        <v>2303</v>
      </c>
      <c r="J139" s="2151">
        <v>20</v>
      </c>
      <c r="K139" s="2157">
        <f>C145/(J139-2)</f>
        <v>4.0555555555555553E-3</v>
      </c>
    </row>
    <row r="140" spans="1:17" ht="15">
      <c r="B140" s="2158">
        <v>5</v>
      </c>
      <c r="C140" s="2159">
        <v>100</v>
      </c>
      <c r="D140" s="2160"/>
      <c r="E140" s="2161"/>
      <c r="F140" s="2162">
        <v>102</v>
      </c>
      <c r="G140" s="2160"/>
      <c r="H140" s="2163"/>
      <c r="I140" s="2164" t="s">
        <v>2304</v>
      </c>
      <c r="J140" s="647">
        <f>ROUNDUP((J139-1)/2,0)</f>
        <v>10</v>
      </c>
      <c r="K140" s="2165">
        <v>100</v>
      </c>
    </row>
    <row r="141" spans="1:17" ht="15">
      <c r="B141" s="2158">
        <v>4</v>
      </c>
      <c r="C141" s="2159">
        <v>102</v>
      </c>
      <c r="D141" s="2160"/>
      <c r="E141" s="2161"/>
      <c r="F141" s="2162">
        <v>101.5</v>
      </c>
      <c r="G141" s="2160"/>
      <c r="H141" s="2163"/>
      <c r="I141" s="2164" t="s">
        <v>2305</v>
      </c>
      <c r="J141" s="647">
        <v>1</v>
      </c>
      <c r="K141" s="2166">
        <f>ROUND(100+(J141-J140)*K139*100,1)</f>
        <v>96.4</v>
      </c>
    </row>
    <row r="142" spans="1:17" ht="15">
      <c r="B142" s="2158">
        <v>3</v>
      </c>
      <c r="C142" s="2159">
        <v>103</v>
      </c>
      <c r="D142" s="2160"/>
      <c r="E142" s="2161"/>
      <c r="F142" s="2162">
        <v>101</v>
      </c>
      <c r="G142" s="2160"/>
      <c r="H142" s="2163"/>
      <c r="I142" s="2164" t="s">
        <v>2306</v>
      </c>
      <c r="J142" s="647">
        <f>J139</f>
        <v>20</v>
      </c>
      <c r="K142" s="2167">
        <v>95</v>
      </c>
    </row>
    <row r="143" spans="1:17" ht="15">
      <c r="B143" s="2158">
        <v>2</v>
      </c>
      <c r="C143" s="2159">
        <v>100</v>
      </c>
      <c r="D143" s="2160"/>
      <c r="E143" s="2161"/>
      <c r="F143" s="2162">
        <v>100.5</v>
      </c>
      <c r="G143" s="2160"/>
      <c r="H143" s="2163"/>
      <c r="I143" s="2164" t="s">
        <v>2307</v>
      </c>
      <c r="J143" s="2159">
        <v>15</v>
      </c>
      <c r="K143" s="2166">
        <f>ROUND(100+(J143-J140)*K139*100,1)</f>
        <v>102</v>
      </c>
    </row>
    <row r="144" spans="1:17" ht="15">
      <c r="B144" s="2158">
        <v>1</v>
      </c>
      <c r="C144" s="2159">
        <v>98</v>
      </c>
      <c r="D144" s="1160" t="s">
        <v>2308</v>
      </c>
      <c r="E144" s="2161">
        <v>102</v>
      </c>
      <c r="F144" s="2168">
        <v>100</v>
      </c>
      <c r="G144" s="1160" t="s">
        <v>2308</v>
      </c>
      <c r="H144" s="2163">
        <v>105</v>
      </c>
      <c r="I144" s="2164" t="s">
        <v>2307</v>
      </c>
      <c r="J144" s="2159">
        <v>18</v>
      </c>
      <c r="K144" s="2166">
        <f>ROUND(100+(J144-J140)*K139*100,1)</f>
        <v>103.2</v>
      </c>
    </row>
    <row r="145" spans="2:11" ht="15.75" thickBot="1">
      <c r="B145" s="2169" t="s">
        <v>2309</v>
      </c>
      <c r="C145" s="2170">
        <f>ROUND(MAX(C139:C144)/MIN(C139:C144)-1,3)</f>
        <v>7.2999999999999995E-2</v>
      </c>
      <c r="D145" s="2171"/>
      <c r="E145" s="2172"/>
      <c r="F145" s="2173" t="s">
        <v>2310</v>
      </c>
      <c r="G145" s="2174"/>
      <c r="H145" s="2175"/>
      <c r="I145" s="2176" t="s">
        <v>2311</v>
      </c>
      <c r="J145" s="2177">
        <v>8</v>
      </c>
      <c r="K145" s="2178">
        <f>ROUND(100+(J145-J140)*K139*100,1)</f>
        <v>99.2</v>
      </c>
    </row>
    <row r="147" spans="2:11">
      <c r="B147" s="2138" t="s">
        <v>2319</v>
      </c>
    </row>
    <row r="148" spans="2:11">
      <c r="B148" s="2138" t="s">
        <v>2320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2 H52 J52">
    <cfRule type="containsText" dxfId="154" priority="15" stopIfTrue="1" operator="containsText" text="超过">
      <formula>NOT(ISERROR(SEARCH("超过",F52)))</formula>
    </cfRule>
  </conditionalFormatting>
  <conditionalFormatting sqref="J54">
    <cfRule type="containsText" dxfId="153" priority="14" stopIfTrue="1" operator="containsText" text="超过">
      <formula>NOT(ISERROR(SEARCH("超过",J54)))</formula>
    </cfRule>
  </conditionalFormatting>
  <conditionalFormatting sqref="H54">
    <cfRule type="containsText" dxfId="152" priority="13" stopIfTrue="1" operator="containsText" text="超过">
      <formula>NOT(ISERROR(SEARCH("超过",H54)))</formula>
    </cfRule>
  </conditionalFormatting>
  <conditionalFormatting sqref="F54">
    <cfRule type="containsText" dxfId="151" priority="12" stopIfTrue="1" operator="containsText" text="超过">
      <formula>NOT(ISERROR(SEARCH("超过",F54)))</formula>
    </cfRule>
  </conditionalFormatting>
  <conditionalFormatting sqref="F53 H53 J53">
    <cfRule type="containsText" dxfId="150" priority="11" stopIfTrue="1" operator="containsText" text="超过">
      <formula>NOT(ISERROR(SEARCH("超过",F53)))</formula>
    </cfRule>
  </conditionalFormatting>
  <conditionalFormatting sqref="E52">
    <cfRule type="expression" dxfId="149" priority="10" stopIfTrue="1">
      <formula>$F$52="超过30%"</formula>
    </cfRule>
  </conditionalFormatting>
  <conditionalFormatting sqref="G54">
    <cfRule type="expression" dxfId="148" priority="8" stopIfTrue="1">
      <formula>$H$54="超过30%"</formula>
    </cfRule>
  </conditionalFormatting>
  <conditionalFormatting sqref="E53">
    <cfRule type="expression" dxfId="147" priority="7" stopIfTrue="1">
      <formula>$F$53="超过20%"</formula>
    </cfRule>
  </conditionalFormatting>
  <conditionalFormatting sqref="E54">
    <cfRule type="expression" dxfId="146" priority="6" stopIfTrue="1">
      <formula>$F$54="超过30%"</formula>
    </cfRule>
  </conditionalFormatting>
  <conditionalFormatting sqref="G52">
    <cfRule type="expression" dxfId="145" priority="5" stopIfTrue="1">
      <formula>$H$52="超过30%"</formula>
    </cfRule>
  </conditionalFormatting>
  <conditionalFormatting sqref="G53">
    <cfRule type="expression" dxfId="144" priority="4" stopIfTrue="1">
      <formula>$H$53="超过20%"</formula>
    </cfRule>
  </conditionalFormatting>
  <conditionalFormatting sqref="I52">
    <cfRule type="expression" dxfId="143" priority="3" stopIfTrue="1">
      <formula>$J$52="超过30%"</formula>
    </cfRule>
  </conditionalFormatting>
  <conditionalFormatting sqref="I53">
    <cfRule type="expression" dxfId="142" priority="2" stopIfTrue="1">
      <formula>$J$53="超过20%"</formula>
    </cfRule>
  </conditionalFormatting>
  <conditionalFormatting sqref="I54">
    <cfRule type="expression" dxfId="14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 zoomScale="90" zoomScaleNormal="90" workbookViewId="0">
      <selection activeCell="E33" sqref="E3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104</v>
      </c>
      <c r="B1" s="3102" t="s">
        <v>1</v>
      </c>
      <c r="C1" s="3103" t="s">
        <v>124</v>
      </c>
      <c r="D1" s="3104" t="s">
        <v>3448</v>
      </c>
      <c r="E1" s="3107"/>
      <c r="F1" s="3106" t="s">
        <v>2694</v>
      </c>
      <c r="G1" s="3108" t="s">
        <v>125</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169</v>
      </c>
      <c r="B2" s="2844">
        <f>IF(C2="——",ROUND(C49*D3/10000,0),ROUND(C49*D3/10000,0)-D2)</f>
        <v>22313</v>
      </c>
      <c r="C2" s="3098" t="s">
        <v>526</v>
      </c>
      <c r="D2" s="2721" t="e">
        <f ca="1">SUMIF(INDIRECT("'"&amp;F2&amp;"'"&amp;"!A:A"),"承租人权益价值",INDIRECT("'"&amp;F2&amp;"'"&amp;"!c:c"))</f>
        <v>#REF!</v>
      </c>
      <c r="E2" s="3099" t="s">
        <v>864</v>
      </c>
      <c r="F2" s="3100"/>
      <c r="G2" s="2315"/>
      <c r="H2" s="2315"/>
      <c r="I2" s="2315"/>
      <c r="J2" s="2315"/>
      <c r="K2" s="2315"/>
      <c r="L2" s="2316"/>
      <c r="M2" s="2317"/>
      <c r="N2" s="2317"/>
      <c r="O2" s="2317"/>
      <c r="P2" s="2319"/>
      <c r="Q2" s="2317"/>
      <c r="R2" s="2317"/>
      <c r="S2" s="2317"/>
      <c r="T2" s="2317"/>
      <c r="U2" s="2317"/>
      <c r="V2" s="2317"/>
      <c r="W2" s="2317"/>
      <c r="X2" s="2317"/>
      <c r="Y2" s="2317"/>
      <c r="Z2" s="2317"/>
      <c r="AA2" s="2317"/>
      <c r="AB2" s="2317"/>
      <c r="AC2" s="2320"/>
    </row>
    <row r="3" spans="1:29" s="90" customFormat="1" ht="28.5" customHeight="1" thickBot="1">
      <c r="A3" s="87" t="s">
        <v>170</v>
      </c>
      <c r="B3" s="952">
        <f>IF(C2="——",C49,ROUND(B2*10000/D3,0))</f>
        <v>50851</v>
      </c>
      <c r="C3" s="142" t="s">
        <v>164</v>
      </c>
      <c r="D3" s="742">
        <f>IF(D1="",'数据-汇总表'!E3,SUMIF('数据-汇总表'!$C19:$C33,D1,'数据-汇总表'!$E19:$E33))</f>
        <v>4387.92</v>
      </c>
      <c r="E3" s="2313"/>
      <c r="F3" s="2314"/>
      <c r="G3" s="2315"/>
      <c r="H3" s="2315"/>
      <c r="I3" s="2315"/>
      <c r="J3" s="2315"/>
      <c r="K3" s="2318"/>
      <c r="L3" s="2316"/>
      <c r="M3" s="2317"/>
      <c r="N3" s="2317"/>
      <c r="O3" s="2317"/>
      <c r="P3" s="2319"/>
      <c r="Q3" s="2317"/>
      <c r="R3" s="2317"/>
      <c r="S3" s="2317"/>
      <c r="T3" s="2317"/>
      <c r="U3" s="2317"/>
      <c r="V3" s="2317"/>
      <c r="W3" s="2317"/>
      <c r="X3" s="2317"/>
      <c r="Y3" s="2317"/>
      <c r="Z3" s="2317"/>
      <c r="AA3" s="2317"/>
      <c r="AB3" s="2317"/>
      <c r="AC3" s="2313"/>
    </row>
    <row r="4" spans="1:29">
      <c r="A4" s="143" t="s">
        <v>53</v>
      </c>
      <c r="B4" s="144"/>
      <c r="C4" s="3612" t="s">
        <v>54</v>
      </c>
      <c r="D4" s="3613"/>
      <c r="E4" s="3614" t="s">
        <v>55</v>
      </c>
      <c r="F4" s="3615"/>
      <c r="G4" s="3612" t="s">
        <v>56</v>
      </c>
      <c r="H4" s="3613"/>
      <c r="I4" s="3612" t="s">
        <v>57</v>
      </c>
      <c r="J4" s="3613"/>
      <c r="K4" s="187" t="s">
        <v>58</v>
      </c>
      <c r="L4" s="2292"/>
      <c r="M4" s="2293"/>
      <c r="N4" s="2293"/>
      <c r="O4" s="2293"/>
      <c r="P4" s="3616" t="s">
        <v>53</v>
      </c>
      <c r="Q4" s="3617"/>
      <c r="R4" s="3599" t="s">
        <v>55</v>
      </c>
      <c r="S4" s="3600"/>
      <c r="T4" s="3599" t="s">
        <v>56</v>
      </c>
      <c r="U4" s="3600"/>
      <c r="V4" s="3624" t="s">
        <v>57</v>
      </c>
      <c r="W4" s="3624"/>
      <c r="X4" s="1340"/>
      <c r="Y4" s="3599" t="s">
        <v>53</v>
      </c>
      <c r="Z4" s="3600"/>
      <c r="AA4" s="3594" t="s">
        <v>55</v>
      </c>
      <c r="AB4" s="3624" t="s">
        <v>56</v>
      </c>
      <c r="AC4" s="3594" t="s">
        <v>57</v>
      </c>
    </row>
    <row r="5" spans="1:29">
      <c r="A5" s="146"/>
      <c r="B5" s="147"/>
      <c r="C5" s="3605" t="s">
        <v>3456</v>
      </c>
      <c r="D5" s="3606"/>
      <c r="E5" s="3603" t="s">
        <v>3535</v>
      </c>
      <c r="F5" s="3604"/>
      <c r="G5" s="3605" t="s">
        <v>3494</v>
      </c>
      <c r="H5" s="3606"/>
      <c r="I5" s="3605" t="s">
        <v>3540</v>
      </c>
      <c r="J5" s="3606"/>
      <c r="K5" s="187"/>
      <c r="L5" s="2292"/>
      <c r="M5" s="2293"/>
      <c r="N5" s="2293"/>
      <c r="O5" s="2293"/>
      <c r="P5" s="3618"/>
      <c r="Q5" s="3619"/>
      <c r="R5" s="3601"/>
      <c r="S5" s="3602"/>
      <c r="T5" s="3601"/>
      <c r="U5" s="3602"/>
      <c r="V5" s="3624"/>
      <c r="W5" s="3624"/>
      <c r="X5" s="1340"/>
      <c r="Y5" s="3601"/>
      <c r="Z5" s="3602"/>
      <c r="AA5" s="3595"/>
      <c r="AB5" s="3624"/>
      <c r="AC5" s="3595"/>
    </row>
    <row r="6" spans="1:29" ht="14.25" thickBot="1">
      <c r="A6" s="148"/>
      <c r="B6" s="149"/>
      <c r="C6" s="3607" t="str">
        <f>'比较法-办公'!C6:D6</f>
        <v>丰台区汽车博物馆西路8号院</v>
      </c>
      <c r="D6" s="3608"/>
      <c r="E6" s="3609" t="s">
        <v>3537</v>
      </c>
      <c r="F6" s="3610"/>
      <c r="G6" s="3607" t="s">
        <v>3539</v>
      </c>
      <c r="H6" s="3608"/>
      <c r="I6" s="3607" t="s">
        <v>3541</v>
      </c>
      <c r="J6" s="3608"/>
      <c r="K6" s="187" t="s">
        <v>113</v>
      </c>
      <c r="L6" s="2292"/>
      <c r="M6" s="2293"/>
      <c r="N6" s="2293"/>
      <c r="O6" s="2293"/>
      <c r="P6" s="3620"/>
      <c r="Q6" s="3621"/>
      <c r="R6" s="3601"/>
      <c r="S6" s="3602"/>
      <c r="T6" s="3622"/>
      <c r="U6" s="3623"/>
      <c r="V6" s="3624"/>
      <c r="W6" s="3624"/>
      <c r="X6" s="1340"/>
      <c r="Y6" s="3622"/>
      <c r="Z6" s="3623"/>
      <c r="AA6" s="3596"/>
      <c r="AB6" s="3624"/>
      <c r="AC6" s="3596"/>
    </row>
    <row r="7" spans="1:29" s="40" customFormat="1" ht="15" thickBot="1">
      <c r="A7" s="1014" t="s">
        <v>60</v>
      </c>
      <c r="B7" s="1015"/>
      <c r="C7" s="1016">
        <f>'数据-取费表'!B2</f>
        <v>42956</v>
      </c>
      <c r="D7" s="754">
        <v>100</v>
      </c>
      <c r="E7" s="1017">
        <v>42948</v>
      </c>
      <c r="F7" s="756">
        <f>SUMIF(58:58,YEAR(E7)&amp;"-"&amp;MONTH(E7),59:59)</f>
        <v>100</v>
      </c>
      <c r="G7" s="1017">
        <v>42948</v>
      </c>
      <c r="H7" s="754">
        <f>SUMIF(58:58,YEAR(G7)&amp;"-"&amp;MONTH(G7),59:59)</f>
        <v>100</v>
      </c>
      <c r="I7" s="1017">
        <v>42948</v>
      </c>
      <c r="J7" s="754">
        <f>SUMIF(58:58,YEAR(I7)&amp;"-"&amp;MONTH(I7),59:59)</f>
        <v>100</v>
      </c>
      <c r="K7" s="1019"/>
      <c r="L7" s="2294"/>
      <c r="M7" s="2256"/>
      <c r="N7" s="2256"/>
      <c r="O7" s="2256"/>
      <c r="P7" s="3597" t="s">
        <v>60</v>
      </c>
      <c r="Q7" s="3625"/>
      <c r="R7" s="1342" t="s">
        <v>61</v>
      </c>
      <c r="S7" s="1343">
        <f t="shared" ref="S7:S15" si="0">F7</f>
        <v>100</v>
      </c>
      <c r="T7" s="1342" t="s">
        <v>61</v>
      </c>
      <c r="U7" s="1343">
        <f t="shared" ref="U7:U15" si="1">H7</f>
        <v>100</v>
      </c>
      <c r="V7" s="1342" t="s">
        <v>61</v>
      </c>
      <c r="W7" s="1343">
        <f t="shared" ref="W7:W15" si="2">J7</f>
        <v>100</v>
      </c>
      <c r="X7" s="287"/>
      <c r="Y7" s="3597" t="s">
        <v>60</v>
      </c>
      <c r="Z7" s="3598"/>
      <c r="AA7" s="1344">
        <f>D7/F7</f>
        <v>1</v>
      </c>
      <c r="AB7" s="1344">
        <f>D7/H7</f>
        <v>1</v>
      </c>
      <c r="AC7" s="1344">
        <f>D7/J7</f>
        <v>1</v>
      </c>
    </row>
    <row r="8" spans="1:29" s="40" customFormat="1" ht="15" thickBot="1">
      <c r="A8" s="1014" t="s">
        <v>62</v>
      </c>
      <c r="B8" s="1015"/>
      <c r="C8" s="1020" t="s">
        <v>112</v>
      </c>
      <c r="D8" s="754">
        <v>100</v>
      </c>
      <c r="E8" s="1020" t="s">
        <v>151</v>
      </c>
      <c r="F8" s="756">
        <f>SUMIF(61:61,E8,62:62)-SUMIF(61:61,C8,62:62)+100</f>
        <v>100</v>
      </c>
      <c r="G8" s="1020" t="s">
        <v>151</v>
      </c>
      <c r="H8" s="754">
        <f>SUMIF(61:61,G8,62:62)-SUMIF(61:61,C8,62:62)+100</f>
        <v>100</v>
      </c>
      <c r="I8" s="1020" t="s">
        <v>151</v>
      </c>
      <c r="J8" s="754">
        <f>SUMIF(61:61,I8,62:62)-SUMIF(61:61,C8,62:62)+100</f>
        <v>100</v>
      </c>
      <c r="K8" s="1019"/>
      <c r="L8" s="2294"/>
      <c r="M8" s="2256"/>
      <c r="N8" s="2256"/>
      <c r="O8" s="2256"/>
      <c r="P8" s="3597" t="s">
        <v>1017</v>
      </c>
      <c r="Q8" s="3598"/>
      <c r="R8" s="1342" t="s">
        <v>61</v>
      </c>
      <c r="S8" s="1343">
        <f t="shared" si="0"/>
        <v>100</v>
      </c>
      <c r="T8" s="1342" t="s">
        <v>61</v>
      </c>
      <c r="U8" s="1343">
        <f t="shared" si="1"/>
        <v>100</v>
      </c>
      <c r="V8" s="1342" t="s">
        <v>61</v>
      </c>
      <c r="W8" s="1343">
        <f t="shared" si="2"/>
        <v>100</v>
      </c>
      <c r="X8" s="287"/>
      <c r="Y8" s="3597" t="s">
        <v>1017</v>
      </c>
      <c r="Z8" s="3598"/>
      <c r="AA8" s="1344">
        <f t="shared" ref="AA8:AA46" si="3">D8/F8</f>
        <v>1</v>
      </c>
      <c r="AB8" s="1344">
        <f t="shared" ref="AB8:AB46" si="4">D8/H8</f>
        <v>1</v>
      </c>
      <c r="AC8" s="1344">
        <f t="shared" ref="AC8:AC46" si="5">D8/J8</f>
        <v>1</v>
      </c>
    </row>
    <row r="9" spans="1:29" s="40" customFormat="1" ht="14.25">
      <c r="A9" s="1021" t="s">
        <v>1018</v>
      </c>
      <c r="B9" s="62" t="s">
        <v>1019</v>
      </c>
      <c r="C9" s="1346" t="s">
        <v>3499</v>
      </c>
      <c r="D9" s="425">
        <v>100</v>
      </c>
      <c r="E9" s="1347" t="s">
        <v>3044</v>
      </c>
      <c r="F9" s="761">
        <f>SUMIF(63:63,E9,64:64)-SUMIF(63:63,C9,64:64)+100</f>
        <v>100</v>
      </c>
      <c r="G9" s="1347" t="s">
        <v>3044</v>
      </c>
      <c r="H9" s="425">
        <f>SUMIF(63:63,G9,64:64)-SUMIF(63:63,C9,64:64)+100</f>
        <v>100</v>
      </c>
      <c r="I9" s="1347" t="s">
        <v>3044</v>
      </c>
      <c r="J9" s="425">
        <f>SUMIF(63:63,I9,64:64)-SUMIF(63:63,C9,64:64)+100</f>
        <v>100</v>
      </c>
      <c r="K9" s="1019"/>
      <c r="L9" s="2294"/>
      <c r="M9" s="2256"/>
      <c r="N9" s="2256"/>
      <c r="O9" s="2256"/>
      <c r="P9" s="3611" t="s">
        <v>63</v>
      </c>
      <c r="Q9" s="7" t="str">
        <f t="shared" ref="Q9:Q15" si="6">B9</f>
        <v>用途</v>
      </c>
      <c r="R9" s="1342" t="s">
        <v>61</v>
      </c>
      <c r="S9" s="1343">
        <f t="shared" si="0"/>
        <v>100</v>
      </c>
      <c r="T9" s="1342" t="s">
        <v>61</v>
      </c>
      <c r="U9" s="1343">
        <f t="shared" si="1"/>
        <v>100</v>
      </c>
      <c r="V9" s="1342" t="s">
        <v>61</v>
      </c>
      <c r="W9" s="1343">
        <f t="shared" si="2"/>
        <v>100</v>
      </c>
      <c r="X9" s="287"/>
      <c r="Y9" s="3435" t="s">
        <v>63</v>
      </c>
      <c r="Z9" s="288" t="str">
        <f t="shared" ref="Z9:Z15" si="7">Q9</f>
        <v>用途</v>
      </c>
      <c r="AA9" s="1344">
        <f t="shared" si="3"/>
        <v>1</v>
      </c>
      <c r="AB9" s="1344">
        <f t="shared" si="4"/>
        <v>1</v>
      </c>
      <c r="AC9" s="1344">
        <f t="shared" si="5"/>
        <v>1</v>
      </c>
    </row>
    <row r="10" spans="1:29" s="92" customFormat="1" ht="27">
      <c r="A10" s="150"/>
      <c r="B10" s="12" t="s">
        <v>102</v>
      </c>
      <c r="C10" s="1349" t="s">
        <v>3500</v>
      </c>
      <c r="D10" s="426">
        <v>100</v>
      </c>
      <c r="E10" s="1349" t="s">
        <v>3500</v>
      </c>
      <c r="F10" s="768">
        <f>SUMIF(65:65,E10,66:66)-SUMIF(65:65,C10,66:66)+100</f>
        <v>100</v>
      </c>
      <c r="G10" s="1349" t="s">
        <v>3500</v>
      </c>
      <c r="H10" s="426">
        <f>SUMIF(65:65,G10,66:66)-SUMIF(65:65,C10,66:66)+100</f>
        <v>100</v>
      </c>
      <c r="I10" s="1349" t="s">
        <v>3542</v>
      </c>
      <c r="J10" s="426">
        <f>SUMIF(65:65,I10,66:66)-SUMIF(65:65,C10,66:66)+100</f>
        <v>98</v>
      </c>
      <c r="K10" s="955">
        <v>2</v>
      </c>
      <c r="L10" s="2295"/>
      <c r="M10" s="2296"/>
      <c r="N10" s="2296"/>
      <c r="O10" s="2296"/>
      <c r="P10" s="3611"/>
      <c r="Q10" s="7" t="str">
        <f t="shared" si="6"/>
        <v>土地使用年限（年）</v>
      </c>
      <c r="R10" s="1342" t="s">
        <v>61</v>
      </c>
      <c r="S10" s="1343">
        <f t="shared" si="0"/>
        <v>100</v>
      </c>
      <c r="T10" s="1342" t="s">
        <v>61</v>
      </c>
      <c r="U10" s="1343">
        <f t="shared" si="1"/>
        <v>100</v>
      </c>
      <c r="V10" s="1342" t="s">
        <v>61</v>
      </c>
      <c r="W10" s="1343">
        <f t="shared" si="2"/>
        <v>98</v>
      </c>
      <c r="X10" s="287"/>
      <c r="Y10" s="3435"/>
      <c r="Z10" s="288" t="str">
        <f t="shared" si="7"/>
        <v>土地使用年限（年）</v>
      </c>
      <c r="AA10" s="1344">
        <f t="shared" si="3"/>
        <v>1</v>
      </c>
      <c r="AB10" s="1344">
        <f t="shared" si="4"/>
        <v>1</v>
      </c>
      <c r="AC10" s="1344">
        <f t="shared" si="5"/>
        <v>1.0204081632653061</v>
      </c>
    </row>
    <row r="11" spans="1:29" ht="15.75" thickBot="1">
      <c r="A11" s="151"/>
      <c r="B11" s="12" t="s">
        <v>89</v>
      </c>
      <c r="C11" s="772">
        <f>'比较法-办公'!C11</f>
        <v>4.1900000000000004</v>
      </c>
      <c r="D11" s="426">
        <v>100</v>
      </c>
      <c r="E11" s="772">
        <v>5.4</v>
      </c>
      <c r="F11" s="768">
        <f>LOOKUP(E11,68:68,69:69)-LOOKUP(C11,68:68,69:69)+100</f>
        <v>98</v>
      </c>
      <c r="G11" s="772">
        <v>4.2</v>
      </c>
      <c r="H11" s="426">
        <f>LOOKUP(G11,68:68,69:69)-LOOKUP(C11,68:68,69:69)+100</f>
        <v>100</v>
      </c>
      <c r="I11" s="772">
        <v>3.6</v>
      </c>
      <c r="J11" s="426">
        <f>LOOKUP(I11,68:68,69:69)-LOOKUP(C11,68:68,69:69)+100</f>
        <v>102</v>
      </c>
      <c r="K11" s="955">
        <v>2</v>
      </c>
      <c r="L11" s="2297"/>
      <c r="M11" s="2293"/>
      <c r="N11" s="2293"/>
      <c r="O11" s="2293"/>
      <c r="P11" s="3611"/>
      <c r="Q11" s="7" t="str">
        <f t="shared" si="6"/>
        <v>容积率</v>
      </c>
      <c r="R11" s="1342" t="s">
        <v>61</v>
      </c>
      <c r="S11" s="1343">
        <f t="shared" si="0"/>
        <v>98</v>
      </c>
      <c r="T11" s="1342" t="s">
        <v>61</v>
      </c>
      <c r="U11" s="1343">
        <f t="shared" si="1"/>
        <v>100</v>
      </c>
      <c r="V11" s="1342" t="s">
        <v>61</v>
      </c>
      <c r="W11" s="1343">
        <f t="shared" si="2"/>
        <v>102</v>
      </c>
      <c r="X11" s="287"/>
      <c r="Y11" s="3435"/>
      <c r="Z11" s="288" t="str">
        <f t="shared" si="7"/>
        <v>容积率</v>
      </c>
      <c r="AA11" s="1344">
        <f t="shared" si="3"/>
        <v>1.0204081632653061</v>
      </c>
      <c r="AB11" s="1344">
        <f t="shared" si="4"/>
        <v>1</v>
      </c>
      <c r="AC11" s="1344">
        <f t="shared" si="5"/>
        <v>0.98039215686274506</v>
      </c>
    </row>
    <row r="12" spans="1:29" s="40" customFormat="1" ht="14.25" hidden="1">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4"/>
      <c r="M12" s="2256"/>
      <c r="N12" s="2256"/>
      <c r="O12" s="2256"/>
      <c r="P12" s="3611"/>
      <c r="Q12" s="7">
        <f t="shared" si="6"/>
        <v>111</v>
      </c>
      <c r="R12" s="1342" t="s">
        <v>61</v>
      </c>
      <c r="S12" s="1343">
        <f t="shared" si="0"/>
        <v>100</v>
      </c>
      <c r="T12" s="1342" t="s">
        <v>61</v>
      </c>
      <c r="U12" s="1343">
        <f t="shared" si="1"/>
        <v>100</v>
      </c>
      <c r="V12" s="1342" t="s">
        <v>61</v>
      </c>
      <c r="W12" s="1343">
        <f t="shared" si="2"/>
        <v>100</v>
      </c>
      <c r="X12" s="287"/>
      <c r="Y12" s="3435"/>
      <c r="Z12" s="288">
        <f t="shared" si="7"/>
        <v>111</v>
      </c>
      <c r="AA12" s="1344">
        <f>D12/F12</f>
        <v>1</v>
      </c>
      <c r="AB12" s="1344">
        <f>D12/H12</f>
        <v>1</v>
      </c>
      <c r="AC12" s="1344">
        <f>D12/J12</f>
        <v>1</v>
      </c>
    </row>
    <row r="13" spans="1:29" ht="14.25" hidden="1">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8"/>
      <c r="M13" s="2293"/>
      <c r="N13" s="2293"/>
      <c r="O13" s="2293"/>
      <c r="P13" s="3611"/>
      <c r="Q13" s="7">
        <f t="shared" si="6"/>
        <v>111</v>
      </c>
      <c r="R13" s="1342" t="s">
        <v>61</v>
      </c>
      <c r="S13" s="1343">
        <f t="shared" si="0"/>
        <v>100</v>
      </c>
      <c r="T13" s="1342" t="s">
        <v>61</v>
      </c>
      <c r="U13" s="1343">
        <f t="shared" si="1"/>
        <v>100</v>
      </c>
      <c r="V13" s="1342" t="s">
        <v>61</v>
      </c>
      <c r="W13" s="1343">
        <f t="shared" si="2"/>
        <v>100</v>
      </c>
      <c r="X13" s="287"/>
      <c r="Y13" s="3435"/>
      <c r="Z13" s="288">
        <f t="shared" si="7"/>
        <v>111</v>
      </c>
      <c r="AA13" s="1344">
        <f t="shared" si="3"/>
        <v>1</v>
      </c>
      <c r="AB13" s="1344">
        <f t="shared" si="4"/>
        <v>1</v>
      </c>
      <c r="AC13" s="1344">
        <f t="shared" si="5"/>
        <v>1</v>
      </c>
    </row>
    <row r="14" spans="1:29" ht="15" hidden="1"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8"/>
      <c r="M14" s="2293"/>
      <c r="N14" s="2293"/>
      <c r="O14" s="2293"/>
      <c r="P14" s="3611"/>
      <c r="Q14" s="7">
        <f t="shared" si="6"/>
        <v>111</v>
      </c>
      <c r="R14" s="1342" t="s">
        <v>61</v>
      </c>
      <c r="S14" s="1343">
        <f t="shared" si="0"/>
        <v>100</v>
      </c>
      <c r="T14" s="1342" t="s">
        <v>61</v>
      </c>
      <c r="U14" s="1343">
        <f t="shared" si="1"/>
        <v>100</v>
      </c>
      <c r="V14" s="1342" t="s">
        <v>61</v>
      </c>
      <c r="W14" s="1343">
        <f t="shared" si="2"/>
        <v>100</v>
      </c>
      <c r="X14" s="287"/>
      <c r="Y14" s="3435"/>
      <c r="Z14" s="288">
        <f t="shared" si="7"/>
        <v>111</v>
      </c>
      <c r="AA14" s="1344">
        <f t="shared" si="3"/>
        <v>1</v>
      </c>
      <c r="AB14" s="1344">
        <f t="shared" si="4"/>
        <v>1</v>
      </c>
      <c r="AC14" s="1344">
        <f t="shared" si="5"/>
        <v>1</v>
      </c>
    </row>
    <row r="15" spans="1:29" ht="67.5">
      <c r="A15" s="155" t="s">
        <v>65</v>
      </c>
      <c r="B15" s="58" t="s">
        <v>126</v>
      </c>
      <c r="C15" s="157" t="str">
        <f>估价对象房地状况!C4</f>
        <v>估价对象位于科技园商圈，周边商业氛围一般，人流量一般，商业繁华度一般</v>
      </c>
      <c r="D15" s="784">
        <v>100</v>
      </c>
      <c r="E15" s="95"/>
      <c r="F15" s="786">
        <f>SUMIF(76:76,E16,77:77)-SUMIF(76:76,C16,77:77)+100</f>
        <v>100</v>
      </c>
      <c r="G15" s="96"/>
      <c r="H15" s="784">
        <f>SUMIF(76:76,G16,77:77)-SUMIF(76:76,C16,77:77)+100</f>
        <v>100</v>
      </c>
      <c r="I15" s="95"/>
      <c r="J15" s="784">
        <f>SUMIF(76:76,I16,77:77)-SUMIF(76:76,C16,77:77)+100</f>
        <v>100</v>
      </c>
      <c r="K15" s="957">
        <v>2</v>
      </c>
      <c r="L15" s="2298"/>
      <c r="M15" s="2293"/>
      <c r="N15" s="2293"/>
      <c r="O15" s="2293"/>
      <c r="P15" s="3638" t="s">
        <v>65</v>
      </c>
      <c r="Q15" s="1351" t="str">
        <f t="shared" si="6"/>
        <v>商业繁华度</v>
      </c>
      <c r="R15" s="1352" t="s">
        <v>61</v>
      </c>
      <c r="S15" s="1353">
        <f t="shared" si="0"/>
        <v>100</v>
      </c>
      <c r="T15" s="1352" t="s">
        <v>61</v>
      </c>
      <c r="U15" s="1353">
        <f t="shared" si="1"/>
        <v>100</v>
      </c>
      <c r="V15" s="1352" t="s">
        <v>61</v>
      </c>
      <c r="W15" s="1353">
        <f t="shared" si="2"/>
        <v>100</v>
      </c>
      <c r="X15" s="1340"/>
      <c r="Y15" s="3631" t="s">
        <v>65</v>
      </c>
      <c r="Z15" s="1354" t="str">
        <f t="shared" si="7"/>
        <v>商业繁华度</v>
      </c>
      <c r="AA15" s="1355">
        <f t="shared" si="3"/>
        <v>1</v>
      </c>
      <c r="AB15" s="1355">
        <f t="shared" si="4"/>
        <v>1</v>
      </c>
      <c r="AC15" s="1355">
        <f t="shared" si="5"/>
        <v>1</v>
      </c>
    </row>
    <row r="16" spans="1:29" ht="14.25">
      <c r="A16" s="151"/>
      <c r="B16" s="156"/>
      <c r="C16" s="97" t="s">
        <v>3453</v>
      </c>
      <c r="D16" s="791"/>
      <c r="E16" s="97" t="s">
        <v>3453</v>
      </c>
      <c r="F16" s="792"/>
      <c r="G16" s="97" t="s">
        <v>3453</v>
      </c>
      <c r="H16" s="793"/>
      <c r="I16" s="97" t="s">
        <v>3453</v>
      </c>
      <c r="J16" s="791"/>
      <c r="K16" s="189"/>
      <c r="L16" s="2298"/>
      <c r="M16" s="2293"/>
      <c r="N16" s="2293"/>
      <c r="O16" s="2293"/>
      <c r="P16" s="3639"/>
      <c r="Q16" s="1351"/>
      <c r="R16" s="1352"/>
      <c r="S16" s="1353"/>
      <c r="T16" s="1352"/>
      <c r="U16" s="1353"/>
      <c r="V16" s="1352"/>
      <c r="W16" s="1353"/>
      <c r="X16" s="1340"/>
      <c r="Y16" s="3632"/>
      <c r="Z16" s="1354"/>
      <c r="AA16" s="1355">
        <v>1</v>
      </c>
      <c r="AB16" s="1355">
        <v>1</v>
      </c>
      <c r="AC16" s="1355">
        <v>1</v>
      </c>
    </row>
    <row r="17" spans="1:29" ht="81">
      <c r="A17" s="151"/>
      <c r="B17" s="1356" t="s">
        <v>68</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v>2</v>
      </c>
      <c r="L17" s="2298"/>
      <c r="M17" s="2293"/>
      <c r="N17" s="2293"/>
      <c r="O17" s="2293"/>
      <c r="P17" s="3639"/>
      <c r="Q17" s="1351" t="str">
        <f>B17</f>
        <v>交通便捷度</v>
      </c>
      <c r="R17" s="1352" t="s">
        <v>61</v>
      </c>
      <c r="S17" s="1353">
        <f>F17</f>
        <v>100</v>
      </c>
      <c r="T17" s="1352" t="s">
        <v>61</v>
      </c>
      <c r="U17" s="1353">
        <f>H17</f>
        <v>100</v>
      </c>
      <c r="V17" s="1352" t="s">
        <v>61</v>
      </c>
      <c r="W17" s="1353">
        <f>J17</f>
        <v>100</v>
      </c>
      <c r="X17" s="1340"/>
      <c r="Y17" s="3632"/>
      <c r="Z17" s="1354" t="str">
        <f>Q17</f>
        <v>交通便捷度</v>
      </c>
      <c r="AA17" s="1355">
        <f t="shared" si="3"/>
        <v>1</v>
      </c>
      <c r="AB17" s="1355">
        <f t="shared" si="4"/>
        <v>1</v>
      </c>
      <c r="AC17" s="1355">
        <f t="shared" si="5"/>
        <v>1</v>
      </c>
    </row>
    <row r="18" spans="1:29" ht="14.25">
      <c r="A18" s="151"/>
      <c r="B18" s="1040"/>
      <c r="C18" s="102" t="s">
        <v>3452</v>
      </c>
      <c r="D18" s="793"/>
      <c r="E18" s="103" t="s">
        <v>3452</v>
      </c>
      <c r="F18" s="796"/>
      <c r="G18" s="104" t="s">
        <v>3452</v>
      </c>
      <c r="H18" s="791"/>
      <c r="I18" s="103" t="s">
        <v>3452</v>
      </c>
      <c r="J18" s="791"/>
      <c r="K18" s="189"/>
      <c r="L18" s="2298"/>
      <c r="M18" s="2293"/>
      <c r="N18" s="2293"/>
      <c r="O18" s="2293"/>
      <c r="P18" s="3639"/>
      <c r="Q18" s="1351"/>
      <c r="R18" s="1352"/>
      <c r="S18" s="1353"/>
      <c r="T18" s="1352"/>
      <c r="U18" s="1353"/>
      <c r="V18" s="1352"/>
      <c r="W18" s="1353"/>
      <c r="X18" s="1340"/>
      <c r="Y18" s="3632"/>
      <c r="Z18" s="1354"/>
      <c r="AA18" s="1355">
        <v>1</v>
      </c>
      <c r="AB18" s="1355">
        <v>1</v>
      </c>
      <c r="AC18" s="1355">
        <v>1</v>
      </c>
    </row>
    <row r="19" spans="1:29" ht="40.5">
      <c r="A19" s="151"/>
      <c r="B19" s="1356" t="s">
        <v>2650</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v>2</v>
      </c>
      <c r="L19" s="2298"/>
      <c r="M19" s="2293"/>
      <c r="N19" s="2293"/>
      <c r="O19" s="2293"/>
      <c r="P19" s="3639"/>
      <c r="Q19" s="1351" t="str">
        <f>B19</f>
        <v>公共配套设施</v>
      </c>
      <c r="R19" s="1352" t="s">
        <v>61</v>
      </c>
      <c r="S19" s="1353">
        <f>F19</f>
        <v>100</v>
      </c>
      <c r="T19" s="1352" t="s">
        <v>61</v>
      </c>
      <c r="U19" s="1353">
        <f>H19</f>
        <v>100</v>
      </c>
      <c r="V19" s="1352" t="s">
        <v>61</v>
      </c>
      <c r="W19" s="1353">
        <f>J19</f>
        <v>100</v>
      </c>
      <c r="X19" s="1340"/>
      <c r="Y19" s="3632"/>
      <c r="Z19" s="1354" t="str">
        <f>Q19</f>
        <v>公共配套设施</v>
      </c>
      <c r="AA19" s="1355">
        <f t="shared" si="3"/>
        <v>1</v>
      </c>
      <c r="AB19" s="1355">
        <f t="shared" si="4"/>
        <v>1</v>
      </c>
      <c r="AC19" s="1355">
        <f t="shared" si="5"/>
        <v>1</v>
      </c>
    </row>
    <row r="20" spans="1:29" ht="14.25">
      <c r="A20" s="151"/>
      <c r="B20" s="1040"/>
      <c r="C20" s="97" t="s">
        <v>3453</v>
      </c>
      <c r="D20" s="791"/>
      <c r="E20" s="98" t="s">
        <v>3453</v>
      </c>
      <c r="F20" s="792"/>
      <c r="G20" s="99" t="s">
        <v>3453</v>
      </c>
      <c r="H20" s="791"/>
      <c r="I20" s="99" t="s">
        <v>3453</v>
      </c>
      <c r="J20" s="791"/>
      <c r="K20" s="189"/>
      <c r="L20" s="2298"/>
      <c r="M20" s="2293"/>
      <c r="N20" s="2293"/>
      <c r="O20" s="2293"/>
      <c r="P20" s="3639"/>
      <c r="Q20" s="1351"/>
      <c r="R20" s="1352"/>
      <c r="S20" s="1353"/>
      <c r="T20" s="1352"/>
      <c r="U20" s="1353"/>
      <c r="V20" s="1352"/>
      <c r="W20" s="1353"/>
      <c r="X20" s="1340"/>
      <c r="Y20" s="3632"/>
      <c r="Z20" s="1354"/>
      <c r="AA20" s="1355">
        <v>1</v>
      </c>
      <c r="AB20" s="1355">
        <v>1</v>
      </c>
      <c r="AC20" s="1355">
        <v>1</v>
      </c>
    </row>
    <row r="21" spans="1:29" ht="27">
      <c r="A21" s="151"/>
      <c r="B21" s="1412" t="s">
        <v>2651</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v>2</v>
      </c>
      <c r="L21" s="2298"/>
      <c r="M21" s="2293"/>
      <c r="N21" s="2293"/>
      <c r="O21" s="2293"/>
      <c r="P21" s="3639"/>
      <c r="Q21" s="2743" t="str">
        <f>B21</f>
        <v>基础设施水平</v>
      </c>
      <c r="R21" s="1352" t="s">
        <v>61</v>
      </c>
      <c r="S21" s="1353">
        <f>F21</f>
        <v>100</v>
      </c>
      <c r="T21" s="1352" t="s">
        <v>61</v>
      </c>
      <c r="U21" s="1353">
        <f>H21</f>
        <v>100</v>
      </c>
      <c r="V21" s="1352" t="s">
        <v>61</v>
      </c>
      <c r="W21" s="1353">
        <f>J21</f>
        <v>100</v>
      </c>
      <c r="X21" s="2745"/>
      <c r="Y21" s="3632"/>
      <c r="Z21" s="2744" t="str">
        <f>Q21</f>
        <v>基础设施水平</v>
      </c>
      <c r="AA21" s="1355">
        <f t="shared" ref="AA21" si="8">D21/F21</f>
        <v>1</v>
      </c>
      <c r="AB21" s="1355">
        <f t="shared" ref="AB21" si="9">D21/H21</f>
        <v>1</v>
      </c>
      <c r="AC21" s="1355">
        <f t="shared" ref="AC21" si="10">D21/J21</f>
        <v>1</v>
      </c>
    </row>
    <row r="22" spans="1:29" ht="14.25">
      <c r="A22" s="151"/>
      <c r="B22" s="1412"/>
      <c r="C22" s="102" t="s">
        <v>3454</v>
      </c>
      <c r="D22" s="791"/>
      <c r="E22" s="97" t="s">
        <v>3454</v>
      </c>
      <c r="F22" s="792"/>
      <c r="G22" s="97" t="s">
        <v>3454</v>
      </c>
      <c r="H22" s="791"/>
      <c r="I22" s="97" t="s">
        <v>3454</v>
      </c>
      <c r="J22" s="791"/>
      <c r="K22" s="2763"/>
      <c r="L22" s="2298"/>
      <c r="M22" s="2293"/>
      <c r="N22" s="2293"/>
      <c r="O22" s="2293"/>
      <c r="P22" s="3639"/>
      <c r="Q22" s="2743"/>
      <c r="R22" s="1352"/>
      <c r="S22" s="1353"/>
      <c r="T22" s="1352"/>
      <c r="U22" s="1353"/>
      <c r="V22" s="1352"/>
      <c r="W22" s="1353"/>
      <c r="X22" s="2745"/>
      <c r="Y22" s="3632"/>
      <c r="Z22" s="2744"/>
      <c r="AA22" s="1355">
        <v>1</v>
      </c>
      <c r="AB22" s="1355">
        <v>1</v>
      </c>
      <c r="AC22" s="1355">
        <v>1</v>
      </c>
    </row>
    <row r="23" spans="1:29" ht="54">
      <c r="A23" s="151"/>
      <c r="B23" s="1356" t="s">
        <v>69</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v>2</v>
      </c>
      <c r="L23" s="2298"/>
      <c r="M23" s="2293"/>
      <c r="N23" s="2293"/>
      <c r="O23" s="2293"/>
      <c r="P23" s="3639"/>
      <c r="Q23" s="1351" t="str">
        <f>B23</f>
        <v>自然及人文环境</v>
      </c>
      <c r="R23" s="1352" t="s">
        <v>61</v>
      </c>
      <c r="S23" s="1353">
        <f>F23</f>
        <v>100</v>
      </c>
      <c r="T23" s="1352" t="s">
        <v>61</v>
      </c>
      <c r="U23" s="1353">
        <f>H23</f>
        <v>100</v>
      </c>
      <c r="V23" s="1352" t="s">
        <v>61</v>
      </c>
      <c r="W23" s="1353">
        <f>J23</f>
        <v>100</v>
      </c>
      <c r="X23" s="1340"/>
      <c r="Y23" s="3632"/>
      <c r="Z23" s="1354" t="str">
        <f>Q23</f>
        <v>自然及人文环境</v>
      </c>
      <c r="AA23" s="1355">
        <f t="shared" si="3"/>
        <v>1</v>
      </c>
      <c r="AB23" s="1355">
        <f t="shared" si="4"/>
        <v>1</v>
      </c>
      <c r="AC23" s="1355">
        <f t="shared" si="5"/>
        <v>1</v>
      </c>
    </row>
    <row r="24" spans="1:29" ht="14.25">
      <c r="A24" s="151"/>
      <c r="B24" s="1040"/>
      <c r="C24" s="97" t="s">
        <v>3453</v>
      </c>
      <c r="D24" s="791"/>
      <c r="E24" s="98" t="s">
        <v>3453</v>
      </c>
      <c r="F24" s="792"/>
      <c r="G24" s="99" t="s">
        <v>3453</v>
      </c>
      <c r="H24" s="791"/>
      <c r="I24" s="98" t="s">
        <v>3453</v>
      </c>
      <c r="J24" s="791"/>
      <c r="K24" s="189"/>
      <c r="L24" s="2298"/>
      <c r="M24" s="2293"/>
      <c r="N24" s="2293"/>
      <c r="O24" s="2293"/>
      <c r="P24" s="3639"/>
      <c r="Q24" s="1351"/>
      <c r="R24" s="1352"/>
      <c r="S24" s="1353"/>
      <c r="T24" s="1352"/>
      <c r="U24" s="1353"/>
      <c r="V24" s="1352"/>
      <c r="W24" s="1353"/>
      <c r="X24" s="1340"/>
      <c r="Y24" s="3632"/>
      <c r="Z24" s="1354"/>
      <c r="AA24" s="1355">
        <v>1</v>
      </c>
      <c r="AB24" s="1355">
        <v>1</v>
      </c>
      <c r="AC24" s="1355">
        <v>1</v>
      </c>
    </row>
    <row r="25" spans="1:29" ht="15">
      <c r="A25" s="151"/>
      <c r="B25" s="12" t="s">
        <v>127</v>
      </c>
      <c r="C25" s="182" t="s">
        <v>3505</v>
      </c>
      <c r="D25" s="778">
        <v>100</v>
      </c>
      <c r="E25" s="182" t="s">
        <v>3505</v>
      </c>
      <c r="F25" s="804">
        <f>SUMIF(86:86,E25,87:87)-SUMIF(86:86,C25,87:87)+100</f>
        <v>100</v>
      </c>
      <c r="G25" s="182" t="s">
        <v>3505</v>
      </c>
      <c r="H25" s="778">
        <f>SUMIF(86:86,G25,87:87)-SUMIF(86:86,C25,87:87)+100</f>
        <v>100</v>
      </c>
      <c r="I25" s="182" t="s">
        <v>3505</v>
      </c>
      <c r="J25" s="778">
        <f>SUMIF(86:86,I25,87:87)-SUMIF(86:86,C25,87:87)+100</f>
        <v>100</v>
      </c>
      <c r="K25" s="955">
        <v>2</v>
      </c>
      <c r="L25" s="2298"/>
      <c r="M25" s="2293"/>
      <c r="N25" s="2293"/>
      <c r="O25" s="2293"/>
      <c r="P25" s="3639"/>
      <c r="Q25" s="1351" t="str">
        <f t="shared" ref="Q25:Q46" si="11">B25</f>
        <v>临街状况</v>
      </c>
      <c r="R25" s="1352" t="s">
        <v>61</v>
      </c>
      <c r="S25" s="1353">
        <f>F25</f>
        <v>100</v>
      </c>
      <c r="T25" s="1352" t="s">
        <v>61</v>
      </c>
      <c r="U25" s="1353">
        <f>H25</f>
        <v>100</v>
      </c>
      <c r="V25" s="1352" t="s">
        <v>61</v>
      </c>
      <c r="W25" s="1353">
        <f>J25</f>
        <v>100</v>
      </c>
      <c r="X25" s="1340"/>
      <c r="Y25" s="3632"/>
      <c r="Z25" s="1354" t="str">
        <f>Q25</f>
        <v>临街状况</v>
      </c>
      <c r="AA25" s="1355">
        <f t="shared" si="3"/>
        <v>1</v>
      </c>
      <c r="AB25" s="1355">
        <f t="shared" si="4"/>
        <v>1</v>
      </c>
      <c r="AC25" s="1355">
        <f t="shared" si="5"/>
        <v>1</v>
      </c>
    </row>
    <row r="26" spans="1:29" ht="14.25" hidden="1">
      <c r="A26" s="151"/>
      <c r="B26" s="1357" t="s">
        <v>1020</v>
      </c>
      <c r="C26" s="93"/>
      <c r="D26" s="778">
        <v>100</v>
      </c>
      <c r="E26" s="93"/>
      <c r="F26" s="804">
        <f>SUMIF(88:88,E26,89:89)-SUMIF(88:88,C26,89:89)+100</f>
        <v>100</v>
      </c>
      <c r="G26" s="93"/>
      <c r="H26" s="778">
        <f>SUMIF(88:88,G26,89:89)-SUMIF(88:88,C26,89:89)+100</f>
        <v>100</v>
      </c>
      <c r="I26" s="93"/>
      <c r="J26" s="778">
        <f>SUMIF(88:88,I26,89:89)-SUMIF(88:88,C26,89:89)+100</f>
        <v>100</v>
      </c>
      <c r="K26" s="188"/>
      <c r="L26" s="2298"/>
      <c r="M26" s="2293"/>
      <c r="N26" s="2293"/>
      <c r="O26" s="2293"/>
      <c r="P26" s="3639"/>
      <c r="Q26" s="1351" t="str">
        <f t="shared" si="11"/>
        <v>平面位置/可视性</v>
      </c>
      <c r="R26" s="1352" t="s">
        <v>61</v>
      </c>
      <c r="S26" s="1353">
        <f>F26</f>
        <v>100</v>
      </c>
      <c r="T26" s="1352" t="s">
        <v>61</v>
      </c>
      <c r="U26" s="1353">
        <f>H26</f>
        <v>100</v>
      </c>
      <c r="V26" s="1352" t="s">
        <v>61</v>
      </c>
      <c r="W26" s="1353">
        <f>J26</f>
        <v>100</v>
      </c>
      <c r="X26" s="1340"/>
      <c r="Y26" s="3632"/>
      <c r="Z26" s="1354" t="str">
        <f>Q26</f>
        <v>平面位置/可视性</v>
      </c>
      <c r="AA26" s="1355">
        <f t="shared" si="3"/>
        <v>1</v>
      </c>
      <c r="AB26" s="1355">
        <f t="shared" si="4"/>
        <v>1</v>
      </c>
      <c r="AC26" s="1355">
        <f t="shared" si="5"/>
        <v>1</v>
      </c>
    </row>
    <row r="27" spans="1:29" s="40" customFormat="1" ht="15">
      <c r="A27" s="1030"/>
      <c r="B27" s="1356" t="s">
        <v>1021</v>
      </c>
      <c r="C27" s="1387" t="s">
        <v>3453</v>
      </c>
      <c r="D27" s="805">
        <v>100</v>
      </c>
      <c r="E27" s="1387" t="s">
        <v>3453</v>
      </c>
      <c r="F27" s="807">
        <f>SUMIF(90:90,E27,91:91)-SUMIF(90:90,C27,91:91)+100</f>
        <v>100</v>
      </c>
      <c r="G27" s="1387" t="s">
        <v>3453</v>
      </c>
      <c r="H27" s="805">
        <f>SUMIF(90:90,G27,91:91)-SUMIF(90:90,C27,91:91)+100</f>
        <v>100</v>
      </c>
      <c r="I27" s="1387" t="s">
        <v>3543</v>
      </c>
      <c r="J27" s="805">
        <f>SUMIF(90:90,I27,91:91)-SUMIF(90:90,C27,91:91)+100</f>
        <v>102</v>
      </c>
      <c r="K27" s="955">
        <v>2</v>
      </c>
      <c r="L27" s="2294"/>
      <c r="M27" s="2256"/>
      <c r="N27" s="2256"/>
      <c r="O27" s="2256"/>
      <c r="P27" s="3639"/>
      <c r="Q27" s="7" t="str">
        <f t="shared" si="11"/>
        <v>人流量</v>
      </c>
      <c r="R27" s="1342" t="s">
        <v>61</v>
      </c>
      <c r="S27" s="1343">
        <f>F27</f>
        <v>100</v>
      </c>
      <c r="T27" s="1342" t="s">
        <v>61</v>
      </c>
      <c r="U27" s="1343">
        <f>H27</f>
        <v>100</v>
      </c>
      <c r="V27" s="1342" t="s">
        <v>61</v>
      </c>
      <c r="W27" s="1343">
        <f>J27</f>
        <v>102</v>
      </c>
      <c r="X27" s="287"/>
      <c r="Y27" s="3632"/>
      <c r="Z27" s="288" t="str">
        <f>Q27</f>
        <v>人流量</v>
      </c>
      <c r="AA27" s="1355">
        <f>D27/F27</f>
        <v>1</v>
      </c>
      <c r="AB27" s="1355">
        <f>D27/H27</f>
        <v>1</v>
      </c>
      <c r="AC27" s="1355">
        <f>D27/J27</f>
        <v>0.98039215686274506</v>
      </c>
    </row>
    <row r="28" spans="1:29" ht="15" thickBot="1">
      <c r="A28" s="151"/>
      <c r="B28" s="12" t="s">
        <v>128</v>
      </c>
      <c r="C28" s="182" t="s">
        <v>3220</v>
      </c>
      <c r="D28" s="778">
        <v>100</v>
      </c>
      <c r="E28" s="182" t="s">
        <v>3220</v>
      </c>
      <c r="F28" s="804">
        <f>SUMIF(92:92,E28,93:93)-SUMIF(92:92,C28,93:93)+100</f>
        <v>100</v>
      </c>
      <c r="G28" s="182" t="s">
        <v>3220</v>
      </c>
      <c r="H28" s="778">
        <f>SUMIF(92:92,G28,93:93)-SUMIF(92:92,C28,93:93)+100</f>
        <v>100</v>
      </c>
      <c r="I28" s="182" t="s">
        <v>3220</v>
      </c>
      <c r="J28" s="778">
        <f>SUMIF(92:92,I28,93:93)-SUMIF(92:92,C28,93:93)+100</f>
        <v>100</v>
      </c>
      <c r="K28" s="188"/>
      <c r="L28" s="2298"/>
      <c r="M28" s="2293"/>
      <c r="N28" s="2293"/>
      <c r="O28" s="2293"/>
      <c r="P28" s="3639"/>
      <c r="Q28" s="1351" t="str">
        <f t="shared" si="11"/>
        <v>楼层</v>
      </c>
      <c r="R28" s="1352" t="s">
        <v>61</v>
      </c>
      <c r="S28" s="1353">
        <f t="shared" ref="S28:S46" si="12">F28</f>
        <v>100</v>
      </c>
      <c r="T28" s="1352" t="s">
        <v>61</v>
      </c>
      <c r="U28" s="1353">
        <f t="shared" ref="U28:U46" si="13">H28</f>
        <v>100</v>
      </c>
      <c r="V28" s="1352" t="s">
        <v>61</v>
      </c>
      <c r="W28" s="1353">
        <f t="shared" ref="W28:W46" si="14">J28</f>
        <v>100</v>
      </c>
      <c r="X28" s="1340"/>
      <c r="Y28" s="3632"/>
      <c r="Z28" s="1354" t="str">
        <f t="shared" ref="Z28:Z46" si="15">Q28</f>
        <v>楼层</v>
      </c>
      <c r="AA28" s="1355">
        <f t="shared" si="3"/>
        <v>1</v>
      </c>
      <c r="AB28" s="1355">
        <f t="shared" si="4"/>
        <v>1</v>
      </c>
      <c r="AC28" s="1355">
        <f t="shared" si="5"/>
        <v>1</v>
      </c>
    </row>
    <row r="29" spans="1:29" ht="14.25" hidden="1">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298"/>
      <c r="M29" s="2293"/>
      <c r="N29" s="2293"/>
      <c r="O29" s="2293"/>
      <c r="P29" s="3639"/>
      <c r="Q29" s="1351">
        <f t="shared" si="11"/>
        <v>111</v>
      </c>
      <c r="R29" s="1352" t="s">
        <v>61</v>
      </c>
      <c r="S29" s="1353">
        <f t="shared" si="12"/>
        <v>100</v>
      </c>
      <c r="T29" s="1352" t="s">
        <v>61</v>
      </c>
      <c r="U29" s="1353">
        <f t="shared" si="13"/>
        <v>100</v>
      </c>
      <c r="V29" s="1352" t="s">
        <v>61</v>
      </c>
      <c r="W29" s="1353">
        <f t="shared" si="14"/>
        <v>100</v>
      </c>
      <c r="X29" s="1340"/>
      <c r="Y29" s="3632"/>
      <c r="Z29" s="1354">
        <f t="shared" si="15"/>
        <v>111</v>
      </c>
      <c r="AA29" s="1355">
        <f t="shared" si="3"/>
        <v>1</v>
      </c>
      <c r="AB29" s="1355">
        <f t="shared" si="4"/>
        <v>1</v>
      </c>
      <c r="AC29" s="1355">
        <f t="shared" si="5"/>
        <v>1</v>
      </c>
    </row>
    <row r="30" spans="1:29" ht="14.25" hidden="1">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298"/>
      <c r="M30" s="2293"/>
      <c r="N30" s="2293"/>
      <c r="O30" s="2293"/>
      <c r="P30" s="3639"/>
      <c r="Q30" s="1351">
        <f t="shared" si="11"/>
        <v>111</v>
      </c>
      <c r="R30" s="1352" t="s">
        <v>61</v>
      </c>
      <c r="S30" s="1353">
        <f t="shared" si="12"/>
        <v>100</v>
      </c>
      <c r="T30" s="1352" t="s">
        <v>61</v>
      </c>
      <c r="U30" s="1353">
        <f t="shared" si="13"/>
        <v>100</v>
      </c>
      <c r="V30" s="1352" t="s">
        <v>61</v>
      </c>
      <c r="W30" s="1353">
        <f t="shared" si="14"/>
        <v>100</v>
      </c>
      <c r="X30" s="1340"/>
      <c r="Y30" s="3632"/>
      <c r="Z30" s="1354">
        <f t="shared" si="15"/>
        <v>111</v>
      </c>
      <c r="AA30" s="1355">
        <f t="shared" si="3"/>
        <v>1</v>
      </c>
      <c r="AB30" s="1355">
        <f t="shared" si="4"/>
        <v>1</v>
      </c>
      <c r="AC30" s="1355">
        <f t="shared" si="5"/>
        <v>1</v>
      </c>
    </row>
    <row r="31" spans="1:29" ht="15" hidden="1"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298"/>
      <c r="M31" s="2293"/>
      <c r="N31" s="2293"/>
      <c r="O31" s="2293"/>
      <c r="P31" s="3639"/>
      <c r="Q31" s="1351">
        <f t="shared" si="11"/>
        <v>111</v>
      </c>
      <c r="R31" s="1352" t="s">
        <v>61</v>
      </c>
      <c r="S31" s="1353">
        <f t="shared" si="12"/>
        <v>100</v>
      </c>
      <c r="T31" s="1352" t="s">
        <v>61</v>
      </c>
      <c r="U31" s="1353">
        <f t="shared" si="13"/>
        <v>100</v>
      </c>
      <c r="V31" s="1352" t="s">
        <v>61</v>
      </c>
      <c r="W31" s="1353">
        <f t="shared" si="14"/>
        <v>100</v>
      </c>
      <c r="X31" s="1340"/>
      <c r="Y31" s="3632"/>
      <c r="Z31" s="1354">
        <f t="shared" si="15"/>
        <v>111</v>
      </c>
      <c r="AA31" s="1355">
        <f t="shared" si="3"/>
        <v>1</v>
      </c>
      <c r="AB31" s="1355">
        <f t="shared" si="4"/>
        <v>1</v>
      </c>
      <c r="AC31" s="1355">
        <f t="shared" si="5"/>
        <v>1</v>
      </c>
    </row>
    <row r="32" spans="1:29" ht="15">
      <c r="A32" s="155" t="s">
        <v>1022</v>
      </c>
      <c r="B32" s="62" t="s">
        <v>1023</v>
      </c>
      <c r="C32" s="110" t="s">
        <v>3522</v>
      </c>
      <c r="D32" s="810">
        <v>100</v>
      </c>
      <c r="E32" s="110" t="s">
        <v>3522</v>
      </c>
      <c r="F32" s="804">
        <f>SUMIF(100:100,E32,101:101)-SUMIF(100:100,C32,101:101)+100</f>
        <v>100</v>
      </c>
      <c r="G32" s="110" t="s">
        <v>3522</v>
      </c>
      <c r="H32" s="778">
        <f>SUMIF(100:100,G32,101:101)-SUMIF(100:100,C32,101:101)+100</f>
        <v>100</v>
      </c>
      <c r="I32" s="110" t="s">
        <v>3522</v>
      </c>
      <c r="J32" s="810">
        <f>SUMIF(100:100,I32,101:101)-SUMIF(100:100,C32,101:101)+100</f>
        <v>100</v>
      </c>
      <c r="K32" s="955">
        <v>2</v>
      </c>
      <c r="L32" s="2298"/>
      <c r="M32" s="2293"/>
      <c r="N32" s="2293"/>
      <c r="O32" s="2293"/>
      <c r="P32" s="3633" t="s">
        <v>1024</v>
      </c>
      <c r="Q32" s="1351" t="str">
        <f t="shared" si="11"/>
        <v>商业类型</v>
      </c>
      <c r="R32" s="1352" t="s">
        <v>61</v>
      </c>
      <c r="S32" s="1353">
        <f t="shared" si="12"/>
        <v>100</v>
      </c>
      <c r="T32" s="1352" t="s">
        <v>61</v>
      </c>
      <c r="U32" s="1353">
        <f t="shared" si="13"/>
        <v>100</v>
      </c>
      <c r="V32" s="1352" t="s">
        <v>61</v>
      </c>
      <c r="W32" s="1353">
        <f t="shared" si="14"/>
        <v>100</v>
      </c>
      <c r="X32" s="1340"/>
      <c r="Y32" s="3636" t="s">
        <v>1024</v>
      </c>
      <c r="Z32" s="1354" t="str">
        <f t="shared" si="15"/>
        <v>商业类型</v>
      </c>
      <c r="AA32" s="1355">
        <f t="shared" si="3"/>
        <v>1</v>
      </c>
      <c r="AB32" s="1355">
        <f t="shared" si="4"/>
        <v>1</v>
      </c>
      <c r="AC32" s="1355">
        <f t="shared" si="5"/>
        <v>1</v>
      </c>
    </row>
    <row r="33" spans="1:29" s="1039" customFormat="1" ht="14.25">
      <c r="A33" s="1043"/>
      <c r="B33" s="12" t="s">
        <v>72</v>
      </c>
      <c r="C33" s="812">
        <f>'数据-基础表'!B3</f>
        <v>66965.320000000065</v>
      </c>
      <c r="D33" s="426">
        <v>100</v>
      </c>
      <c r="E33" s="773">
        <v>249914</v>
      </c>
      <c r="F33" s="768">
        <f>LOOKUP(E33,103:103,104:104)-LOOKUP(C33,103:103,104:104)+100</f>
        <v>102</v>
      </c>
      <c r="G33" s="772">
        <v>250000</v>
      </c>
      <c r="H33" s="426">
        <f>LOOKUP(G33,103:103,104:104)-LOOKUP(C33,103:103,104:104)+100</f>
        <v>102</v>
      </c>
      <c r="I33" s="772">
        <v>30000</v>
      </c>
      <c r="J33" s="426">
        <f>LOOKUP(I33,103:103,104:104)-LOOKUP(C33,103:103,104:104)+100</f>
        <v>100</v>
      </c>
      <c r="K33" s="188"/>
      <c r="L33" s="2297"/>
      <c r="M33" s="2299"/>
      <c r="N33" s="2299"/>
      <c r="O33" s="2299"/>
      <c r="P33" s="3634"/>
      <c r="Q33" s="1359" t="str">
        <f t="shared" si="11"/>
        <v>项目建筑规模</v>
      </c>
      <c r="R33" s="1360" t="s">
        <v>61</v>
      </c>
      <c r="S33" s="1361">
        <f t="shared" si="12"/>
        <v>102</v>
      </c>
      <c r="T33" s="1360" t="s">
        <v>61</v>
      </c>
      <c r="U33" s="1361">
        <f t="shared" si="13"/>
        <v>102</v>
      </c>
      <c r="V33" s="1360" t="s">
        <v>61</v>
      </c>
      <c r="W33" s="1361">
        <f t="shared" si="14"/>
        <v>100</v>
      </c>
      <c r="X33" s="1362"/>
      <c r="Y33" s="3636"/>
      <c r="Z33" s="1363" t="str">
        <f t="shared" si="15"/>
        <v>项目建筑规模</v>
      </c>
      <c r="AA33" s="1355">
        <f t="shared" si="3"/>
        <v>0.98039215686274506</v>
      </c>
      <c r="AB33" s="1355">
        <f t="shared" si="4"/>
        <v>0.98039215686274506</v>
      </c>
      <c r="AC33" s="1355">
        <f t="shared" si="5"/>
        <v>1</v>
      </c>
    </row>
    <row r="34" spans="1:29" ht="15">
      <c r="A34" s="161"/>
      <c r="B34" s="12" t="s">
        <v>73</v>
      </c>
      <c r="C34" s="112" t="s">
        <v>3471</v>
      </c>
      <c r="D34" s="778">
        <v>100</v>
      </c>
      <c r="E34" s="112" t="s">
        <v>3471</v>
      </c>
      <c r="F34" s="804">
        <f>SUMIF(105:105,E34,106:106)-SUMIF(105:105,C34,106:106)+100</f>
        <v>100</v>
      </c>
      <c r="G34" s="112" t="s">
        <v>3471</v>
      </c>
      <c r="H34" s="778">
        <f>SUMIF(105:105,G34,106:106)-SUMIF(105:105,C34,106:106)+100</f>
        <v>100</v>
      </c>
      <c r="I34" s="112" t="s">
        <v>3471</v>
      </c>
      <c r="J34" s="778">
        <f>SUMIF(105:105,I34,106:106)-SUMIF(105:105,C34,106:106)+100</f>
        <v>100</v>
      </c>
      <c r="K34" s="955">
        <v>2</v>
      </c>
      <c r="L34" s="2298"/>
      <c r="M34" s="2293"/>
      <c r="N34" s="2293"/>
      <c r="O34" s="2293"/>
      <c r="P34" s="3634"/>
      <c r="Q34" s="1351" t="str">
        <f t="shared" si="11"/>
        <v>建筑结构</v>
      </c>
      <c r="R34" s="1352" t="s">
        <v>61</v>
      </c>
      <c r="S34" s="1353">
        <f t="shared" si="12"/>
        <v>100</v>
      </c>
      <c r="T34" s="1352" t="s">
        <v>61</v>
      </c>
      <c r="U34" s="1353">
        <f t="shared" si="13"/>
        <v>100</v>
      </c>
      <c r="V34" s="1352" t="s">
        <v>61</v>
      </c>
      <c r="W34" s="1353">
        <f t="shared" si="14"/>
        <v>100</v>
      </c>
      <c r="X34" s="1340"/>
      <c r="Y34" s="3636"/>
      <c r="Z34" s="1354" t="str">
        <f t="shared" si="15"/>
        <v>建筑结构</v>
      </c>
      <c r="AA34" s="1355">
        <f t="shared" si="3"/>
        <v>1</v>
      </c>
      <c r="AB34" s="1355">
        <f t="shared" si="4"/>
        <v>1</v>
      </c>
      <c r="AC34" s="1355">
        <f t="shared" si="5"/>
        <v>1</v>
      </c>
    </row>
    <row r="35" spans="1:29" ht="15">
      <c r="A35" s="161"/>
      <c r="B35" s="12" t="s">
        <v>1025</v>
      </c>
      <c r="C35" s="109" t="s">
        <v>3476</v>
      </c>
      <c r="D35" s="778">
        <v>100</v>
      </c>
      <c r="E35" s="109" t="s">
        <v>3476</v>
      </c>
      <c r="F35" s="804">
        <f>SUMIF(107:107,E35,108:108)-SUMIF(107:107,C35,108:108)+100</f>
        <v>100</v>
      </c>
      <c r="G35" s="109" t="s">
        <v>3476</v>
      </c>
      <c r="H35" s="778">
        <f>SUMIF(107:107,G35,108:108)-SUMIF(107:107,C35,108:108)+100</f>
        <v>100</v>
      </c>
      <c r="I35" s="109" t="s">
        <v>3544</v>
      </c>
      <c r="J35" s="778">
        <f>SUMIF(107:107,I35,108:108)-SUMIF(107:107,C35,108:108)+100</f>
        <v>98</v>
      </c>
      <c r="K35" s="955">
        <v>2</v>
      </c>
      <c r="L35" s="2298"/>
      <c r="M35" s="2293"/>
      <c r="N35" s="2293"/>
      <c r="O35" s="2293"/>
      <c r="P35" s="3634"/>
      <c r="Q35" s="1351" t="str">
        <f t="shared" si="11"/>
        <v>公共部分装修</v>
      </c>
      <c r="R35" s="1352" t="s">
        <v>61</v>
      </c>
      <c r="S35" s="1353">
        <f t="shared" si="12"/>
        <v>100</v>
      </c>
      <c r="T35" s="1352" t="s">
        <v>61</v>
      </c>
      <c r="U35" s="1353">
        <f t="shared" si="13"/>
        <v>100</v>
      </c>
      <c r="V35" s="1352" t="s">
        <v>61</v>
      </c>
      <c r="W35" s="1353">
        <f t="shared" si="14"/>
        <v>98</v>
      </c>
      <c r="X35" s="1340"/>
      <c r="Y35" s="3636"/>
      <c r="Z35" s="1354" t="str">
        <f t="shared" si="15"/>
        <v>公共部分装修</v>
      </c>
      <c r="AA35" s="1355">
        <f t="shared" si="3"/>
        <v>1</v>
      </c>
      <c r="AB35" s="1355">
        <f t="shared" si="4"/>
        <v>1</v>
      </c>
      <c r="AC35" s="1355">
        <f t="shared" si="5"/>
        <v>1.0204081632653061</v>
      </c>
    </row>
    <row r="36" spans="1:29" ht="15">
      <c r="A36" s="161"/>
      <c r="B36" s="12" t="s">
        <v>1026</v>
      </c>
      <c r="C36" s="817">
        <f>'比较法-办公'!C37</f>
        <v>0.98</v>
      </c>
      <c r="D36" s="778">
        <v>100</v>
      </c>
      <c r="E36" s="817">
        <f>'比较法-办公'!I37</f>
        <v>0.95</v>
      </c>
      <c r="F36" s="804">
        <f>LOOKUP(E36,110:110,111:111)-LOOKUP(C36,110:110,111:111)+100</f>
        <v>100</v>
      </c>
      <c r="G36" s="817">
        <f>'比较法-办公'!E37</f>
        <v>0.95</v>
      </c>
      <c r="H36" s="804">
        <f>LOOKUP(G36,110:110,111:111)-LOOKUP(C36,110:110,111:111)+100</f>
        <v>100</v>
      </c>
      <c r="I36" s="817">
        <f>ROUND(1-(2017-2006)/60,2)</f>
        <v>0.82</v>
      </c>
      <c r="J36" s="778">
        <f>LOOKUP(I36,110:110,111:111)-LOOKUP(C36,110:110,111:111)+100</f>
        <v>97</v>
      </c>
      <c r="K36" s="955">
        <v>3</v>
      </c>
      <c r="L36" s="2298"/>
      <c r="M36" s="2293"/>
      <c r="N36" s="2293"/>
      <c r="O36" s="2293"/>
      <c r="P36" s="3634"/>
      <c r="Q36" s="1351" t="str">
        <f t="shared" si="11"/>
        <v>成新度</v>
      </c>
      <c r="R36" s="1352" t="s">
        <v>61</v>
      </c>
      <c r="S36" s="1353">
        <f t="shared" si="12"/>
        <v>100</v>
      </c>
      <c r="T36" s="1352" t="s">
        <v>61</v>
      </c>
      <c r="U36" s="1353">
        <f t="shared" si="13"/>
        <v>100</v>
      </c>
      <c r="V36" s="1352" t="s">
        <v>61</v>
      </c>
      <c r="W36" s="1353">
        <f t="shared" si="14"/>
        <v>97</v>
      </c>
      <c r="X36" s="1340"/>
      <c r="Y36" s="3636"/>
      <c r="Z36" s="1354" t="str">
        <f t="shared" si="15"/>
        <v>成新度</v>
      </c>
      <c r="AA36" s="1355">
        <f t="shared" si="3"/>
        <v>1</v>
      </c>
      <c r="AB36" s="1355">
        <f t="shared" si="4"/>
        <v>1</v>
      </c>
      <c r="AC36" s="1355">
        <f t="shared" si="5"/>
        <v>1.0309278350515463</v>
      </c>
    </row>
    <row r="37" spans="1:29" s="40" customFormat="1" ht="15">
      <c r="A37" s="1041"/>
      <c r="B37" s="12" t="s">
        <v>2652</v>
      </c>
      <c r="C37" s="109" t="s">
        <v>3491</v>
      </c>
      <c r="D37" s="426">
        <v>100</v>
      </c>
      <c r="E37" s="109" t="s">
        <v>3491</v>
      </c>
      <c r="F37" s="804">
        <f>SUMIF(112:112,E37,113:113)-SUMIF(112:112,C37,113:113)+100</f>
        <v>100</v>
      </c>
      <c r="G37" s="109" t="s">
        <v>3491</v>
      </c>
      <c r="H37" s="778">
        <f>SUMIF(112:112,G37,113:113)-SUMIF(112:112,C37,113:113)+100</f>
        <v>100</v>
      </c>
      <c r="I37" s="109" t="s">
        <v>3491</v>
      </c>
      <c r="J37" s="778">
        <f>SUMIF(112:112,I37,113:113)-SUMIF(112:112,C37,113:113)+100</f>
        <v>100</v>
      </c>
      <c r="K37" s="955">
        <v>1</v>
      </c>
      <c r="L37" s="2294"/>
      <c r="M37" s="2256"/>
      <c r="N37" s="2256"/>
      <c r="O37" s="2256"/>
      <c r="P37" s="3634"/>
      <c r="Q37" s="7" t="str">
        <f t="shared" si="11"/>
        <v>市政基础设施</v>
      </c>
      <c r="R37" s="1342" t="s">
        <v>61</v>
      </c>
      <c r="S37" s="1343">
        <f t="shared" si="12"/>
        <v>100</v>
      </c>
      <c r="T37" s="1342" t="s">
        <v>61</v>
      </c>
      <c r="U37" s="1343">
        <f t="shared" si="13"/>
        <v>100</v>
      </c>
      <c r="V37" s="1342" t="s">
        <v>61</v>
      </c>
      <c r="W37" s="1343">
        <f t="shared" si="14"/>
        <v>100</v>
      </c>
      <c r="X37" s="287"/>
      <c r="Y37" s="3636"/>
      <c r="Z37" s="288" t="str">
        <f t="shared" si="15"/>
        <v>市政基础设施</v>
      </c>
      <c r="AA37" s="1344">
        <f t="shared" si="3"/>
        <v>1</v>
      </c>
      <c r="AB37" s="1344">
        <f t="shared" si="4"/>
        <v>1</v>
      </c>
      <c r="AC37" s="1344">
        <f t="shared" si="5"/>
        <v>1</v>
      </c>
    </row>
    <row r="38" spans="1:29" ht="15">
      <c r="A38" s="161"/>
      <c r="B38" s="12" t="s">
        <v>131</v>
      </c>
      <c r="C38" s="109" t="s">
        <v>3534</v>
      </c>
      <c r="D38" s="778">
        <v>100</v>
      </c>
      <c r="E38" s="109" t="s">
        <v>3534</v>
      </c>
      <c r="F38" s="804">
        <f>SUMIF(114:114,E38,115:115)-SUMIF(114:114,C38,115:115)+100</f>
        <v>100</v>
      </c>
      <c r="G38" s="109" t="s">
        <v>3534</v>
      </c>
      <c r="H38" s="778">
        <f>SUMIF(114:114,G38,115:115)-SUMIF(114:114,C38,115:115)+100</f>
        <v>100</v>
      </c>
      <c r="I38" s="109" t="s">
        <v>3534</v>
      </c>
      <c r="J38" s="778">
        <f>SUMIF(114:114,I38,115:115)-SUMIF(114:114,C38,115:115)+100</f>
        <v>100</v>
      </c>
      <c r="K38" s="955">
        <v>5</v>
      </c>
      <c r="L38" s="2298"/>
      <c r="M38" s="2293"/>
      <c r="N38" s="2293"/>
      <c r="O38" s="2293"/>
      <c r="P38" s="3634" t="s">
        <v>1027</v>
      </c>
      <c r="Q38" s="1351" t="str">
        <f t="shared" si="11"/>
        <v>业态</v>
      </c>
      <c r="R38" s="1352" t="s">
        <v>61</v>
      </c>
      <c r="S38" s="1353">
        <f t="shared" si="12"/>
        <v>100</v>
      </c>
      <c r="T38" s="1352" t="s">
        <v>61</v>
      </c>
      <c r="U38" s="1353">
        <f t="shared" si="13"/>
        <v>100</v>
      </c>
      <c r="V38" s="1352" t="s">
        <v>61</v>
      </c>
      <c r="W38" s="1353">
        <f t="shared" si="14"/>
        <v>100</v>
      </c>
      <c r="X38" s="1340"/>
      <c r="Y38" s="3636" t="s">
        <v>1027</v>
      </c>
      <c r="Z38" s="1354" t="str">
        <f t="shared" si="15"/>
        <v>业态</v>
      </c>
      <c r="AA38" s="1355">
        <f t="shared" si="3"/>
        <v>1</v>
      </c>
      <c r="AB38" s="1355">
        <f t="shared" si="4"/>
        <v>1</v>
      </c>
      <c r="AC38" s="1355">
        <f t="shared" si="5"/>
        <v>1</v>
      </c>
    </row>
    <row r="39" spans="1:29" ht="15">
      <c r="A39" s="161"/>
      <c r="B39" s="12" t="s">
        <v>1028</v>
      </c>
      <c r="C39" s="109" t="s">
        <v>3488</v>
      </c>
      <c r="D39" s="778">
        <v>100</v>
      </c>
      <c r="E39" s="109" t="s">
        <v>3488</v>
      </c>
      <c r="F39" s="804">
        <f>SUMIF(116:116,E39,117:117)-SUMIF(116:116,C39,117:117)+100</f>
        <v>100</v>
      </c>
      <c r="G39" s="109" t="s">
        <v>3488</v>
      </c>
      <c r="H39" s="778">
        <f>SUMIF(116:116,G39,117:117)-SUMIF(116:116,C39,117:117)+100</f>
        <v>100</v>
      </c>
      <c r="I39" s="109" t="s">
        <v>3488</v>
      </c>
      <c r="J39" s="778">
        <f>SUMIF(116:116,I39,117:117)-SUMIF(116:116,C39,117:117)+100</f>
        <v>100</v>
      </c>
      <c r="K39" s="955">
        <v>3</v>
      </c>
      <c r="L39" s="2298"/>
      <c r="M39" s="2293"/>
      <c r="N39" s="2293"/>
      <c r="O39" s="2293"/>
      <c r="P39" s="3634"/>
      <c r="Q39" s="1351" t="str">
        <f t="shared" si="11"/>
        <v>层高</v>
      </c>
      <c r="R39" s="1352" t="s">
        <v>61</v>
      </c>
      <c r="S39" s="1353">
        <f t="shared" si="12"/>
        <v>100</v>
      </c>
      <c r="T39" s="1352" t="s">
        <v>61</v>
      </c>
      <c r="U39" s="1353">
        <f t="shared" si="13"/>
        <v>100</v>
      </c>
      <c r="V39" s="1352" t="s">
        <v>61</v>
      </c>
      <c r="W39" s="1353">
        <f t="shared" si="14"/>
        <v>100</v>
      </c>
      <c r="X39" s="1340"/>
      <c r="Y39" s="3636"/>
      <c r="Z39" s="1354" t="str">
        <f t="shared" si="15"/>
        <v>层高</v>
      </c>
      <c r="AA39" s="1355">
        <f t="shared" si="3"/>
        <v>1</v>
      </c>
      <c r="AB39" s="1355">
        <f t="shared" si="4"/>
        <v>1</v>
      </c>
      <c r="AC39" s="1355">
        <f t="shared" si="5"/>
        <v>1</v>
      </c>
    </row>
    <row r="40" spans="1:29" ht="14.25">
      <c r="A40" s="161"/>
      <c r="B40" s="12" t="s">
        <v>1029</v>
      </c>
      <c r="C40" s="960" t="s">
        <v>3595</v>
      </c>
      <c r="D40" s="778">
        <v>100</v>
      </c>
      <c r="E40" s="961">
        <v>86</v>
      </c>
      <c r="F40" s="804">
        <f>SUMIF(118:118,E40,119:119)-SUMIF(118:118,C40,119:119)+100</f>
        <v>100</v>
      </c>
      <c r="G40" s="961">
        <v>100</v>
      </c>
      <c r="H40" s="778">
        <f>SUMIF(118:118,G40,119:119)-SUMIF(118:118,C40,119:119)+100</f>
        <v>100</v>
      </c>
      <c r="I40" s="961">
        <v>106</v>
      </c>
      <c r="J40" s="778">
        <f>SUMIF(118:118,I40,119:119)-SUMIF(118:118,C40,119:119)+100</f>
        <v>100</v>
      </c>
      <c r="K40" s="188"/>
      <c r="L40" s="2298"/>
      <c r="M40" s="2293"/>
      <c r="N40" s="2293"/>
      <c r="O40" s="2293"/>
      <c r="P40" s="3634"/>
      <c r="Q40" s="1351" t="str">
        <f t="shared" si="11"/>
        <v>单套建筑面积</v>
      </c>
      <c r="R40" s="1352" t="s">
        <v>61</v>
      </c>
      <c r="S40" s="1353">
        <f t="shared" si="12"/>
        <v>100</v>
      </c>
      <c r="T40" s="1352" t="s">
        <v>61</v>
      </c>
      <c r="U40" s="1353">
        <f t="shared" si="13"/>
        <v>100</v>
      </c>
      <c r="V40" s="1352" t="s">
        <v>61</v>
      </c>
      <c r="W40" s="1353">
        <f t="shared" si="14"/>
        <v>100</v>
      </c>
      <c r="X40" s="1340"/>
      <c r="Y40" s="3636"/>
      <c r="Z40" s="1354" t="str">
        <f t="shared" si="15"/>
        <v>单套建筑面积</v>
      </c>
      <c r="AA40" s="1355">
        <f t="shared" si="3"/>
        <v>1</v>
      </c>
      <c r="AB40" s="1355">
        <f t="shared" si="4"/>
        <v>1</v>
      </c>
      <c r="AC40" s="1355">
        <f t="shared" si="5"/>
        <v>1</v>
      </c>
    </row>
    <row r="41" spans="1:29" s="1039" customFormat="1" ht="15">
      <c r="A41" s="1043"/>
      <c r="B41" s="191" t="s">
        <v>1030</v>
      </c>
      <c r="C41" s="182" t="s">
        <v>3452</v>
      </c>
      <c r="D41" s="778">
        <v>100</v>
      </c>
      <c r="E41" s="182" t="s">
        <v>3452</v>
      </c>
      <c r="F41" s="804">
        <f>SUMIF(120:120,E41,121:121)-SUMIF(120:120,C41,121:121)+100</f>
        <v>100</v>
      </c>
      <c r="G41" s="182" t="s">
        <v>3452</v>
      </c>
      <c r="H41" s="778">
        <f>SUMIF(120:120,G41,121:121)-SUMIF(120:120,C41,121:121)+100</f>
        <v>100</v>
      </c>
      <c r="I41" s="182" t="s">
        <v>3452</v>
      </c>
      <c r="J41" s="778">
        <f>SUMIF(120:120,I41,121:121)-SUMIF(120:120,C41,121:121)+100</f>
        <v>100</v>
      </c>
      <c r="K41" s="955">
        <v>2</v>
      </c>
      <c r="L41" s="2297"/>
      <c r="M41" s="2299"/>
      <c r="N41" s="2299"/>
      <c r="O41" s="2299"/>
      <c r="P41" s="3634"/>
      <c r="Q41" s="1359" t="str">
        <f t="shared" si="11"/>
        <v>进深比</v>
      </c>
      <c r="R41" s="1360" t="s">
        <v>61</v>
      </c>
      <c r="S41" s="1361">
        <f t="shared" si="12"/>
        <v>100</v>
      </c>
      <c r="T41" s="1360" t="s">
        <v>61</v>
      </c>
      <c r="U41" s="1361">
        <f t="shared" si="13"/>
        <v>100</v>
      </c>
      <c r="V41" s="1360" t="s">
        <v>61</v>
      </c>
      <c r="W41" s="1361">
        <f t="shared" si="14"/>
        <v>100</v>
      </c>
      <c r="X41" s="1362"/>
      <c r="Y41" s="3636"/>
      <c r="Z41" s="1363" t="str">
        <f t="shared" si="15"/>
        <v>进深比</v>
      </c>
      <c r="AA41" s="1355">
        <f t="shared" si="3"/>
        <v>1</v>
      </c>
      <c r="AB41" s="1355">
        <f t="shared" si="4"/>
        <v>1</v>
      </c>
      <c r="AC41" s="1355">
        <f t="shared" si="5"/>
        <v>1</v>
      </c>
    </row>
    <row r="42" spans="1:29" ht="15.75" thickBot="1">
      <c r="A42" s="161"/>
      <c r="B42" s="12" t="s">
        <v>1031</v>
      </c>
      <c r="C42" s="109" t="s">
        <v>3493</v>
      </c>
      <c r="D42" s="778">
        <v>100</v>
      </c>
      <c r="E42" s="109" t="s">
        <v>3544</v>
      </c>
      <c r="F42" s="804">
        <f>SUMIF(122:122,E42,123:123)-SUMIF(122:122,C42,123:123)+100</f>
        <v>104</v>
      </c>
      <c r="G42" s="109" t="s">
        <v>3493</v>
      </c>
      <c r="H42" s="778">
        <f>SUMIF(122:122,G42,123:123)-SUMIF(122:122,C42,123:123)+100</f>
        <v>100</v>
      </c>
      <c r="I42" s="109" t="s">
        <v>3544</v>
      </c>
      <c r="J42" s="778">
        <f>SUMIF(122:122,I42,123:123)-SUMIF(122:122,C42,123:123)+100</f>
        <v>104</v>
      </c>
      <c r="K42" s="955">
        <v>2</v>
      </c>
      <c r="L42" s="2298"/>
      <c r="M42" s="2293"/>
      <c r="N42" s="2293"/>
      <c r="O42" s="2293"/>
      <c r="P42" s="3634"/>
      <c r="Q42" s="1351" t="str">
        <f t="shared" si="11"/>
        <v>内部装修</v>
      </c>
      <c r="R42" s="1352" t="s">
        <v>61</v>
      </c>
      <c r="S42" s="1353">
        <f t="shared" si="12"/>
        <v>104</v>
      </c>
      <c r="T42" s="1352" t="s">
        <v>61</v>
      </c>
      <c r="U42" s="1353">
        <f t="shared" si="13"/>
        <v>100</v>
      </c>
      <c r="V42" s="1352" t="s">
        <v>61</v>
      </c>
      <c r="W42" s="1353">
        <f t="shared" si="14"/>
        <v>104</v>
      </c>
      <c r="X42" s="1340"/>
      <c r="Y42" s="3636"/>
      <c r="Z42" s="1354" t="str">
        <f t="shared" si="15"/>
        <v>内部装修</v>
      </c>
      <c r="AA42" s="1355">
        <f t="shared" si="3"/>
        <v>0.96153846153846156</v>
      </c>
      <c r="AB42" s="1355">
        <f t="shared" si="4"/>
        <v>1</v>
      </c>
      <c r="AC42" s="1355">
        <f t="shared" si="5"/>
        <v>0.96153846153846156</v>
      </c>
    </row>
    <row r="43" spans="1:29" ht="27" hidden="1">
      <c r="A43" s="161"/>
      <c r="B43" s="12" t="s">
        <v>80</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298"/>
      <c r="M43" s="2293"/>
      <c r="N43" s="2293"/>
      <c r="O43" s="2293"/>
      <c r="P43" s="3634"/>
      <c r="Q43" s="1351" t="str">
        <f t="shared" si="11"/>
        <v>内部装修维护情况</v>
      </c>
      <c r="R43" s="1352" t="s">
        <v>61</v>
      </c>
      <c r="S43" s="1353">
        <f t="shared" si="12"/>
        <v>100</v>
      </c>
      <c r="T43" s="1352" t="s">
        <v>61</v>
      </c>
      <c r="U43" s="1353">
        <f t="shared" si="13"/>
        <v>100</v>
      </c>
      <c r="V43" s="1352" t="s">
        <v>61</v>
      </c>
      <c r="W43" s="1353">
        <f t="shared" si="14"/>
        <v>100</v>
      </c>
      <c r="X43" s="1340"/>
      <c r="Y43" s="3636"/>
      <c r="Z43" s="1354" t="str">
        <f t="shared" si="15"/>
        <v>内部装修维护情况</v>
      </c>
      <c r="AA43" s="1355">
        <f t="shared" si="3"/>
        <v>1</v>
      </c>
      <c r="AB43" s="1355">
        <f t="shared" si="4"/>
        <v>1</v>
      </c>
      <c r="AC43" s="1355">
        <f t="shared" si="5"/>
        <v>1</v>
      </c>
    </row>
    <row r="44" spans="1:29" s="40" customFormat="1" ht="14.25" hidden="1">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4"/>
      <c r="M44" s="2256"/>
      <c r="N44" s="2256"/>
      <c r="O44" s="2256"/>
      <c r="P44" s="3634"/>
      <c r="Q44" s="7">
        <f t="shared" si="11"/>
        <v>111</v>
      </c>
      <c r="R44" s="1342" t="s">
        <v>61</v>
      </c>
      <c r="S44" s="1343">
        <f t="shared" si="12"/>
        <v>100</v>
      </c>
      <c r="T44" s="1342" t="s">
        <v>61</v>
      </c>
      <c r="U44" s="1343">
        <f t="shared" si="13"/>
        <v>100</v>
      </c>
      <c r="V44" s="1342" t="s">
        <v>61</v>
      </c>
      <c r="W44" s="1343">
        <f t="shared" si="14"/>
        <v>100</v>
      </c>
      <c r="X44" s="287"/>
      <c r="Y44" s="3636"/>
      <c r="Z44" s="288">
        <f t="shared" si="15"/>
        <v>111</v>
      </c>
      <c r="AA44" s="1344">
        <f t="shared" si="3"/>
        <v>1</v>
      </c>
      <c r="AB44" s="1344">
        <f t="shared" si="4"/>
        <v>1</v>
      </c>
      <c r="AC44" s="1344">
        <f t="shared" si="5"/>
        <v>1</v>
      </c>
    </row>
    <row r="45" spans="1:29" ht="14.25" hidden="1">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8"/>
      <c r="M45" s="2293"/>
      <c r="N45" s="2293"/>
      <c r="O45" s="2293"/>
      <c r="P45" s="3634"/>
      <c r="Q45" s="1351">
        <f t="shared" si="11"/>
        <v>111</v>
      </c>
      <c r="R45" s="1352" t="s">
        <v>61</v>
      </c>
      <c r="S45" s="1353">
        <f t="shared" si="12"/>
        <v>100</v>
      </c>
      <c r="T45" s="1352" t="s">
        <v>61</v>
      </c>
      <c r="U45" s="1353">
        <f t="shared" si="13"/>
        <v>100</v>
      </c>
      <c r="V45" s="1352" t="s">
        <v>61</v>
      </c>
      <c r="W45" s="1353">
        <f t="shared" si="14"/>
        <v>100</v>
      </c>
      <c r="X45" s="1340"/>
      <c r="Y45" s="3636"/>
      <c r="Z45" s="1354">
        <f t="shared" si="15"/>
        <v>111</v>
      </c>
      <c r="AA45" s="1355">
        <f t="shared" si="3"/>
        <v>1</v>
      </c>
      <c r="AB45" s="1355">
        <f t="shared" si="4"/>
        <v>1</v>
      </c>
      <c r="AC45" s="1355">
        <f t="shared" si="5"/>
        <v>1</v>
      </c>
    </row>
    <row r="46" spans="1:29" ht="15" hidden="1"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8"/>
      <c r="M46" s="2293"/>
      <c r="N46" s="2293"/>
      <c r="O46" s="2293"/>
      <c r="P46" s="3635"/>
      <c r="Q46" s="1351">
        <f t="shared" si="11"/>
        <v>111</v>
      </c>
      <c r="R46" s="1352" t="s">
        <v>61</v>
      </c>
      <c r="S46" s="1353">
        <f t="shared" si="12"/>
        <v>100</v>
      </c>
      <c r="T46" s="1352" t="s">
        <v>61</v>
      </c>
      <c r="U46" s="1353">
        <f t="shared" si="13"/>
        <v>100</v>
      </c>
      <c r="V46" s="1352" t="s">
        <v>61</v>
      </c>
      <c r="W46" s="1353">
        <f t="shared" si="14"/>
        <v>100</v>
      </c>
      <c r="X46" s="1340"/>
      <c r="Y46" s="3637"/>
      <c r="Z46" s="1354">
        <f t="shared" si="15"/>
        <v>111</v>
      </c>
      <c r="AA46" s="1355">
        <f t="shared" si="3"/>
        <v>1</v>
      </c>
      <c r="AB46" s="1355">
        <f t="shared" si="4"/>
        <v>1</v>
      </c>
      <c r="AC46" s="1355">
        <f t="shared" si="5"/>
        <v>1</v>
      </c>
    </row>
    <row r="47" spans="1:29" ht="15">
      <c r="A47" s="163" t="s">
        <v>1032</v>
      </c>
      <c r="B47" s="164"/>
      <c r="C47" s="2833" t="s">
        <v>23</v>
      </c>
      <c r="D47" s="2834"/>
      <c r="E47" s="2835">
        <v>54000</v>
      </c>
      <c r="F47" s="2836"/>
      <c r="G47" s="2837">
        <v>50000</v>
      </c>
      <c r="H47" s="2838"/>
      <c r="I47" s="2835">
        <v>52000</v>
      </c>
      <c r="J47" s="2838"/>
      <c r="K47" s="1393"/>
      <c r="L47" s="2300"/>
      <c r="M47" s="2301"/>
      <c r="N47" s="2293"/>
      <c r="O47" s="2301"/>
      <c r="P47" s="3629" t="str">
        <f>A47</f>
        <v>成交单价（元/平方米）</v>
      </c>
      <c r="Q47" s="3629"/>
      <c r="R47" s="3624">
        <f>E47</f>
        <v>54000</v>
      </c>
      <c r="S47" s="3624"/>
      <c r="T47" s="3624">
        <f>G47</f>
        <v>50000</v>
      </c>
      <c r="U47" s="3624"/>
      <c r="V47" s="3624">
        <f>I47</f>
        <v>52000</v>
      </c>
      <c r="W47" s="3624"/>
      <c r="X47" s="1365"/>
      <c r="Y47" s="1366"/>
      <c r="Z47" s="1365"/>
      <c r="AA47" s="1365"/>
      <c r="AB47" s="1365"/>
      <c r="AC47" s="1365"/>
    </row>
    <row r="48" spans="1:29" ht="15.75" thickBot="1">
      <c r="A48" s="165" t="s">
        <v>1033</v>
      </c>
      <c r="B48" s="166"/>
      <c r="C48" s="2839">
        <f>R49</f>
        <v>50851</v>
      </c>
      <c r="D48" s="2840"/>
      <c r="E48" s="2841">
        <f>R48</f>
        <v>51944</v>
      </c>
      <c r="F48" s="2841"/>
      <c r="G48" s="2839">
        <f>T48</f>
        <v>49020</v>
      </c>
      <c r="H48" s="2840"/>
      <c r="I48" s="2841">
        <f>V48</f>
        <v>51588</v>
      </c>
      <c r="J48" s="2840"/>
      <c r="K48" s="1394"/>
      <c r="L48" s="2300"/>
      <c r="M48" s="2301"/>
      <c r="N48" s="2293"/>
      <c r="O48" s="2301"/>
      <c r="P48" s="3629" t="str">
        <f>A48</f>
        <v>比较价值（元/平方米）</v>
      </c>
      <c r="Q48" s="3629"/>
      <c r="R48" s="3630">
        <f>IF(F1="售价",ROUND(PRODUCT(R47,AA7:AA46),0),ROUND(PRODUCT(R47,AA7:AA46),1))</f>
        <v>51944</v>
      </c>
      <c r="S48" s="3630"/>
      <c r="T48" s="3630">
        <f>IF(F1="售价",ROUND(PRODUCT(T47,AB7:AB46),0),ROUND(PRODUCT(T47,AB7:AB46),1))</f>
        <v>49020</v>
      </c>
      <c r="U48" s="3630"/>
      <c r="V48" s="3630">
        <f>IF(F1="售价",ROUND(PRODUCT(V47,AC7:AC46),0),ROUND(PRODUCT(V47,AC7:AC46),1))</f>
        <v>51588</v>
      </c>
      <c r="W48" s="3630"/>
      <c r="X48" s="1365"/>
      <c r="Y48" s="1365"/>
      <c r="Z48" s="1365"/>
      <c r="AA48" s="1365"/>
      <c r="AB48" s="1365"/>
      <c r="AC48" s="1365"/>
    </row>
    <row r="49" spans="1:29" ht="15.75" thickBot="1">
      <c r="A49" s="115" t="s">
        <v>3016</v>
      </c>
      <c r="B49" s="116"/>
      <c r="C49" s="2843">
        <f>R49</f>
        <v>50851</v>
      </c>
      <c r="D49" s="2843"/>
      <c r="E49" s="2843"/>
      <c r="F49" s="2843"/>
      <c r="G49" s="2843"/>
      <c r="H49" s="2843"/>
      <c r="I49" s="2843"/>
      <c r="J49" s="2843"/>
      <c r="K49" s="1395"/>
      <c r="L49" s="2300"/>
      <c r="M49" s="2301"/>
      <c r="N49" s="2293"/>
      <c r="O49" s="2301"/>
      <c r="P49" s="3626" t="str">
        <f>A49</f>
        <v>估价对象XX用房的比较价值（楼面单价，元/平方米）</v>
      </c>
      <c r="Q49" s="3627"/>
      <c r="R49" s="3628">
        <f>IF(F1="售价",ROUND(AVERAGE(R48:V48),0),ROUND(AVERAGE(R48:V48),1))</f>
        <v>50851</v>
      </c>
      <c r="S49" s="3628"/>
      <c r="T49" s="3628"/>
      <c r="U49" s="3628"/>
      <c r="V49" s="3628"/>
      <c r="W49" s="3628"/>
      <c r="X49" s="1365"/>
      <c r="Y49" s="1365"/>
      <c r="Z49" s="1365"/>
      <c r="AA49" s="1365"/>
      <c r="AB49" s="1365"/>
      <c r="AC49" s="1365"/>
    </row>
    <row r="50" spans="1:29">
      <c r="A50" s="2301"/>
      <c r="B50" s="2301"/>
      <c r="C50" s="2301"/>
      <c r="D50" s="2301"/>
      <c r="E50" s="2301"/>
      <c r="F50" s="2301"/>
      <c r="G50" s="2310"/>
      <c r="H50" s="2301"/>
      <c r="I50" s="2301"/>
      <c r="J50" s="2301"/>
      <c r="K50" s="2302"/>
      <c r="L50" s="2303"/>
      <c r="M50" s="2301"/>
      <c r="N50" s="2301"/>
      <c r="O50" s="2301"/>
      <c r="P50" s="214"/>
      <c r="Q50" s="1365"/>
      <c r="R50" s="1365"/>
      <c r="S50" s="1365"/>
      <c r="T50" s="1365"/>
      <c r="U50" s="1365"/>
      <c r="V50" s="1365"/>
      <c r="W50" s="1365"/>
      <c r="X50" s="1365"/>
      <c r="Y50" s="1365"/>
      <c r="Z50" s="1365"/>
      <c r="AA50" s="1365"/>
      <c r="AB50" s="1365"/>
      <c r="AC50" s="1365"/>
    </row>
    <row r="51" spans="1:29">
      <c r="A51" s="2301"/>
      <c r="B51" s="2301"/>
      <c r="C51" s="2301"/>
      <c r="D51" s="2301"/>
      <c r="E51" s="2301"/>
      <c r="F51" s="2301"/>
      <c r="G51" s="2301"/>
      <c r="H51" s="2301"/>
      <c r="I51" s="2301"/>
      <c r="J51" s="2301"/>
      <c r="K51" s="2302"/>
      <c r="L51" s="2303"/>
      <c r="M51" s="2301"/>
      <c r="N51" s="2301"/>
      <c r="O51" s="2301"/>
      <c r="P51" s="214"/>
      <c r="Q51" s="1365"/>
      <c r="R51" s="1365"/>
      <c r="S51" s="1365"/>
      <c r="T51" s="1365"/>
      <c r="U51" s="1365"/>
      <c r="V51" s="1365"/>
      <c r="W51" s="1365"/>
      <c r="X51" s="1365"/>
      <c r="Y51" s="1365"/>
      <c r="Z51" s="1365"/>
      <c r="AA51" s="1365"/>
      <c r="AB51" s="1365"/>
      <c r="AC51" s="1365"/>
    </row>
    <row r="52" spans="1:29" ht="13.5" customHeight="1">
      <c r="A52" s="2301"/>
      <c r="B52" s="2301"/>
      <c r="C52" s="840" t="s">
        <v>1002</v>
      </c>
      <c r="D52" s="841"/>
      <c r="E52" s="842">
        <f>IF(E47&lt;E48,E48/E47-1,E47/E48-1)</f>
        <v>3.9581087324811248E-2</v>
      </c>
      <c r="F52" s="843" t="str">
        <f>IF(OR(E52&gt;=0.3,E52&lt;=-0.3),"超过30%","")</f>
        <v/>
      </c>
      <c r="G52" s="842">
        <f>IF(G47&lt;G48,G48/G47-1,G47/G48-1)</f>
        <v>1.9991840065279431E-2</v>
      </c>
      <c r="H52" s="843" t="str">
        <f>IF(OR(G52&gt;=0.3,G52&lt;=-0.3),"超过30%","")</f>
        <v/>
      </c>
      <c r="I52" s="842">
        <f>IF(I47&lt;I48,I48/I47-1,I47/I48-1)</f>
        <v>7.9863534155228955E-3</v>
      </c>
      <c r="J52" s="843" t="str">
        <f>IF(OR(I52&gt;=0.3,I52&lt;=-0.3),"超过30%","")</f>
        <v/>
      </c>
      <c r="K52" s="2302"/>
      <c r="L52" s="2303"/>
      <c r="M52" s="2301"/>
      <c r="N52" s="2301"/>
      <c r="O52" s="2301"/>
      <c r="P52" s="214"/>
      <c r="Q52" s="1365"/>
      <c r="R52" s="1365"/>
      <c r="S52" s="1365"/>
      <c r="T52" s="1365"/>
      <c r="U52" s="1365"/>
      <c r="V52" s="1365"/>
      <c r="W52" s="1365"/>
      <c r="X52" s="1365"/>
      <c r="Y52" s="1365"/>
      <c r="Z52" s="1365"/>
      <c r="AA52" s="1365"/>
      <c r="AB52" s="1365"/>
      <c r="AC52" s="1365"/>
    </row>
    <row r="53" spans="1:29" ht="13.5" customHeight="1">
      <c r="A53" s="2301"/>
      <c r="B53" s="2301"/>
      <c r="C53" s="840" t="s">
        <v>1003</v>
      </c>
      <c r="D53" s="844"/>
      <c r="E53" s="842">
        <f>IF(E48&lt;G48,G48/E48-1,E48/G48-1)</f>
        <v>5.9649122807017507E-2</v>
      </c>
      <c r="F53" s="843" t="str">
        <f>IF(OR(E53&gt;=0.2,E53&lt;=-0.2),"超过20%","")</f>
        <v/>
      </c>
      <c r="G53" s="842">
        <f>IF(G48&lt;I48,I48/G48-1,G48/I48-1)</f>
        <v>5.2386780905752772E-2</v>
      </c>
      <c r="H53" s="843" t="str">
        <f>IF(OR(G53&gt;=0.2,G53&lt;=-0.2),"超过20%","")</f>
        <v/>
      </c>
      <c r="I53" s="842">
        <f>IF(I48&lt;E48,E48/I48-1,I48/E48-1)</f>
        <v>6.9008296503063615E-3</v>
      </c>
      <c r="J53" s="843" t="str">
        <f>IF(OR(I53&gt;=0.2,I53&lt;=-0.2),"超过20%","")</f>
        <v/>
      </c>
      <c r="K53" s="2302"/>
      <c r="L53" s="2303"/>
      <c r="M53" s="2301"/>
      <c r="N53" s="2301"/>
      <c r="O53" s="2301"/>
      <c r="P53" s="214"/>
      <c r="Q53" s="1365"/>
      <c r="R53" s="1365"/>
      <c r="S53" s="1365"/>
      <c r="T53" s="1365"/>
      <c r="U53" s="1365"/>
      <c r="V53" s="1365"/>
      <c r="W53" s="1365"/>
      <c r="X53" s="1365"/>
      <c r="Y53" s="1365"/>
      <c r="Z53" s="1365"/>
      <c r="AA53" s="1365"/>
      <c r="AB53" s="1365"/>
      <c r="AC53" s="1365"/>
    </row>
    <row r="54" spans="1:29" s="119" customFormat="1" ht="13.5" customHeight="1">
      <c r="A54" s="2306"/>
      <c r="B54" s="2306"/>
      <c r="C54" s="840" t="s">
        <v>1004</v>
      </c>
      <c r="D54" s="844"/>
      <c r="E54" s="842">
        <f>IF(E47&lt;G47,G47/E47-1,E47/G47-1)</f>
        <v>8.0000000000000071E-2</v>
      </c>
      <c r="F54" s="843" t="str">
        <f>IF(OR(E54&gt;=0.3,E54&lt;=-0.3),"超过30%","")</f>
        <v/>
      </c>
      <c r="G54" s="842">
        <f>IF(G47&lt;I47,I47/G47-1,G47/I47-1)</f>
        <v>4.0000000000000036E-2</v>
      </c>
      <c r="H54" s="843" t="str">
        <f>IF(OR(G54&gt;=0.3,G54&lt;=-0.3),"超过30%","")</f>
        <v/>
      </c>
      <c r="I54" s="842">
        <f>IF(I47&lt;E47,E47/I47-1,I47/E47-1)</f>
        <v>3.8461538461538547E-2</v>
      </c>
      <c r="J54" s="843" t="str">
        <f>IF(OR(I54&gt;=0.3,I54&lt;=-0.3),"超过30%","")</f>
        <v/>
      </c>
      <c r="K54" s="2304"/>
      <c r="L54" s="2305"/>
      <c r="M54" s="2306"/>
      <c r="N54" s="2306"/>
      <c r="O54" s="2306"/>
      <c r="P54" s="1396"/>
      <c r="Q54" s="1370"/>
      <c r="R54" s="1370"/>
      <c r="S54" s="1370"/>
      <c r="T54" s="1370"/>
      <c r="U54" s="1370"/>
      <c r="V54" s="1370"/>
      <c r="W54" s="1370"/>
      <c r="X54" s="1370"/>
      <c r="Y54" s="1370"/>
      <c r="Z54" s="1370"/>
      <c r="AA54" s="1370"/>
      <c r="AB54" s="1370"/>
      <c r="AC54" s="1370"/>
    </row>
    <row r="55" spans="1:29" s="119" customFormat="1">
      <c r="A55" s="2306"/>
      <c r="B55" s="2311"/>
      <c r="C55" s="2312"/>
      <c r="D55" s="2306"/>
      <c r="E55" s="2306"/>
      <c r="F55" s="2306"/>
      <c r="G55" s="2306"/>
      <c r="H55" s="2306"/>
      <c r="I55" s="2306"/>
      <c r="J55" s="2306"/>
      <c r="K55" s="2304"/>
      <c r="L55" s="2305"/>
      <c r="M55" s="2306"/>
      <c r="N55" s="2306"/>
      <c r="O55" s="2306"/>
      <c r="P55" s="1396"/>
      <c r="Q55" s="1370"/>
      <c r="R55" s="1370"/>
      <c r="S55" s="1370"/>
      <c r="T55" s="1370"/>
      <c r="U55" s="1370"/>
      <c r="V55" s="1370"/>
      <c r="W55" s="1370"/>
      <c r="X55" s="1370"/>
      <c r="Y55" s="1370"/>
      <c r="Z55" s="1370"/>
      <c r="AA55" s="1370"/>
      <c r="AB55" s="1370"/>
      <c r="AC55" s="1370"/>
    </row>
    <row r="56" spans="1:29">
      <c r="A56" s="2301"/>
      <c r="B56" s="2311"/>
      <c r="C56" s="2312"/>
      <c r="D56" s="2301"/>
      <c r="E56" s="2301"/>
      <c r="F56" s="2301"/>
      <c r="G56" s="2301"/>
      <c r="H56" s="2301"/>
      <c r="I56" s="2301"/>
      <c r="J56" s="2301"/>
      <c r="K56" s="2302"/>
      <c r="L56" s="2303"/>
      <c r="M56" s="2301"/>
      <c r="N56" s="2301"/>
      <c r="O56" s="2301"/>
      <c r="P56" s="214"/>
      <c r="Q56" s="1365"/>
      <c r="R56" s="1365"/>
      <c r="S56" s="1365"/>
      <c r="T56" s="1365"/>
      <c r="U56" s="1365"/>
      <c r="V56" s="1365"/>
      <c r="W56" s="1365"/>
      <c r="X56" s="1365"/>
      <c r="Y56" s="1365"/>
      <c r="Z56" s="1365"/>
      <c r="AA56" s="1365"/>
      <c r="AB56" s="1365"/>
      <c r="AC56" s="1365"/>
    </row>
    <row r="57" spans="1:29" ht="21" thickBot="1">
      <c r="A57" s="1372" t="s">
        <v>1034</v>
      </c>
      <c r="B57" s="1365"/>
      <c r="C57" s="1373"/>
      <c r="D57" s="1373"/>
      <c r="E57" s="1373"/>
      <c r="F57" s="1374"/>
      <c r="G57" s="1374"/>
      <c r="H57" s="1373"/>
      <c r="I57" s="1373"/>
      <c r="J57" s="1373"/>
      <c r="K57" s="1375"/>
      <c r="L57" s="2308"/>
      <c r="M57" s="2309"/>
      <c r="N57" s="2309"/>
      <c r="O57" s="2309"/>
      <c r="P57" s="1397"/>
      <c r="Q57" s="1398"/>
      <c r="R57" s="1365"/>
      <c r="S57" s="1365"/>
      <c r="T57" s="1365"/>
      <c r="U57" s="1365"/>
      <c r="V57" s="1365"/>
      <c r="W57" s="1365"/>
      <c r="X57" s="1365"/>
      <c r="Y57" s="1365"/>
      <c r="Z57" s="1365"/>
      <c r="AA57" s="1365"/>
      <c r="AB57" s="1365"/>
      <c r="AC57" s="1365"/>
    </row>
    <row r="58" spans="1:29" s="851" customFormat="1" ht="15">
      <c r="A58" s="848" t="s">
        <v>2791</v>
      </c>
      <c r="B58" s="849"/>
      <c r="C58" s="3042" t="str">
        <f>YEAR(C7)&amp;"-"&amp;MONTH(C7)</f>
        <v>2017-8</v>
      </c>
      <c r="D58" s="3043">
        <f>EDATE(C58,-1)</f>
        <v>42917</v>
      </c>
      <c r="E58" s="3043">
        <f t="shared" ref="E58:N58" si="16">EDATE(D58,-1)</f>
        <v>42887</v>
      </c>
      <c r="F58" s="3043">
        <f t="shared" si="16"/>
        <v>42856</v>
      </c>
      <c r="G58" s="3043">
        <f t="shared" si="16"/>
        <v>42826</v>
      </c>
      <c r="H58" s="3043">
        <f t="shared" si="16"/>
        <v>42795</v>
      </c>
      <c r="I58" s="3043">
        <f t="shared" si="16"/>
        <v>42767</v>
      </c>
      <c r="J58" s="3043">
        <f t="shared" si="16"/>
        <v>42736</v>
      </c>
      <c r="K58" s="3043">
        <f t="shared" si="16"/>
        <v>42705</v>
      </c>
      <c r="L58" s="3043">
        <f t="shared" si="16"/>
        <v>42675</v>
      </c>
      <c r="M58" s="3043">
        <f t="shared" si="16"/>
        <v>42644</v>
      </c>
      <c r="N58" s="3043">
        <f t="shared" si="16"/>
        <v>42614</v>
      </c>
      <c r="O58" s="3043">
        <f>EDATE(N58,-1)</f>
        <v>42583</v>
      </c>
      <c r="P58" s="3036"/>
    </row>
    <row r="59" spans="1:29" s="40" customFormat="1" ht="14.25">
      <c r="A59" s="1045"/>
      <c r="B59" s="1046"/>
      <c r="C59" s="3040">
        <v>100</v>
      </c>
      <c r="D59" s="855"/>
      <c r="E59" s="855"/>
      <c r="F59" s="855"/>
      <c r="G59" s="855"/>
      <c r="H59" s="855"/>
      <c r="I59" s="855"/>
      <c r="J59" s="855"/>
      <c r="K59" s="855"/>
      <c r="L59" s="855"/>
      <c r="M59" s="856"/>
      <c r="N59" s="855"/>
      <c r="O59" s="856"/>
      <c r="P59" s="1377"/>
    </row>
    <row r="60" spans="1:29" s="40" customFormat="1" ht="15" thickBot="1">
      <c r="A60" s="1047" t="s">
        <v>1035</v>
      </c>
      <c r="B60" s="1048"/>
      <c r="C60" s="860"/>
      <c r="D60" s="861"/>
      <c r="E60" s="861"/>
      <c r="F60" s="861"/>
      <c r="G60" s="861"/>
      <c r="H60" s="861"/>
      <c r="I60" s="861"/>
      <c r="J60" s="861"/>
      <c r="K60" s="861"/>
      <c r="L60" s="861"/>
      <c r="M60" s="862"/>
      <c r="N60" s="861"/>
      <c r="O60" s="862"/>
      <c r="P60" s="1377"/>
      <c r="Q60" s="121"/>
    </row>
    <row r="61" spans="1:29" s="40" customFormat="1">
      <c r="A61" s="1049" t="s">
        <v>1036</v>
      </c>
      <c r="B61" s="1046"/>
      <c r="C61" s="1050" t="s">
        <v>1037</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1038</v>
      </c>
      <c r="B63" s="286" t="s">
        <v>1039</v>
      </c>
      <c r="C63" s="176" t="str">
        <f>C9</f>
        <v>商业</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1040</v>
      </c>
      <c r="C65" s="882" t="s">
        <v>1005</v>
      </c>
      <c r="D65" s="882" t="s">
        <v>1006</v>
      </c>
      <c r="E65" s="882" t="s">
        <v>1007</v>
      </c>
      <c r="F65" s="882" t="s">
        <v>1008</v>
      </c>
      <c r="G65" s="882" t="s">
        <v>1009</v>
      </c>
      <c r="H65" s="882" t="s">
        <v>1010</v>
      </c>
      <c r="I65" s="882" t="s">
        <v>1011</v>
      </c>
      <c r="J65" s="882"/>
      <c r="K65" s="883"/>
      <c r="L65" s="884"/>
      <c r="M65" s="885"/>
      <c r="N65" s="1389"/>
      <c r="O65" s="1389"/>
      <c r="P65" s="1379"/>
      <c r="Q65" s="121"/>
    </row>
    <row r="66" spans="1:17" ht="15" thickBot="1">
      <c r="A66" s="173"/>
      <c r="B66" s="1055"/>
      <c r="C66" s="887" t="s">
        <v>134</v>
      </c>
      <c r="D66" s="887" t="s">
        <v>135</v>
      </c>
      <c r="E66" s="887" t="s">
        <v>136</v>
      </c>
      <c r="F66" s="887">
        <v>100</v>
      </c>
      <c r="G66" s="887">
        <f>F66-$K10</f>
        <v>98</v>
      </c>
      <c r="H66" s="887">
        <f>G66-$K10</f>
        <v>96</v>
      </c>
      <c r="I66" s="887">
        <f>H66-$K10</f>
        <v>94</v>
      </c>
      <c r="J66" s="887"/>
      <c r="K66" s="887"/>
      <c r="L66" s="887"/>
      <c r="M66" s="888"/>
      <c r="N66" s="1390"/>
      <c r="O66" s="1390"/>
      <c r="P66" s="1379"/>
      <c r="Q66" s="121"/>
    </row>
    <row r="67" spans="1:17" ht="15" thickTop="1">
      <c r="A67" s="173"/>
      <c r="B67" s="1056" t="s">
        <v>1041</v>
      </c>
      <c r="C67" s="890" t="str">
        <f>C68&amp;"（含）"&amp;"-"&amp;D68</f>
        <v>1（含）-2</v>
      </c>
      <c r="D67" s="890" t="str">
        <f t="shared" ref="D67:L67" si="17">D68&amp;"（含）"&amp;"-"&amp;E68</f>
        <v>2（含）-3</v>
      </c>
      <c r="E67" s="890" t="str">
        <f t="shared" si="17"/>
        <v>3（含）-4</v>
      </c>
      <c r="F67" s="890" t="str">
        <f t="shared" si="17"/>
        <v>4（含）-5</v>
      </c>
      <c r="G67" s="890" t="str">
        <f t="shared" si="17"/>
        <v>5（含）-6</v>
      </c>
      <c r="H67" s="890" t="str">
        <f t="shared" si="17"/>
        <v>6（含）-7</v>
      </c>
      <c r="I67" s="890" t="str">
        <f t="shared" si="17"/>
        <v>7（含）-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v>1</v>
      </c>
      <c r="D68" s="892">
        <v>2</v>
      </c>
      <c r="E68" s="892">
        <v>3</v>
      </c>
      <c r="F68" s="892">
        <v>4</v>
      </c>
      <c r="G68" s="892">
        <v>5</v>
      </c>
      <c r="H68" s="892">
        <v>6</v>
      </c>
      <c r="I68" s="892">
        <v>7</v>
      </c>
      <c r="J68" s="892"/>
      <c r="K68" s="893"/>
      <c r="L68" s="894"/>
      <c r="M68" s="895"/>
      <c r="N68" s="1389"/>
      <c r="O68" s="1389"/>
      <c r="P68" s="1379"/>
      <c r="Q68" s="121"/>
    </row>
    <row r="69" spans="1:17" ht="15" thickBot="1">
      <c r="A69" s="173"/>
      <c r="B69" s="1053"/>
      <c r="C69" s="887">
        <v>100</v>
      </c>
      <c r="D69" s="887">
        <f t="shared" ref="D69:M69" si="18">C69-$K11</f>
        <v>98</v>
      </c>
      <c r="E69" s="887">
        <f t="shared" si="18"/>
        <v>96</v>
      </c>
      <c r="F69" s="887">
        <f t="shared" si="18"/>
        <v>94</v>
      </c>
      <c r="G69" s="887">
        <f t="shared" si="18"/>
        <v>92</v>
      </c>
      <c r="H69" s="887">
        <f t="shared" si="18"/>
        <v>90</v>
      </c>
      <c r="I69" s="887">
        <f t="shared" si="18"/>
        <v>88</v>
      </c>
      <c r="J69" s="887">
        <f t="shared" si="18"/>
        <v>86</v>
      </c>
      <c r="K69" s="887">
        <f t="shared" si="18"/>
        <v>84</v>
      </c>
      <c r="L69" s="887">
        <f t="shared" si="18"/>
        <v>82</v>
      </c>
      <c r="M69" s="888">
        <f t="shared" si="18"/>
        <v>80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1042</v>
      </c>
      <c r="B76" s="286" t="s">
        <v>1043</v>
      </c>
      <c r="C76" s="916" t="s">
        <v>1012</v>
      </c>
      <c r="D76" s="916" t="s">
        <v>1013</v>
      </c>
      <c r="E76" s="916" t="s">
        <v>1014</v>
      </c>
      <c r="F76" s="916" t="s">
        <v>1015</v>
      </c>
      <c r="G76" s="916" t="s">
        <v>1016</v>
      </c>
      <c r="H76" s="872"/>
      <c r="I76" s="872"/>
      <c r="J76" s="872"/>
      <c r="K76" s="917"/>
      <c r="L76" s="918"/>
      <c r="M76" s="919"/>
      <c r="N76" s="1389"/>
      <c r="O76" s="1389"/>
      <c r="P76" s="1383"/>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90"/>
      <c r="O77" s="1390"/>
      <c r="P77" s="1379"/>
      <c r="Q77" s="121"/>
    </row>
    <row r="78" spans="1:17" ht="15" thickTop="1">
      <c r="A78" s="173"/>
      <c r="B78" s="1054" t="s">
        <v>1049</v>
      </c>
      <c r="C78" s="921" t="s">
        <v>421</v>
      </c>
      <c r="D78" s="921" t="s">
        <v>422</v>
      </c>
      <c r="E78" s="921" t="s">
        <v>423</v>
      </c>
      <c r="F78" s="921" t="s">
        <v>424</v>
      </c>
      <c r="G78" s="921" t="s">
        <v>425</v>
      </c>
      <c r="H78" s="882"/>
      <c r="I78" s="882"/>
      <c r="J78" s="882"/>
      <c r="K78" s="883"/>
      <c r="L78" s="884"/>
      <c r="M78" s="885"/>
      <c r="N78" s="1389"/>
      <c r="O78" s="1389"/>
      <c r="P78" s="1379"/>
      <c r="Q78" s="121"/>
    </row>
    <row r="79" spans="1:17" ht="15" thickBot="1">
      <c r="A79" s="173"/>
      <c r="B79" s="1055"/>
      <c r="C79" s="887">
        <v>100</v>
      </c>
      <c r="D79" s="887">
        <f>C79-$K17</f>
        <v>98</v>
      </c>
      <c r="E79" s="887">
        <f>D79-$K17</f>
        <v>96</v>
      </c>
      <c r="F79" s="887">
        <f>E79-$K17</f>
        <v>94</v>
      </c>
      <c r="G79" s="887">
        <f>F79-$K17</f>
        <v>92</v>
      </c>
      <c r="H79" s="887"/>
      <c r="I79" s="887"/>
      <c r="J79" s="887"/>
      <c r="K79" s="887"/>
      <c r="L79" s="887"/>
      <c r="M79" s="888"/>
      <c r="N79" s="1390"/>
      <c r="O79" s="1390"/>
      <c r="P79" s="1379"/>
      <c r="Q79" s="121"/>
    </row>
    <row r="80" spans="1:17" ht="15" thickTop="1">
      <c r="A80" s="173"/>
      <c r="B80" s="1054" t="s">
        <v>2634</v>
      </c>
      <c r="C80" s="921" t="s">
        <v>421</v>
      </c>
      <c r="D80" s="921" t="s">
        <v>422</v>
      </c>
      <c r="E80" s="921" t="s">
        <v>423</v>
      </c>
      <c r="F80" s="921" t="s">
        <v>424</v>
      </c>
      <c r="G80" s="921" t="s">
        <v>425</v>
      </c>
      <c r="H80" s="882"/>
      <c r="I80" s="882"/>
      <c r="J80" s="882"/>
      <c r="K80" s="883"/>
      <c r="L80" s="884"/>
      <c r="M80" s="885"/>
      <c r="N80" s="1389"/>
      <c r="O80" s="1389"/>
      <c r="P80" s="1379"/>
      <c r="Q80" s="121"/>
    </row>
    <row r="81" spans="1:17" ht="15" thickBot="1">
      <c r="A81" s="173"/>
      <c r="B81" s="1055"/>
      <c r="C81" s="887">
        <v>100</v>
      </c>
      <c r="D81" s="887">
        <f>C81-$K19</f>
        <v>98</v>
      </c>
      <c r="E81" s="887">
        <f>D81-$K19</f>
        <v>96</v>
      </c>
      <c r="F81" s="887">
        <f>E81-$K19</f>
        <v>94</v>
      </c>
      <c r="G81" s="887">
        <f>F81-$K19</f>
        <v>92</v>
      </c>
      <c r="H81" s="887"/>
      <c r="I81" s="887"/>
      <c r="J81" s="887"/>
      <c r="K81" s="887"/>
      <c r="L81" s="887"/>
      <c r="M81" s="888"/>
      <c r="N81" s="1390"/>
      <c r="O81" s="1390"/>
      <c r="P81" s="1379"/>
      <c r="Q81" s="121"/>
    </row>
    <row r="82" spans="1:17" ht="15" thickTop="1">
      <c r="A82" s="173"/>
      <c r="B82" s="1056" t="s">
        <v>2653</v>
      </c>
      <c r="C82" s="213" t="s">
        <v>2654</v>
      </c>
      <c r="D82" s="213" t="s">
        <v>2655</v>
      </c>
      <c r="E82" s="213" t="s">
        <v>2656</v>
      </c>
      <c r="F82" s="213" t="s">
        <v>2657</v>
      </c>
      <c r="G82" s="213" t="s">
        <v>2658</v>
      </c>
      <c r="H82" s="882"/>
      <c r="I82" s="882"/>
      <c r="J82" s="882"/>
      <c r="K82" s="882"/>
      <c r="L82" s="882"/>
      <c r="M82" s="2762"/>
      <c r="N82" s="1390"/>
      <c r="O82" s="1390"/>
      <c r="P82" s="1379"/>
      <c r="Q82" s="121"/>
    </row>
    <row r="83" spans="1:17" ht="15" thickBot="1">
      <c r="A83" s="173"/>
      <c r="B83" s="1056"/>
      <c r="C83" s="887">
        <v>100</v>
      </c>
      <c r="D83" s="887">
        <f>C83-$K21</f>
        <v>98</v>
      </c>
      <c r="E83" s="887">
        <f t="shared" ref="E83:G83" si="19">D83-$K21</f>
        <v>96</v>
      </c>
      <c r="F83" s="887">
        <f t="shared" si="19"/>
        <v>94</v>
      </c>
      <c r="G83" s="887">
        <f t="shared" si="19"/>
        <v>92</v>
      </c>
      <c r="H83" s="1003"/>
      <c r="I83" s="1003"/>
      <c r="J83" s="1003"/>
      <c r="K83" s="1003"/>
      <c r="L83" s="1003"/>
      <c r="M83" s="793"/>
      <c r="N83" s="1390"/>
      <c r="O83" s="1390"/>
      <c r="P83" s="1379"/>
      <c r="Q83" s="121"/>
    </row>
    <row r="84" spans="1:17" ht="15" thickTop="1">
      <c r="A84" s="173"/>
      <c r="B84" s="1054" t="s">
        <v>1050</v>
      </c>
      <c r="C84" s="921" t="s">
        <v>421</v>
      </c>
      <c r="D84" s="921" t="s">
        <v>422</v>
      </c>
      <c r="E84" s="921" t="s">
        <v>423</v>
      </c>
      <c r="F84" s="921" t="s">
        <v>424</v>
      </c>
      <c r="G84" s="921" t="s">
        <v>425</v>
      </c>
      <c r="H84" s="882"/>
      <c r="I84" s="882"/>
      <c r="J84" s="882"/>
      <c r="K84" s="883"/>
      <c r="L84" s="884"/>
      <c r="M84" s="885"/>
      <c r="N84" s="1389"/>
      <c r="O84" s="1389"/>
      <c r="P84" s="1379"/>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90"/>
      <c r="O85" s="1390"/>
      <c r="P85" s="1379"/>
      <c r="Q85" s="121"/>
    </row>
    <row r="86" spans="1:17" s="40" customFormat="1" ht="14.25" thickTop="1">
      <c r="A86" s="1072"/>
      <c r="B86" s="1054" t="s">
        <v>1051</v>
      </c>
      <c r="C86" s="139" t="s">
        <v>3502</v>
      </c>
      <c r="D86" s="139" t="s">
        <v>3503</v>
      </c>
      <c r="E86" s="139" t="s">
        <v>3504</v>
      </c>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98</v>
      </c>
      <c r="E87" s="887">
        <f t="shared" si="20"/>
        <v>96</v>
      </c>
      <c r="F87" s="887">
        <f t="shared" si="20"/>
        <v>94</v>
      </c>
      <c r="G87" s="887">
        <f t="shared" si="20"/>
        <v>92</v>
      </c>
      <c r="H87" s="887">
        <f t="shared" si="20"/>
        <v>90</v>
      </c>
      <c r="I87" s="887">
        <f t="shared" si="20"/>
        <v>88</v>
      </c>
      <c r="J87" s="887">
        <f t="shared" si="20"/>
        <v>86</v>
      </c>
      <c r="K87" s="887">
        <f t="shared" si="20"/>
        <v>84</v>
      </c>
      <c r="L87" s="887">
        <f t="shared" si="20"/>
        <v>82</v>
      </c>
      <c r="M87" s="887">
        <f t="shared" si="20"/>
        <v>80</v>
      </c>
      <c r="N87" s="1390"/>
      <c r="O87" s="1390"/>
      <c r="P87" s="1379"/>
      <c r="Q87" s="121"/>
    </row>
    <row r="88" spans="1:17" s="40" customFormat="1" ht="14.25" thickTop="1">
      <c r="A88" s="1072"/>
      <c r="B88" s="1054" t="str">
        <f>B26</f>
        <v>平面位置/可视性</v>
      </c>
      <c r="C88" s="139" t="s">
        <v>3511</v>
      </c>
      <c r="D88" s="139" t="s">
        <v>3512</v>
      </c>
      <c r="E88" s="139" t="s">
        <v>3513</v>
      </c>
      <c r="F88" s="1386" t="s">
        <v>3514</v>
      </c>
      <c r="G88" s="139" t="s">
        <v>3515</v>
      </c>
      <c r="H88" s="139"/>
      <c r="I88" s="139"/>
      <c r="J88" s="139"/>
      <c r="K88" s="139"/>
      <c r="L88" s="139"/>
      <c r="M88" s="1385"/>
      <c r="N88" s="1388"/>
      <c r="O88" s="1388"/>
      <c r="P88" s="1379"/>
      <c r="Q88" s="121"/>
    </row>
    <row r="89" spans="1:17" s="40" customFormat="1" ht="15" thickBot="1">
      <c r="A89" s="1072"/>
      <c r="B89" s="1055"/>
      <c r="C89" s="903">
        <v>100</v>
      </c>
      <c r="D89" s="879">
        <v>98</v>
      </c>
      <c r="E89" s="879">
        <v>96</v>
      </c>
      <c r="F89" s="879">
        <v>94</v>
      </c>
      <c r="G89" s="879">
        <v>92</v>
      </c>
      <c r="H89" s="879"/>
      <c r="I89" s="879"/>
      <c r="J89" s="879"/>
      <c r="K89" s="879"/>
      <c r="L89" s="879"/>
      <c r="M89" s="879"/>
      <c r="N89" s="1390"/>
      <c r="O89" s="1390"/>
      <c r="P89" s="1379"/>
      <c r="Q89" s="121"/>
    </row>
    <row r="90" spans="1:17" s="1039" customFormat="1" ht="14.25" thickTop="1">
      <c r="A90" s="1058"/>
      <c r="B90" s="1054" t="str">
        <f>B27</f>
        <v>人流量</v>
      </c>
      <c r="C90" s="139" t="s">
        <v>3506</v>
      </c>
      <c r="D90" s="139" t="s">
        <v>3507</v>
      </c>
      <c r="E90" s="139" t="s">
        <v>3508</v>
      </c>
      <c r="F90" s="139" t="s">
        <v>3509</v>
      </c>
      <c r="G90" s="139" t="s">
        <v>3510</v>
      </c>
      <c r="H90" s="1059"/>
      <c r="I90" s="1059"/>
      <c r="J90" s="1059"/>
      <c r="K90" s="1059"/>
      <c r="L90" s="1060"/>
      <c r="M90" s="1061"/>
      <c r="N90" s="1391"/>
      <c r="O90" s="1391"/>
      <c r="P90" s="1380"/>
      <c r="Q90" s="1063"/>
    </row>
    <row r="91" spans="1:17" s="1039" customFormat="1" ht="15" thickBot="1">
      <c r="A91" s="1058"/>
      <c r="B91" s="1055"/>
      <c r="C91" s="925">
        <v>100</v>
      </c>
      <c r="D91" s="887">
        <f>C91-$K27</f>
        <v>98</v>
      </c>
      <c r="E91" s="887">
        <f t="shared" ref="E91:M91" si="21">D91-$K27</f>
        <v>96</v>
      </c>
      <c r="F91" s="887">
        <f t="shared" si="21"/>
        <v>94</v>
      </c>
      <c r="G91" s="887">
        <f t="shared" si="21"/>
        <v>92</v>
      </c>
      <c r="H91" s="887">
        <f t="shared" si="21"/>
        <v>90</v>
      </c>
      <c r="I91" s="887">
        <f t="shared" si="21"/>
        <v>88</v>
      </c>
      <c r="J91" s="887">
        <f t="shared" si="21"/>
        <v>86</v>
      </c>
      <c r="K91" s="887">
        <f t="shared" si="21"/>
        <v>84</v>
      </c>
      <c r="L91" s="887">
        <f t="shared" si="21"/>
        <v>82</v>
      </c>
      <c r="M91" s="887">
        <f t="shared" si="21"/>
        <v>80</v>
      </c>
      <c r="N91" s="1391"/>
      <c r="O91" s="1391"/>
      <c r="P91" s="1380"/>
      <c r="Q91" s="1063"/>
    </row>
    <row r="92" spans="1:17" ht="27.75" thickTop="1">
      <c r="A92" s="173"/>
      <c r="B92" s="1054" t="str">
        <f>B28</f>
        <v>楼层</v>
      </c>
      <c r="C92" s="139" t="s">
        <v>3516</v>
      </c>
      <c r="D92" s="139" t="s">
        <v>3517</v>
      </c>
      <c r="E92" s="139"/>
      <c r="F92" s="139"/>
      <c r="G92" s="139"/>
      <c r="H92" s="139"/>
      <c r="I92" s="139"/>
      <c r="J92" s="139"/>
      <c r="K92" s="139"/>
      <c r="L92" s="1384"/>
      <c r="M92" s="1385"/>
      <c r="N92" s="1389"/>
      <c r="O92" s="1389"/>
      <c r="P92" s="1379"/>
      <c r="Q92" s="121"/>
    </row>
    <row r="93" spans="1:17" ht="15" thickBot="1">
      <c r="A93" s="173"/>
      <c r="B93" s="1055"/>
      <c r="C93" s="879">
        <v>100</v>
      </c>
      <c r="D93" s="879">
        <v>90</v>
      </c>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1052</v>
      </c>
      <c r="B100" s="286" t="s">
        <v>1053</v>
      </c>
      <c r="C100" s="122" t="s">
        <v>3518</v>
      </c>
      <c r="D100" s="122" t="s">
        <v>3519</v>
      </c>
      <c r="E100" s="122" t="s">
        <v>3520</v>
      </c>
      <c r="F100" s="122" t="s">
        <v>3521</v>
      </c>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98</v>
      </c>
      <c r="E101" s="887">
        <f t="shared" si="22"/>
        <v>96</v>
      </c>
      <c r="F101" s="887">
        <f t="shared" si="22"/>
        <v>94</v>
      </c>
      <c r="G101" s="887">
        <f t="shared" si="22"/>
        <v>92</v>
      </c>
      <c r="H101" s="887">
        <f t="shared" si="22"/>
        <v>90</v>
      </c>
      <c r="I101" s="887">
        <f t="shared" si="22"/>
        <v>88</v>
      </c>
      <c r="J101" s="887">
        <f t="shared" si="22"/>
        <v>86</v>
      </c>
      <c r="K101" s="887">
        <f t="shared" si="22"/>
        <v>84</v>
      </c>
      <c r="L101" s="887">
        <f t="shared" si="22"/>
        <v>82</v>
      </c>
      <c r="M101" s="888">
        <f t="shared" si="22"/>
        <v>80</v>
      </c>
      <c r="N101" s="1390"/>
      <c r="O101" s="1390"/>
      <c r="P101" s="1379"/>
      <c r="Q101" s="121"/>
    </row>
    <row r="102" spans="1:17" ht="29.25" thickTop="1">
      <c r="A102" s="173"/>
      <c r="B102" s="1054" t="s">
        <v>1054</v>
      </c>
      <c r="C102" s="921" t="str">
        <f>C103&amp;"(含)"&amp;"-"&amp;D103</f>
        <v>0(含)-100000</v>
      </c>
      <c r="D102" s="921" t="str">
        <f t="shared" ref="D102:L102" si="23">D103&amp;"(含)"&amp;"-"&amp;E103</f>
        <v>100000(含)-200000</v>
      </c>
      <c r="E102" s="921" t="str">
        <f t="shared" si="23"/>
        <v>200000(含)-300000</v>
      </c>
      <c r="F102" s="921" t="str">
        <f t="shared" si="23"/>
        <v>300000(含)-400000</v>
      </c>
      <c r="G102" s="921" t="str">
        <f t="shared" si="23"/>
        <v>400000(含)-500000</v>
      </c>
      <c r="H102" s="921" t="str">
        <f t="shared" si="23"/>
        <v>500000(含)-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v>0</v>
      </c>
      <c r="D103" s="938">
        <v>100000</v>
      </c>
      <c r="E103" s="938">
        <v>200000</v>
      </c>
      <c r="F103" s="938">
        <v>300000</v>
      </c>
      <c r="G103" s="938">
        <v>400000</v>
      </c>
      <c r="H103" s="938">
        <v>500000</v>
      </c>
      <c r="I103" s="938"/>
      <c r="J103" s="939"/>
      <c r="K103" s="939"/>
      <c r="L103" s="940"/>
      <c r="M103" s="941"/>
      <c r="N103" s="1391"/>
      <c r="O103" s="1391"/>
      <c r="P103" s="1380"/>
      <c r="Q103" s="1063"/>
    </row>
    <row r="104" spans="1:17" s="1039" customFormat="1" ht="15" thickBot="1">
      <c r="A104" s="1058"/>
      <c r="B104" s="1055"/>
      <c r="C104" s="903">
        <v>100</v>
      </c>
      <c r="D104" s="879">
        <v>101</v>
      </c>
      <c r="E104" s="879">
        <v>102</v>
      </c>
      <c r="F104" s="879">
        <v>103</v>
      </c>
      <c r="G104" s="879">
        <v>104</v>
      </c>
      <c r="H104" s="879">
        <v>105</v>
      </c>
      <c r="I104" s="879"/>
      <c r="J104" s="879"/>
      <c r="K104" s="879"/>
      <c r="L104" s="879"/>
      <c r="M104" s="880"/>
      <c r="N104" s="1390"/>
      <c r="O104" s="1390"/>
      <c r="P104" s="1380"/>
      <c r="Q104" s="1063"/>
    </row>
    <row r="105" spans="1:17" ht="14.25" thickTop="1">
      <c r="A105" s="175"/>
      <c r="B105" s="1054" t="s">
        <v>1055</v>
      </c>
      <c r="C105" s="139" t="s">
        <v>3469</v>
      </c>
      <c r="D105" s="139" t="s">
        <v>3470</v>
      </c>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90"/>
      <c r="O106" s="1390"/>
      <c r="P106" s="1379"/>
      <c r="Q106" s="121"/>
    </row>
    <row r="107" spans="1:17" ht="14.25" thickTop="1">
      <c r="A107" s="175"/>
      <c r="B107" s="1054" t="s">
        <v>1056</v>
      </c>
      <c r="C107" s="139" t="s">
        <v>3472</v>
      </c>
      <c r="D107" s="139" t="s">
        <v>3473</v>
      </c>
      <c r="E107" s="139" t="s">
        <v>3474</v>
      </c>
      <c r="F107" s="131" t="s">
        <v>3475</v>
      </c>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90"/>
      <c r="O108" s="1390"/>
      <c r="P108" s="1379"/>
      <c r="Q108" s="121"/>
    </row>
    <row r="109" spans="1:17" ht="15" thickTop="1">
      <c r="A109" s="175"/>
      <c r="B109" s="1054" t="s">
        <v>1057</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103</v>
      </c>
      <c r="E111" s="887">
        <f t="shared" ref="E111:M111" si="26">D111+$K36</f>
        <v>106</v>
      </c>
      <c r="F111" s="887">
        <f t="shared" si="26"/>
        <v>109</v>
      </c>
      <c r="G111" s="887">
        <f t="shared" si="26"/>
        <v>112</v>
      </c>
      <c r="H111" s="887">
        <f t="shared" si="26"/>
        <v>115</v>
      </c>
      <c r="I111" s="887">
        <f t="shared" si="26"/>
        <v>118</v>
      </c>
      <c r="J111" s="887">
        <f t="shared" si="26"/>
        <v>121</v>
      </c>
      <c r="K111" s="887">
        <f t="shared" si="26"/>
        <v>124</v>
      </c>
      <c r="L111" s="887">
        <f t="shared" si="26"/>
        <v>127</v>
      </c>
      <c r="M111" s="887">
        <f t="shared" si="26"/>
        <v>130</v>
      </c>
      <c r="N111" s="1390"/>
      <c r="O111" s="1390"/>
      <c r="P111" s="1379"/>
      <c r="Q111" s="121"/>
    </row>
    <row r="112" spans="1:17" s="1039" customFormat="1" ht="14.25" thickTop="1">
      <c r="A112" s="1073"/>
      <c r="B112" s="1054" t="s">
        <v>2636</v>
      </c>
      <c r="C112" s="139" t="s">
        <v>3483</v>
      </c>
      <c r="D112" s="139" t="s">
        <v>3484</v>
      </c>
      <c r="E112" s="139" t="s">
        <v>3523</v>
      </c>
      <c r="F112" s="139" t="s">
        <v>3524</v>
      </c>
      <c r="G112" s="139" t="s">
        <v>3525</v>
      </c>
      <c r="H112" s="131"/>
      <c r="I112" s="131"/>
      <c r="J112" s="131"/>
      <c r="K112" s="132"/>
      <c r="L112" s="133"/>
      <c r="M112" s="134"/>
      <c r="N112" s="1391"/>
      <c r="O112" s="1391"/>
      <c r="P112" s="1380"/>
      <c r="Q112" s="1063"/>
    </row>
    <row r="113" spans="1:17" s="1039" customFormat="1" ht="15" thickBot="1">
      <c r="A113" s="1058"/>
      <c r="B113" s="1055"/>
      <c r="C113" s="887">
        <v>100</v>
      </c>
      <c r="D113" s="887">
        <f>C113-$K37</f>
        <v>99</v>
      </c>
      <c r="E113" s="887">
        <f t="shared" ref="E113:M113" si="27">D113-$K37</f>
        <v>98</v>
      </c>
      <c r="F113" s="887">
        <f t="shared" si="27"/>
        <v>97</v>
      </c>
      <c r="G113" s="887">
        <f t="shared" si="27"/>
        <v>96</v>
      </c>
      <c r="H113" s="887">
        <f t="shared" si="27"/>
        <v>95</v>
      </c>
      <c r="I113" s="887">
        <f t="shared" si="27"/>
        <v>94</v>
      </c>
      <c r="J113" s="887">
        <f t="shared" si="27"/>
        <v>93</v>
      </c>
      <c r="K113" s="887">
        <f t="shared" si="27"/>
        <v>92</v>
      </c>
      <c r="L113" s="887">
        <f t="shared" si="27"/>
        <v>91</v>
      </c>
      <c r="M113" s="887">
        <f t="shared" si="27"/>
        <v>90</v>
      </c>
      <c r="N113" s="1391"/>
      <c r="O113" s="1391"/>
      <c r="P113" s="1380"/>
      <c r="Q113" s="1063"/>
    </row>
    <row r="114" spans="1:17" ht="14.25" thickTop="1">
      <c r="A114" s="175"/>
      <c r="B114" s="1054" t="s">
        <v>1058</v>
      </c>
      <c r="C114" s="139" t="s">
        <v>3526</v>
      </c>
      <c r="D114" s="139" t="s">
        <v>3527</v>
      </c>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95</v>
      </c>
      <c r="E115" s="887">
        <f t="shared" si="28"/>
        <v>90</v>
      </c>
      <c r="F115" s="887">
        <f t="shared" si="28"/>
        <v>85</v>
      </c>
      <c r="G115" s="887">
        <f t="shared" si="28"/>
        <v>80</v>
      </c>
      <c r="H115" s="887">
        <f t="shared" si="28"/>
        <v>75</v>
      </c>
      <c r="I115" s="887">
        <f t="shared" si="28"/>
        <v>70</v>
      </c>
      <c r="J115" s="887">
        <f t="shared" si="28"/>
        <v>65</v>
      </c>
      <c r="K115" s="887">
        <f t="shared" si="28"/>
        <v>60</v>
      </c>
      <c r="L115" s="887">
        <f t="shared" si="28"/>
        <v>55</v>
      </c>
      <c r="M115" s="888">
        <f t="shared" si="28"/>
        <v>50</v>
      </c>
      <c r="N115" s="1390"/>
      <c r="O115" s="1390"/>
      <c r="P115" s="1379"/>
      <c r="Q115" s="121"/>
    </row>
    <row r="116" spans="1:17" ht="14.25" thickTop="1">
      <c r="A116" s="175"/>
      <c r="B116" s="1054" t="s">
        <v>1059</v>
      </c>
      <c r="C116" s="139" t="s">
        <v>3528</v>
      </c>
      <c r="D116" s="139" t="s">
        <v>3529</v>
      </c>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97</v>
      </c>
      <c r="E117" s="887">
        <f>D117-$K39</f>
        <v>94</v>
      </c>
      <c r="F117" s="887">
        <f>E117-$K39</f>
        <v>91</v>
      </c>
      <c r="G117" s="887">
        <f>F117-$K39</f>
        <v>88</v>
      </c>
      <c r="H117" s="887"/>
      <c r="I117" s="887"/>
      <c r="J117" s="887"/>
      <c r="K117" s="887"/>
      <c r="L117" s="887"/>
      <c r="M117" s="888"/>
      <c r="N117" s="1390"/>
      <c r="O117" s="1390"/>
      <c r="P117" s="1379"/>
      <c r="Q117" s="121"/>
    </row>
    <row r="118" spans="1:17" ht="15" thickTop="1">
      <c r="A118" s="175"/>
      <c r="B118" s="1054" t="s">
        <v>1060</v>
      </c>
      <c r="C118" s="970" t="s">
        <v>3596</v>
      </c>
      <c r="D118" s="970">
        <v>86</v>
      </c>
      <c r="E118" s="970">
        <v>100</v>
      </c>
      <c r="F118" s="970">
        <v>106</v>
      </c>
      <c r="G118" s="970"/>
      <c r="H118" s="898"/>
      <c r="I118" s="898"/>
      <c r="J118" s="898"/>
      <c r="K118" s="898"/>
      <c r="L118" s="899"/>
      <c r="M118" s="900"/>
      <c r="N118" s="1389"/>
      <c r="O118" s="1389"/>
      <c r="P118" s="1379"/>
      <c r="Q118" s="121"/>
    </row>
    <row r="119" spans="1:17" ht="15" thickBot="1">
      <c r="A119" s="173"/>
      <c r="B119" s="1055"/>
      <c r="C119" s="903">
        <v>100</v>
      </c>
      <c r="D119" s="879">
        <v>100</v>
      </c>
      <c r="E119" s="879">
        <v>100</v>
      </c>
      <c r="F119" s="879">
        <v>100</v>
      </c>
      <c r="G119" s="879"/>
      <c r="H119" s="879"/>
      <c r="I119" s="879"/>
      <c r="J119" s="879"/>
      <c r="K119" s="879"/>
      <c r="L119" s="879"/>
      <c r="M119" s="880"/>
      <c r="N119" s="1390"/>
      <c r="O119" s="1390"/>
      <c r="P119" s="1379"/>
      <c r="Q119" s="121"/>
    </row>
    <row r="120" spans="1:17" s="1039" customFormat="1" ht="14.25" thickTop="1">
      <c r="A120" s="1073"/>
      <c r="B120" s="1054" t="s">
        <v>1061</v>
      </c>
      <c r="C120" s="131" t="s">
        <v>3530</v>
      </c>
      <c r="D120" s="131" t="s">
        <v>3531</v>
      </c>
      <c r="E120" s="131" t="s">
        <v>3508</v>
      </c>
      <c r="F120" s="131" t="s">
        <v>3532</v>
      </c>
      <c r="G120" s="1059" t="s">
        <v>3533</v>
      </c>
      <c r="H120" s="1059"/>
      <c r="I120" s="1059"/>
      <c r="J120" s="1059"/>
      <c r="K120" s="1059"/>
      <c r="L120" s="1060"/>
      <c r="M120" s="1061"/>
      <c r="N120" s="1391"/>
      <c r="O120" s="1391"/>
      <c r="P120" s="1380"/>
      <c r="Q120" s="1063"/>
    </row>
    <row r="121" spans="1:17" s="1039" customFormat="1" ht="15" thickBot="1">
      <c r="A121" s="1058"/>
      <c r="B121" s="1053"/>
      <c r="C121" s="925">
        <v>100</v>
      </c>
      <c r="D121" s="887">
        <f>C121-$K41</f>
        <v>98</v>
      </c>
      <c r="E121" s="887">
        <f t="shared" ref="E121:M121" si="29">D121-$K41</f>
        <v>96</v>
      </c>
      <c r="F121" s="887">
        <f t="shared" si="29"/>
        <v>94</v>
      </c>
      <c r="G121" s="887">
        <f t="shared" si="29"/>
        <v>92</v>
      </c>
      <c r="H121" s="887">
        <f t="shared" si="29"/>
        <v>90</v>
      </c>
      <c r="I121" s="887">
        <f t="shared" si="29"/>
        <v>88</v>
      </c>
      <c r="J121" s="887">
        <f t="shared" si="29"/>
        <v>86</v>
      </c>
      <c r="K121" s="887">
        <f t="shared" si="29"/>
        <v>84</v>
      </c>
      <c r="L121" s="887">
        <f t="shared" si="29"/>
        <v>82</v>
      </c>
      <c r="M121" s="888">
        <f t="shared" si="29"/>
        <v>80</v>
      </c>
      <c r="N121" s="1391"/>
      <c r="O121" s="1391"/>
      <c r="P121" s="1380"/>
      <c r="Q121" s="1063"/>
    </row>
    <row r="122" spans="1:17" ht="14.25" thickTop="1">
      <c r="A122" s="175"/>
      <c r="B122" s="1054" t="s">
        <v>1062</v>
      </c>
      <c r="C122" s="139" t="s">
        <v>3472</v>
      </c>
      <c r="D122" s="139" t="s">
        <v>3473</v>
      </c>
      <c r="E122" s="139" t="s">
        <v>3474</v>
      </c>
      <c r="F122" s="131" t="s">
        <v>3475</v>
      </c>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98</v>
      </c>
      <c r="E123" s="887">
        <f t="shared" si="30"/>
        <v>96</v>
      </c>
      <c r="F123" s="887">
        <f t="shared" si="30"/>
        <v>94</v>
      </c>
      <c r="G123" s="887">
        <f t="shared" si="30"/>
        <v>92</v>
      </c>
      <c r="H123" s="887">
        <f t="shared" si="30"/>
        <v>90</v>
      </c>
      <c r="I123" s="887">
        <f t="shared" si="30"/>
        <v>88</v>
      </c>
      <c r="J123" s="887">
        <f t="shared" si="30"/>
        <v>86</v>
      </c>
      <c r="K123" s="887">
        <f t="shared" si="30"/>
        <v>84</v>
      </c>
      <c r="L123" s="887">
        <f t="shared" si="30"/>
        <v>82</v>
      </c>
      <c r="M123" s="888">
        <f t="shared" si="30"/>
        <v>80</v>
      </c>
      <c r="N123" s="1390"/>
      <c r="O123" s="1390"/>
      <c r="P123" s="1379"/>
      <c r="Q123" s="121"/>
    </row>
    <row r="124" spans="1:17" ht="27.75" thickTop="1">
      <c r="A124" s="175"/>
      <c r="B124" s="1054" t="s">
        <v>1063</v>
      </c>
      <c r="C124" s="181" t="s">
        <v>1044</v>
      </c>
      <c r="D124" s="181" t="s">
        <v>1045</v>
      </c>
      <c r="E124" s="181" t="s">
        <v>1046</v>
      </c>
      <c r="F124" s="181" t="s">
        <v>1047</v>
      </c>
      <c r="G124" s="181" t="s">
        <v>1048</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2 H52">
    <cfRule type="containsText" dxfId="140" priority="17" stopIfTrue="1" operator="containsText" text="超过">
      <formula>NOT(ISERROR(SEARCH("超过",F52)))</formula>
    </cfRule>
  </conditionalFormatting>
  <conditionalFormatting sqref="H54">
    <cfRule type="containsText" dxfId="139" priority="15" stopIfTrue="1" operator="containsText" text="超过">
      <formula>NOT(ISERROR(SEARCH("超过",H54)))</formula>
    </cfRule>
  </conditionalFormatting>
  <conditionalFormatting sqref="F54">
    <cfRule type="containsText" dxfId="138" priority="14" stopIfTrue="1" operator="containsText" text="超过">
      <formula>NOT(ISERROR(SEARCH("超过",F54)))</formula>
    </cfRule>
  </conditionalFormatting>
  <conditionalFormatting sqref="F53 H53">
    <cfRule type="containsText" dxfId="137" priority="13" stopIfTrue="1" operator="containsText" text="超过">
      <formula>NOT(ISERROR(SEARCH("超过",F53)))</formula>
    </cfRule>
  </conditionalFormatting>
  <conditionalFormatting sqref="E52">
    <cfRule type="expression" dxfId="136" priority="12"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4">
    <cfRule type="expression" dxfId="133" priority="9" stopIfTrue="1">
      <formula>$H$54="超过30%"</formula>
    </cfRule>
  </conditionalFormatting>
  <conditionalFormatting sqref="G52">
    <cfRule type="expression" dxfId="132" priority="8" stopIfTrue="1">
      <formula>$H$52="超过30%"</formula>
    </cfRule>
  </conditionalFormatting>
  <conditionalFormatting sqref="G53">
    <cfRule type="expression" dxfId="131" priority="7" stopIfTrue="1">
      <formula>$H$53="超过20%"</formula>
    </cfRule>
  </conditionalFormatting>
  <conditionalFormatting sqref="J52">
    <cfRule type="containsText" dxfId="130" priority="6" stopIfTrue="1" operator="containsText" text="超过">
      <formula>NOT(ISERROR(SEARCH("超过",J52)))</formula>
    </cfRule>
  </conditionalFormatting>
  <conditionalFormatting sqref="J54">
    <cfRule type="containsText" dxfId="129" priority="5" stopIfTrue="1" operator="containsText" text="超过">
      <formula>NOT(ISERROR(SEARCH("超过",J54)))</formula>
    </cfRule>
  </conditionalFormatting>
  <conditionalFormatting sqref="J53">
    <cfRule type="containsText" dxfId="128" priority="4" stopIfTrue="1" operator="containsText" text="超过">
      <formula>NOT(ISERROR(SEARCH("超过",J53)))</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3" t="s">
        <v>2004</v>
      </c>
    </row>
    <row r="2" spans="1:1">
      <c r="A2" s="1944"/>
    </row>
    <row r="3" spans="1:1" ht="18.75">
      <c r="A3" s="2886" t="str">
        <f>项目基本情况!B5&amp;"："</f>
        <v>北京丰科建房地产开发有限公司：</v>
      </c>
    </row>
    <row r="4" spans="1:1" ht="37.5">
      <c r="A4" s="1945" t="str">
        <f>"受贵公司委托，我公司对"&amp;项目基本情况!S1&amp;"进行了预评估。"</f>
        <v>受贵公司委托，我公司对北京市丰台区汽车博物馆西路8号院1、2、3号楼房地产抵押价值进行了预评估。</v>
      </c>
    </row>
    <row r="5" spans="1:1" ht="18.75">
      <c r="A5" s="1946" t="s">
        <v>2005</v>
      </c>
    </row>
    <row r="6" spans="1:1" ht="18.75">
      <c r="A6" s="3053" t="s">
        <v>2869</v>
      </c>
    </row>
    <row r="7" spans="1:1" ht="7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汽车博物馆西路8号院1、2、3号楼房地产，为北京丰科建房地产开发有限公司所有。根据《国有土地使用证》[]，估价对象（分摊）出让国有建设用地使用权面积为15994.67平方米，建筑面积为66965.3200000001平方米。</v>
      </c>
    </row>
    <row r="8" spans="1:1" ht="56.25">
      <c r="A8" s="1989" t="s">
        <v>2862</v>
      </c>
    </row>
    <row r="9" spans="1:1" ht="18.75">
      <c r="A9" s="3053" t="s">
        <v>2870</v>
      </c>
    </row>
    <row r="10" spans="1:1" ht="93.75">
      <c r="A10" s="1945"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汽车博物馆西路8号院1、2、3号楼房地产,属北京丰科建房地产开发有限公司开发建设的综合项目（商业、办公），该项目尚在开发建设中。根据《国有土地使用证》[]，估价对象（分摊）出让国有建设用地使用权面积为15994.67平方米，规划建筑面积为66965.3200000001平方米。</v>
      </c>
    </row>
    <row r="11" spans="1:1" ht="75">
      <c r="A11" s="1989" t="s">
        <v>2904</v>
      </c>
    </row>
    <row r="12" spans="1:1" ht="18.75">
      <c r="A12" s="1946" t="s">
        <v>2006</v>
      </c>
    </row>
    <row r="13" spans="1:1" ht="38.25" customHeight="1">
      <c r="A13" s="1947" t="str">
        <f>IF(项目基本情况!B8="抵押",IF(项目基本情况!B5=项目基本情况!B6,定义!C51,定义!B51),定义!D51)</f>
        <v>为估价委托人在向中信银行股份有限公司富力支行办理贷款手续过程中，确定房地产抵押贷款额度提供参考依据而评估房地产抵押价值。</v>
      </c>
    </row>
    <row r="14" spans="1:1" ht="18.75">
      <c r="A14" s="1948" t="s">
        <v>2007</v>
      </c>
    </row>
    <row r="15" spans="1:1" ht="18.75">
      <c r="A15" s="1949" t="str">
        <f>TEXT(项目基本情况!D3,"yyyy年m月d日;;")&amp;IF(项目基本情况!D3=项目基本情况!B3,"（评估专业人员实地查勘之日）","")</f>
        <v>2017年8月9日（评估专业人员实地查勘之日）</v>
      </c>
    </row>
    <row r="16" spans="1:1" ht="18.75">
      <c r="A16" s="1948" t="s">
        <v>2009</v>
      </c>
    </row>
    <row r="17" spans="1:1" ht="75">
      <c r="A17" s="1945" t="s">
        <v>2863</v>
      </c>
    </row>
    <row r="18" spans="1:1" ht="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9日，估价对象规划用途为商业、办公，土地取得方式为出让，出让国有建设用地使用权剩余土地使用年限为商业34年、办公44.01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六通”（即通路、通电、通讯、通上水、通下水、燃气）、红线内场地平整条件下，剩余土地使用年限为商业34年、办公44.01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
        <v>2864</v>
      </c>
    </row>
    <row r="22" spans="1:1" ht="56.25">
      <c r="A22" s="1945"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2024</v>
      </c>
    </row>
    <row r="24" spans="1:1" ht="18.75">
      <c r="A24" s="1952" t="str">
        <f>"本次评估采用的主估价方法为"&amp;'结果表（商业）'!K4&amp;"和"&amp;'结果表（商业）'!L4&amp;"。"</f>
        <v>本次评估采用的主估价方法为比较法和收益法。</v>
      </c>
    </row>
    <row r="25" spans="1:1" ht="18.75">
      <c r="A25" s="1952"/>
    </row>
    <row r="26" spans="1:1" ht="18.75">
      <c r="A26" s="2080" t="s">
        <v>2106</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password="C66D"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H41" sqref="H4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104</v>
      </c>
      <c r="B1" s="3102" t="s">
        <v>1</v>
      </c>
      <c r="C1" s="3103" t="s">
        <v>124</v>
      </c>
      <c r="D1" s="3104"/>
      <c r="E1" s="3107"/>
      <c r="F1" s="3106" t="s">
        <v>3560</v>
      </c>
      <c r="G1" s="3108" t="s">
        <v>125</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169</v>
      </c>
      <c r="B2" s="2844">
        <f>IF(C2="——",ROUND(C49*D3/10000,0),ROUND(C49*D3/10000,0)-D2)</f>
        <v>54</v>
      </c>
      <c r="C2" s="3098" t="s">
        <v>526</v>
      </c>
      <c r="D2" s="2721" t="e">
        <f ca="1">SUMIF(INDIRECT("'"&amp;F2&amp;"'"&amp;"!A:A"),"承租人权益价值",INDIRECT("'"&amp;F2&amp;"'"&amp;"!c:c"))</f>
        <v>#REF!</v>
      </c>
      <c r="E2" s="3099" t="s">
        <v>864</v>
      </c>
      <c r="F2" s="3100"/>
      <c r="G2" s="2315"/>
      <c r="H2" s="2315"/>
      <c r="I2" s="2315"/>
      <c r="J2" s="2315"/>
      <c r="K2" s="2315"/>
      <c r="L2" s="2316"/>
      <c r="M2" s="2317"/>
      <c r="N2" s="2317"/>
      <c r="O2" s="2317"/>
      <c r="P2" s="2319"/>
      <c r="Q2" s="2317"/>
      <c r="R2" s="2317"/>
      <c r="S2" s="2317"/>
      <c r="T2" s="2317"/>
      <c r="U2" s="2317"/>
      <c r="V2" s="2317"/>
      <c r="W2" s="2317"/>
      <c r="X2" s="2317"/>
      <c r="Y2" s="2317"/>
      <c r="Z2" s="2317"/>
      <c r="AA2" s="2317"/>
      <c r="AB2" s="2317"/>
      <c r="AC2" s="2320"/>
    </row>
    <row r="3" spans="1:29" s="90" customFormat="1" ht="28.5" customHeight="1" thickBot="1">
      <c r="A3" s="87" t="s">
        <v>170</v>
      </c>
      <c r="B3" s="952">
        <f>IF(C2="——",C49,ROUND(B2*10000/D3,0))</f>
        <v>8</v>
      </c>
      <c r="C3" s="142" t="s">
        <v>164</v>
      </c>
      <c r="D3" s="742">
        <f>IF(D1="",'数据-汇总表'!E3,SUMIF('数据-汇总表'!$C19:$C33,D1,'数据-汇总表'!$E19:$E33))</f>
        <v>66965.320000000065</v>
      </c>
      <c r="E3" s="2313"/>
      <c r="F3" s="2314"/>
      <c r="G3" s="2315"/>
      <c r="H3" s="2315"/>
      <c r="I3" s="2315"/>
      <c r="J3" s="2315"/>
      <c r="K3" s="2318"/>
      <c r="L3" s="2316"/>
      <c r="M3" s="2317"/>
      <c r="N3" s="2317"/>
      <c r="O3" s="2317"/>
      <c r="P3" s="2319"/>
      <c r="Q3" s="2317"/>
      <c r="R3" s="2317"/>
      <c r="S3" s="2317"/>
      <c r="T3" s="2317"/>
      <c r="U3" s="2317"/>
      <c r="V3" s="2317"/>
      <c r="W3" s="2317"/>
      <c r="X3" s="2317"/>
      <c r="Y3" s="2317"/>
      <c r="Z3" s="2317"/>
      <c r="AA3" s="2317"/>
      <c r="AB3" s="2317"/>
      <c r="AC3" s="2313"/>
    </row>
    <row r="4" spans="1:29">
      <c r="A4" s="143" t="s">
        <v>53</v>
      </c>
      <c r="B4" s="144"/>
      <c r="C4" s="3612" t="s">
        <v>54</v>
      </c>
      <c r="D4" s="3613"/>
      <c r="E4" s="3614" t="s">
        <v>55</v>
      </c>
      <c r="F4" s="3615"/>
      <c r="G4" s="3612" t="s">
        <v>56</v>
      </c>
      <c r="H4" s="3613"/>
      <c r="I4" s="3612" t="s">
        <v>57</v>
      </c>
      <c r="J4" s="3613"/>
      <c r="K4" s="187" t="s">
        <v>58</v>
      </c>
      <c r="L4" s="2292"/>
      <c r="M4" s="2293"/>
      <c r="N4" s="2293"/>
      <c r="O4" s="2293"/>
      <c r="P4" s="3616" t="s">
        <v>53</v>
      </c>
      <c r="Q4" s="3617"/>
      <c r="R4" s="3599" t="s">
        <v>55</v>
      </c>
      <c r="S4" s="3600"/>
      <c r="T4" s="3599" t="s">
        <v>56</v>
      </c>
      <c r="U4" s="3600"/>
      <c r="V4" s="3624" t="s">
        <v>57</v>
      </c>
      <c r="W4" s="3624"/>
      <c r="X4" s="3363"/>
      <c r="Y4" s="3599" t="s">
        <v>53</v>
      </c>
      <c r="Z4" s="3600"/>
      <c r="AA4" s="3594" t="s">
        <v>55</v>
      </c>
      <c r="AB4" s="3624" t="s">
        <v>56</v>
      </c>
      <c r="AC4" s="3594" t="s">
        <v>57</v>
      </c>
    </row>
    <row r="5" spans="1:29">
      <c r="A5" s="146"/>
      <c r="B5" s="147"/>
      <c r="C5" s="3605" t="s">
        <v>3456</v>
      </c>
      <c r="D5" s="3606"/>
      <c r="E5" s="3603" t="s">
        <v>3561</v>
      </c>
      <c r="F5" s="3604"/>
      <c r="G5" s="3605" t="s">
        <v>3494</v>
      </c>
      <c r="H5" s="3606"/>
      <c r="I5" s="3603" t="s">
        <v>3561</v>
      </c>
      <c r="J5" s="3604"/>
      <c r="K5" s="187"/>
      <c r="L5" s="2292"/>
      <c r="M5" s="2293"/>
      <c r="N5" s="2293"/>
      <c r="O5" s="2293"/>
      <c r="P5" s="3618"/>
      <c r="Q5" s="3619"/>
      <c r="R5" s="3601"/>
      <c r="S5" s="3602"/>
      <c r="T5" s="3601"/>
      <c r="U5" s="3602"/>
      <c r="V5" s="3624"/>
      <c r="W5" s="3624"/>
      <c r="X5" s="3363"/>
      <c r="Y5" s="3601"/>
      <c r="Z5" s="3602"/>
      <c r="AA5" s="3595"/>
      <c r="AB5" s="3624"/>
      <c r="AC5" s="3595"/>
    </row>
    <row r="6" spans="1:29" ht="14.25" customHeight="1" thickBot="1">
      <c r="A6" s="148"/>
      <c r="B6" s="149"/>
      <c r="C6" s="3607" t="str">
        <f>'比较法-办公'!C6:D6</f>
        <v>丰台区汽车博物馆西路8号院</v>
      </c>
      <c r="D6" s="3608"/>
      <c r="E6" s="3609" t="s">
        <v>3537</v>
      </c>
      <c r="F6" s="3610"/>
      <c r="G6" s="3607" t="s">
        <v>3538</v>
      </c>
      <c r="H6" s="3608"/>
      <c r="I6" s="3609" t="s">
        <v>3537</v>
      </c>
      <c r="J6" s="3610"/>
      <c r="K6" s="187" t="s">
        <v>113</v>
      </c>
      <c r="L6" s="2292"/>
      <c r="M6" s="2293"/>
      <c r="N6" s="2293"/>
      <c r="O6" s="2293"/>
      <c r="P6" s="3620"/>
      <c r="Q6" s="3621"/>
      <c r="R6" s="3601"/>
      <c r="S6" s="3602"/>
      <c r="T6" s="3622"/>
      <c r="U6" s="3623"/>
      <c r="V6" s="3624"/>
      <c r="W6" s="3624"/>
      <c r="X6" s="3363"/>
      <c r="Y6" s="3622"/>
      <c r="Z6" s="3623"/>
      <c r="AA6" s="3596"/>
      <c r="AB6" s="3624"/>
      <c r="AC6" s="3596"/>
    </row>
    <row r="7" spans="1:29" s="40" customFormat="1" ht="15" thickBot="1">
      <c r="A7" s="1014" t="s">
        <v>60</v>
      </c>
      <c r="B7" s="1015"/>
      <c r="C7" s="1016">
        <f>'数据-取费表'!B2</f>
        <v>42956</v>
      </c>
      <c r="D7" s="754">
        <v>100</v>
      </c>
      <c r="E7" s="1017">
        <v>42948</v>
      </c>
      <c r="F7" s="756">
        <f>SUMIF(58:58,YEAR(E7)&amp;"-"&amp;MONTH(E7),59:59)</f>
        <v>100</v>
      </c>
      <c r="G7" s="1017">
        <v>42948</v>
      </c>
      <c r="H7" s="754">
        <f>SUMIF(58:58,YEAR(G7)&amp;"-"&amp;MONTH(G7),59:59)</f>
        <v>100</v>
      </c>
      <c r="I7" s="1017">
        <v>42948</v>
      </c>
      <c r="J7" s="754">
        <f>SUMIF(58:58,YEAR(I7)&amp;"-"&amp;MONTH(I7),59:59)</f>
        <v>100</v>
      </c>
      <c r="K7" s="1019"/>
      <c r="L7" s="2294"/>
      <c r="M7" s="2256"/>
      <c r="N7" s="2256"/>
      <c r="O7" s="2256"/>
      <c r="P7" s="3597" t="s">
        <v>60</v>
      </c>
      <c r="Q7" s="3625"/>
      <c r="R7" s="1342" t="s">
        <v>61</v>
      </c>
      <c r="S7" s="1343">
        <f t="shared" ref="S7:S15" si="0">F7</f>
        <v>100</v>
      </c>
      <c r="T7" s="1342" t="s">
        <v>61</v>
      </c>
      <c r="U7" s="1343">
        <f t="shared" ref="U7:U15" si="1">H7</f>
        <v>100</v>
      </c>
      <c r="V7" s="1342" t="s">
        <v>61</v>
      </c>
      <c r="W7" s="1343">
        <f t="shared" ref="W7:W15" si="2">J7</f>
        <v>100</v>
      </c>
      <c r="X7" s="287"/>
      <c r="Y7" s="3597" t="s">
        <v>60</v>
      </c>
      <c r="Z7" s="3598"/>
      <c r="AA7" s="1344">
        <f>D7/F7</f>
        <v>1</v>
      </c>
      <c r="AB7" s="1344">
        <f>D7/H7</f>
        <v>1</v>
      </c>
      <c r="AC7" s="1344">
        <f>D7/J7</f>
        <v>1</v>
      </c>
    </row>
    <row r="8" spans="1:29" s="40" customFormat="1" ht="15" thickBot="1">
      <c r="A8" s="1014" t="s">
        <v>62</v>
      </c>
      <c r="B8" s="1015"/>
      <c r="C8" s="1020" t="s">
        <v>112</v>
      </c>
      <c r="D8" s="754">
        <v>100</v>
      </c>
      <c r="E8" s="1020" t="s">
        <v>151</v>
      </c>
      <c r="F8" s="756">
        <f>SUMIF(61:61,E8,62:62)-SUMIF(61:61,C8,62:62)+100</f>
        <v>100</v>
      </c>
      <c r="G8" s="1020" t="s">
        <v>151</v>
      </c>
      <c r="H8" s="754">
        <f>SUMIF(61:61,G8,62:62)-SUMIF(61:61,C8,62:62)+100</f>
        <v>100</v>
      </c>
      <c r="I8" s="1020" t="s">
        <v>151</v>
      </c>
      <c r="J8" s="754">
        <f>SUMIF(61:61,I8,62:62)-SUMIF(61:61,C8,62:62)+100</f>
        <v>100</v>
      </c>
      <c r="K8" s="1019"/>
      <c r="L8" s="2294"/>
      <c r="M8" s="2256"/>
      <c r="N8" s="2256"/>
      <c r="O8" s="2256"/>
      <c r="P8" s="3597" t="s">
        <v>62</v>
      </c>
      <c r="Q8" s="3598"/>
      <c r="R8" s="1342" t="s">
        <v>61</v>
      </c>
      <c r="S8" s="1343">
        <f t="shared" si="0"/>
        <v>100</v>
      </c>
      <c r="T8" s="1342" t="s">
        <v>61</v>
      </c>
      <c r="U8" s="1343">
        <f t="shared" si="1"/>
        <v>100</v>
      </c>
      <c r="V8" s="1342" t="s">
        <v>61</v>
      </c>
      <c r="W8" s="1343">
        <f t="shared" si="2"/>
        <v>100</v>
      </c>
      <c r="X8" s="287"/>
      <c r="Y8" s="3597" t="s">
        <v>62</v>
      </c>
      <c r="Z8" s="3598"/>
      <c r="AA8" s="1344">
        <f t="shared" ref="AA8:AA46" si="3">D8/F8</f>
        <v>1</v>
      </c>
      <c r="AB8" s="1344">
        <f t="shared" ref="AB8:AB46" si="4">D8/H8</f>
        <v>1</v>
      </c>
      <c r="AC8" s="1344">
        <f t="shared" ref="AC8:AC46" si="5">D8/J8</f>
        <v>1</v>
      </c>
    </row>
    <row r="9" spans="1:29" s="40" customFormat="1" ht="14.25">
      <c r="A9" s="1021" t="s">
        <v>63</v>
      </c>
      <c r="B9" s="62" t="s">
        <v>64</v>
      </c>
      <c r="C9" s="1346" t="s">
        <v>3499</v>
      </c>
      <c r="D9" s="425">
        <v>100</v>
      </c>
      <c r="E9" s="1347" t="s">
        <v>3044</v>
      </c>
      <c r="F9" s="761">
        <f>SUMIF(63:63,E9,64:64)-SUMIF(63:63,C9,64:64)+100</f>
        <v>100</v>
      </c>
      <c r="G9" s="1347" t="s">
        <v>3044</v>
      </c>
      <c r="H9" s="425">
        <f>SUMIF(63:63,G9,64:64)-SUMIF(63:63,C9,64:64)+100</f>
        <v>100</v>
      </c>
      <c r="I9" s="1347" t="s">
        <v>3044</v>
      </c>
      <c r="J9" s="425">
        <f>SUMIF(63:63,I9,64:64)-SUMIF(63:63,C9,64:64)+100</f>
        <v>100</v>
      </c>
      <c r="K9" s="1019"/>
      <c r="L9" s="2294"/>
      <c r="M9" s="2256"/>
      <c r="N9" s="2256"/>
      <c r="O9" s="2256"/>
      <c r="P9" s="3611" t="s">
        <v>63</v>
      </c>
      <c r="Q9" s="3357" t="str">
        <f t="shared" ref="Q9:Q15" si="6">B9</f>
        <v>用途</v>
      </c>
      <c r="R9" s="1342" t="s">
        <v>61</v>
      </c>
      <c r="S9" s="1343">
        <f t="shared" si="0"/>
        <v>100</v>
      </c>
      <c r="T9" s="1342" t="s">
        <v>61</v>
      </c>
      <c r="U9" s="1343">
        <f t="shared" si="1"/>
        <v>100</v>
      </c>
      <c r="V9" s="1342" t="s">
        <v>61</v>
      </c>
      <c r="W9" s="1343">
        <f t="shared" si="2"/>
        <v>100</v>
      </c>
      <c r="X9" s="287"/>
      <c r="Y9" s="3435" t="s">
        <v>63</v>
      </c>
      <c r="Z9" s="3358" t="str">
        <f t="shared" ref="Z9:Z15" si="7">Q9</f>
        <v>用途</v>
      </c>
      <c r="AA9" s="1344">
        <f t="shared" si="3"/>
        <v>1</v>
      </c>
      <c r="AB9" s="1344">
        <f t="shared" si="4"/>
        <v>1</v>
      </c>
      <c r="AC9" s="1344">
        <f t="shared" si="5"/>
        <v>1</v>
      </c>
    </row>
    <row r="10" spans="1:29" s="92" customFormat="1" ht="27">
      <c r="A10" s="150"/>
      <c r="B10" s="3359" t="s">
        <v>102</v>
      </c>
      <c r="C10" s="1349" t="s">
        <v>3500</v>
      </c>
      <c r="D10" s="426">
        <v>100</v>
      </c>
      <c r="E10" s="1349" t="s">
        <v>3500</v>
      </c>
      <c r="F10" s="768">
        <f>SUMIF(65:65,E10,66:66)-SUMIF(65:65,C10,66:66)+100</f>
        <v>100</v>
      </c>
      <c r="G10" s="1349" t="s">
        <v>3500</v>
      </c>
      <c r="H10" s="426">
        <f>SUMIF(65:65,G10,66:66)-SUMIF(65:65,C10,66:66)+100</f>
        <v>100</v>
      </c>
      <c r="I10" s="1349" t="s">
        <v>3542</v>
      </c>
      <c r="J10" s="426">
        <f>SUMIF(65:65,I10,66:66)-SUMIF(65:65,C10,66:66)+100</f>
        <v>98</v>
      </c>
      <c r="K10" s="955">
        <v>2</v>
      </c>
      <c r="L10" s="2295"/>
      <c r="M10" s="2296"/>
      <c r="N10" s="2296"/>
      <c r="O10" s="2296"/>
      <c r="P10" s="3611"/>
      <c r="Q10" s="3357" t="str">
        <f t="shared" si="6"/>
        <v>土地使用年限（年）</v>
      </c>
      <c r="R10" s="1342" t="s">
        <v>61</v>
      </c>
      <c r="S10" s="1343">
        <f t="shared" si="0"/>
        <v>100</v>
      </c>
      <c r="T10" s="1342" t="s">
        <v>61</v>
      </c>
      <c r="U10" s="1343">
        <f t="shared" si="1"/>
        <v>100</v>
      </c>
      <c r="V10" s="1342" t="s">
        <v>61</v>
      </c>
      <c r="W10" s="1343">
        <f t="shared" si="2"/>
        <v>98</v>
      </c>
      <c r="X10" s="287"/>
      <c r="Y10" s="3435"/>
      <c r="Z10" s="3358" t="str">
        <f t="shared" si="7"/>
        <v>土地使用年限（年）</v>
      </c>
      <c r="AA10" s="1344">
        <f t="shared" si="3"/>
        <v>1</v>
      </c>
      <c r="AB10" s="1344">
        <f t="shared" si="4"/>
        <v>1</v>
      </c>
      <c r="AC10" s="1344">
        <f t="shared" si="5"/>
        <v>1.0204081632653061</v>
      </c>
    </row>
    <row r="11" spans="1:29" ht="15.75" thickBot="1">
      <c r="A11" s="151"/>
      <c r="B11" s="3359" t="s">
        <v>89</v>
      </c>
      <c r="C11" s="772">
        <f>'比较法-办公'!C11</f>
        <v>4.1900000000000004</v>
      </c>
      <c r="D11" s="426">
        <v>100</v>
      </c>
      <c r="E11" s="772">
        <v>5.4</v>
      </c>
      <c r="F11" s="768">
        <f>LOOKUP(E11,68:68,69:69)-LOOKUP(C11,68:68,69:69)+100</f>
        <v>98</v>
      </c>
      <c r="G11" s="772">
        <v>4.2</v>
      </c>
      <c r="H11" s="426">
        <f>LOOKUP(G11,68:68,69:69)-LOOKUP(C11,68:68,69:69)+100</f>
        <v>100</v>
      </c>
      <c r="I11" s="772">
        <v>5.4</v>
      </c>
      <c r="J11" s="426">
        <f>LOOKUP(I11,68:68,69:69)-LOOKUP(C11,68:68,69:69)+100</f>
        <v>98</v>
      </c>
      <c r="K11" s="955">
        <v>2</v>
      </c>
      <c r="L11" s="2297"/>
      <c r="M11" s="2293"/>
      <c r="N11" s="2293"/>
      <c r="O11" s="2293"/>
      <c r="P11" s="3611"/>
      <c r="Q11" s="3357" t="str">
        <f t="shared" si="6"/>
        <v>容积率</v>
      </c>
      <c r="R11" s="1342" t="s">
        <v>61</v>
      </c>
      <c r="S11" s="1343">
        <f t="shared" si="0"/>
        <v>98</v>
      </c>
      <c r="T11" s="1342" t="s">
        <v>61</v>
      </c>
      <c r="U11" s="1343">
        <f t="shared" si="1"/>
        <v>100</v>
      </c>
      <c r="V11" s="1342" t="s">
        <v>61</v>
      </c>
      <c r="W11" s="1343">
        <f t="shared" si="2"/>
        <v>98</v>
      </c>
      <c r="X11" s="287"/>
      <c r="Y11" s="3435"/>
      <c r="Z11" s="3358" t="str">
        <f t="shared" si="7"/>
        <v>容积率</v>
      </c>
      <c r="AA11" s="1344">
        <f t="shared" si="3"/>
        <v>1.0204081632653061</v>
      </c>
      <c r="AB11" s="1344">
        <f t="shared" si="4"/>
        <v>1</v>
      </c>
      <c r="AC11" s="1344">
        <f t="shared" si="5"/>
        <v>1.0204081632653061</v>
      </c>
    </row>
    <row r="12" spans="1:29" s="40" customFormat="1" ht="15" hidden="1" thickBot="1">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4"/>
      <c r="M12" s="2256"/>
      <c r="N12" s="2256"/>
      <c r="O12" s="2256"/>
      <c r="P12" s="3611"/>
      <c r="Q12" s="3357">
        <f t="shared" si="6"/>
        <v>111</v>
      </c>
      <c r="R12" s="1342" t="s">
        <v>61</v>
      </c>
      <c r="S12" s="1343">
        <f t="shared" si="0"/>
        <v>100</v>
      </c>
      <c r="T12" s="1342" t="s">
        <v>61</v>
      </c>
      <c r="U12" s="1343">
        <f t="shared" si="1"/>
        <v>100</v>
      </c>
      <c r="V12" s="1342" t="s">
        <v>61</v>
      </c>
      <c r="W12" s="1343">
        <f t="shared" si="2"/>
        <v>100</v>
      </c>
      <c r="X12" s="287"/>
      <c r="Y12" s="3435"/>
      <c r="Z12" s="3358">
        <f t="shared" si="7"/>
        <v>111</v>
      </c>
      <c r="AA12" s="1344">
        <f>D12/F12</f>
        <v>1</v>
      </c>
      <c r="AB12" s="1344">
        <f>D12/H12</f>
        <v>1</v>
      </c>
      <c r="AC12" s="1344">
        <f>D12/J12</f>
        <v>1</v>
      </c>
    </row>
    <row r="13" spans="1:29" ht="15" hidden="1" thickBot="1">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8"/>
      <c r="M13" s="2293"/>
      <c r="N13" s="2293"/>
      <c r="O13" s="2293"/>
      <c r="P13" s="3611"/>
      <c r="Q13" s="3357">
        <f t="shared" si="6"/>
        <v>111</v>
      </c>
      <c r="R13" s="1342" t="s">
        <v>61</v>
      </c>
      <c r="S13" s="1343">
        <f t="shared" si="0"/>
        <v>100</v>
      </c>
      <c r="T13" s="1342" t="s">
        <v>61</v>
      </c>
      <c r="U13" s="1343">
        <f t="shared" si="1"/>
        <v>100</v>
      </c>
      <c r="V13" s="1342" t="s">
        <v>61</v>
      </c>
      <c r="W13" s="1343">
        <f t="shared" si="2"/>
        <v>100</v>
      </c>
      <c r="X13" s="287"/>
      <c r="Y13" s="3435"/>
      <c r="Z13" s="3358">
        <f t="shared" si="7"/>
        <v>111</v>
      </c>
      <c r="AA13" s="1344">
        <f t="shared" si="3"/>
        <v>1</v>
      </c>
      <c r="AB13" s="1344">
        <f t="shared" si="4"/>
        <v>1</v>
      </c>
      <c r="AC13" s="1344">
        <f t="shared" si="5"/>
        <v>1</v>
      </c>
    </row>
    <row r="14" spans="1:29" ht="15" hidden="1"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8"/>
      <c r="M14" s="2293"/>
      <c r="N14" s="2293"/>
      <c r="O14" s="2293"/>
      <c r="P14" s="3611"/>
      <c r="Q14" s="3357">
        <f t="shared" si="6"/>
        <v>111</v>
      </c>
      <c r="R14" s="1342" t="s">
        <v>61</v>
      </c>
      <c r="S14" s="1343">
        <f t="shared" si="0"/>
        <v>100</v>
      </c>
      <c r="T14" s="1342" t="s">
        <v>61</v>
      </c>
      <c r="U14" s="1343">
        <f t="shared" si="1"/>
        <v>100</v>
      </c>
      <c r="V14" s="1342" t="s">
        <v>61</v>
      </c>
      <c r="W14" s="1343">
        <f t="shared" si="2"/>
        <v>100</v>
      </c>
      <c r="X14" s="287"/>
      <c r="Y14" s="3435"/>
      <c r="Z14" s="3358">
        <f t="shared" si="7"/>
        <v>111</v>
      </c>
      <c r="AA14" s="1344">
        <f t="shared" si="3"/>
        <v>1</v>
      </c>
      <c r="AB14" s="1344">
        <f t="shared" si="4"/>
        <v>1</v>
      </c>
      <c r="AC14" s="1344">
        <f t="shared" si="5"/>
        <v>1</v>
      </c>
    </row>
    <row r="15" spans="1:29" ht="67.5">
      <c r="A15" s="155" t="s">
        <v>65</v>
      </c>
      <c r="B15" s="58" t="s">
        <v>126</v>
      </c>
      <c r="C15" s="157" t="str">
        <f>估价对象房地状况!C4</f>
        <v>估价对象位于科技园商圈，周边商业氛围一般，人流量一般，商业繁华度一般</v>
      </c>
      <c r="D15" s="784">
        <v>100</v>
      </c>
      <c r="E15" s="95"/>
      <c r="F15" s="786">
        <f>SUMIF(76:76,E16,77:77)-SUMIF(76:76,C16,77:77)+100</f>
        <v>100</v>
      </c>
      <c r="G15" s="96"/>
      <c r="H15" s="784">
        <f>SUMIF(76:76,G16,77:77)-SUMIF(76:76,C16,77:77)+100</f>
        <v>100</v>
      </c>
      <c r="I15" s="95"/>
      <c r="J15" s="784">
        <f>SUMIF(76:76,I16,77:77)-SUMIF(76:76,C16,77:77)+100</f>
        <v>100</v>
      </c>
      <c r="K15" s="957">
        <v>2</v>
      </c>
      <c r="L15" s="2298"/>
      <c r="M15" s="2293"/>
      <c r="N15" s="2293"/>
      <c r="O15" s="2293"/>
      <c r="P15" s="3638" t="s">
        <v>65</v>
      </c>
      <c r="Q15" s="3361" t="str">
        <f t="shared" si="6"/>
        <v>商业繁华度</v>
      </c>
      <c r="R15" s="1352" t="s">
        <v>61</v>
      </c>
      <c r="S15" s="1353">
        <f t="shared" si="0"/>
        <v>100</v>
      </c>
      <c r="T15" s="1352" t="s">
        <v>61</v>
      </c>
      <c r="U15" s="1353">
        <f t="shared" si="1"/>
        <v>100</v>
      </c>
      <c r="V15" s="1352" t="s">
        <v>61</v>
      </c>
      <c r="W15" s="1353">
        <f t="shared" si="2"/>
        <v>100</v>
      </c>
      <c r="X15" s="3363"/>
      <c r="Y15" s="3631" t="s">
        <v>65</v>
      </c>
      <c r="Z15" s="3364" t="str">
        <f t="shared" si="7"/>
        <v>商业繁华度</v>
      </c>
      <c r="AA15" s="3362">
        <f t="shared" si="3"/>
        <v>1</v>
      </c>
      <c r="AB15" s="3362">
        <f t="shared" si="4"/>
        <v>1</v>
      </c>
      <c r="AC15" s="3362">
        <f t="shared" si="5"/>
        <v>1</v>
      </c>
    </row>
    <row r="16" spans="1:29" ht="14.25">
      <c r="A16" s="151"/>
      <c r="B16" s="156"/>
      <c r="C16" s="97" t="s">
        <v>3453</v>
      </c>
      <c r="D16" s="791"/>
      <c r="E16" s="97" t="s">
        <v>3453</v>
      </c>
      <c r="F16" s="792"/>
      <c r="G16" s="97" t="s">
        <v>3453</v>
      </c>
      <c r="H16" s="793"/>
      <c r="I16" s="97" t="s">
        <v>3453</v>
      </c>
      <c r="J16" s="791"/>
      <c r="K16" s="189"/>
      <c r="L16" s="2298"/>
      <c r="M16" s="2293"/>
      <c r="N16" s="2293"/>
      <c r="O16" s="2293"/>
      <c r="P16" s="3639"/>
      <c r="Q16" s="3361"/>
      <c r="R16" s="1352"/>
      <c r="S16" s="1353"/>
      <c r="T16" s="1352"/>
      <c r="U16" s="1353"/>
      <c r="V16" s="1352"/>
      <c r="W16" s="1353"/>
      <c r="X16" s="3363"/>
      <c r="Y16" s="3632"/>
      <c r="Z16" s="3364"/>
      <c r="AA16" s="3362">
        <v>1</v>
      </c>
      <c r="AB16" s="3362">
        <v>1</v>
      </c>
      <c r="AC16" s="3362">
        <v>1</v>
      </c>
    </row>
    <row r="17" spans="1:29" ht="81">
      <c r="A17" s="151"/>
      <c r="B17" s="1356" t="s">
        <v>68</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v>2</v>
      </c>
      <c r="L17" s="2298"/>
      <c r="M17" s="2293"/>
      <c r="N17" s="2293"/>
      <c r="O17" s="2293"/>
      <c r="P17" s="3639"/>
      <c r="Q17" s="3361" t="str">
        <f>B17</f>
        <v>交通便捷度</v>
      </c>
      <c r="R17" s="1352" t="s">
        <v>61</v>
      </c>
      <c r="S17" s="1353">
        <f>F17</f>
        <v>100</v>
      </c>
      <c r="T17" s="1352" t="s">
        <v>61</v>
      </c>
      <c r="U17" s="1353">
        <f>H17</f>
        <v>100</v>
      </c>
      <c r="V17" s="1352" t="s">
        <v>61</v>
      </c>
      <c r="W17" s="1353">
        <f>J17</f>
        <v>100</v>
      </c>
      <c r="X17" s="3363"/>
      <c r="Y17" s="3632"/>
      <c r="Z17" s="3364" t="str">
        <f>Q17</f>
        <v>交通便捷度</v>
      </c>
      <c r="AA17" s="3362">
        <f t="shared" si="3"/>
        <v>1</v>
      </c>
      <c r="AB17" s="3362">
        <f t="shared" si="4"/>
        <v>1</v>
      </c>
      <c r="AC17" s="3362">
        <f t="shared" si="5"/>
        <v>1</v>
      </c>
    </row>
    <row r="18" spans="1:29" ht="14.25">
      <c r="A18" s="151"/>
      <c r="B18" s="1040"/>
      <c r="C18" s="102" t="s">
        <v>3452</v>
      </c>
      <c r="D18" s="793"/>
      <c r="E18" s="103" t="s">
        <v>3452</v>
      </c>
      <c r="F18" s="796"/>
      <c r="G18" s="104" t="s">
        <v>3452</v>
      </c>
      <c r="H18" s="791"/>
      <c r="I18" s="103" t="s">
        <v>3452</v>
      </c>
      <c r="J18" s="791"/>
      <c r="K18" s="189"/>
      <c r="L18" s="2298"/>
      <c r="M18" s="2293"/>
      <c r="N18" s="2293"/>
      <c r="O18" s="2293"/>
      <c r="P18" s="3639"/>
      <c r="Q18" s="3361"/>
      <c r="R18" s="1352"/>
      <c r="S18" s="1353"/>
      <c r="T18" s="1352"/>
      <c r="U18" s="1353"/>
      <c r="V18" s="1352"/>
      <c r="W18" s="1353"/>
      <c r="X18" s="3363"/>
      <c r="Y18" s="3632"/>
      <c r="Z18" s="3364"/>
      <c r="AA18" s="3362">
        <v>1</v>
      </c>
      <c r="AB18" s="3362">
        <v>1</v>
      </c>
      <c r="AC18" s="3362">
        <v>1</v>
      </c>
    </row>
    <row r="19" spans="1:29" ht="40.5">
      <c r="A19" s="151"/>
      <c r="B19" s="1356" t="s">
        <v>2650</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v>2</v>
      </c>
      <c r="L19" s="2298"/>
      <c r="M19" s="2293"/>
      <c r="N19" s="2293"/>
      <c r="O19" s="2293"/>
      <c r="P19" s="3639"/>
      <c r="Q19" s="3361" t="str">
        <f>B19</f>
        <v>公共配套设施</v>
      </c>
      <c r="R19" s="1352" t="s">
        <v>61</v>
      </c>
      <c r="S19" s="1353">
        <f>F19</f>
        <v>100</v>
      </c>
      <c r="T19" s="1352" t="s">
        <v>61</v>
      </c>
      <c r="U19" s="1353">
        <f>H19</f>
        <v>100</v>
      </c>
      <c r="V19" s="1352" t="s">
        <v>61</v>
      </c>
      <c r="W19" s="1353">
        <f>J19</f>
        <v>100</v>
      </c>
      <c r="X19" s="3363"/>
      <c r="Y19" s="3632"/>
      <c r="Z19" s="3364" t="str">
        <f>Q19</f>
        <v>公共配套设施</v>
      </c>
      <c r="AA19" s="3362">
        <f t="shared" si="3"/>
        <v>1</v>
      </c>
      <c r="AB19" s="3362">
        <f t="shared" si="4"/>
        <v>1</v>
      </c>
      <c r="AC19" s="3362">
        <f t="shared" si="5"/>
        <v>1</v>
      </c>
    </row>
    <row r="20" spans="1:29" ht="14.25">
      <c r="A20" s="151"/>
      <c r="B20" s="1040"/>
      <c r="C20" s="97" t="s">
        <v>3453</v>
      </c>
      <c r="D20" s="791"/>
      <c r="E20" s="98" t="s">
        <v>3453</v>
      </c>
      <c r="F20" s="792"/>
      <c r="G20" s="99" t="s">
        <v>3453</v>
      </c>
      <c r="H20" s="791"/>
      <c r="I20" s="98" t="s">
        <v>3453</v>
      </c>
      <c r="J20" s="791"/>
      <c r="K20" s="189"/>
      <c r="L20" s="2298"/>
      <c r="M20" s="2293"/>
      <c r="N20" s="2293"/>
      <c r="O20" s="2293"/>
      <c r="P20" s="3639"/>
      <c r="Q20" s="3361"/>
      <c r="R20" s="1352"/>
      <c r="S20" s="1353"/>
      <c r="T20" s="1352"/>
      <c r="U20" s="1353"/>
      <c r="V20" s="1352"/>
      <c r="W20" s="1353"/>
      <c r="X20" s="3363"/>
      <c r="Y20" s="3632"/>
      <c r="Z20" s="3364"/>
      <c r="AA20" s="3362">
        <v>1</v>
      </c>
      <c r="AB20" s="3362">
        <v>1</v>
      </c>
      <c r="AC20" s="3362">
        <v>1</v>
      </c>
    </row>
    <row r="21" spans="1:29" ht="27">
      <c r="A21" s="151"/>
      <c r="B21" s="1412" t="s">
        <v>2651</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v>2</v>
      </c>
      <c r="L21" s="2298"/>
      <c r="M21" s="2293"/>
      <c r="N21" s="2293"/>
      <c r="O21" s="2293"/>
      <c r="P21" s="3639"/>
      <c r="Q21" s="3361" t="str">
        <f>B21</f>
        <v>基础设施水平</v>
      </c>
      <c r="R21" s="1352" t="s">
        <v>61</v>
      </c>
      <c r="S21" s="1353">
        <f>F21</f>
        <v>100</v>
      </c>
      <c r="T21" s="1352" t="s">
        <v>61</v>
      </c>
      <c r="U21" s="1353">
        <f>H21</f>
        <v>100</v>
      </c>
      <c r="V21" s="1352" t="s">
        <v>61</v>
      </c>
      <c r="W21" s="1353">
        <f>J21</f>
        <v>100</v>
      </c>
      <c r="X21" s="3363"/>
      <c r="Y21" s="3632"/>
      <c r="Z21" s="3364" t="str">
        <f>Q21</f>
        <v>基础设施水平</v>
      </c>
      <c r="AA21" s="3362">
        <f t="shared" ref="AA21" si="8">D21/F21</f>
        <v>1</v>
      </c>
      <c r="AB21" s="3362">
        <f t="shared" ref="AB21" si="9">D21/H21</f>
        <v>1</v>
      </c>
      <c r="AC21" s="3362">
        <f t="shared" ref="AC21" si="10">D21/J21</f>
        <v>1</v>
      </c>
    </row>
    <row r="22" spans="1:29" ht="14.25">
      <c r="A22" s="151"/>
      <c r="B22" s="1412"/>
      <c r="C22" s="102" t="s">
        <v>3454</v>
      </c>
      <c r="D22" s="791"/>
      <c r="E22" s="97" t="s">
        <v>3454</v>
      </c>
      <c r="F22" s="792"/>
      <c r="G22" s="97" t="s">
        <v>3454</v>
      </c>
      <c r="H22" s="791"/>
      <c r="I22" s="97" t="s">
        <v>3454</v>
      </c>
      <c r="J22" s="791"/>
      <c r="K22" s="2763"/>
      <c r="L22" s="2298"/>
      <c r="M22" s="2293"/>
      <c r="N22" s="2293"/>
      <c r="O22" s="2293"/>
      <c r="P22" s="3639"/>
      <c r="Q22" s="3361"/>
      <c r="R22" s="1352"/>
      <c r="S22" s="1353"/>
      <c r="T22" s="1352"/>
      <c r="U22" s="1353"/>
      <c r="V22" s="1352"/>
      <c r="W22" s="1353"/>
      <c r="X22" s="3363"/>
      <c r="Y22" s="3632"/>
      <c r="Z22" s="3364"/>
      <c r="AA22" s="3362">
        <v>1</v>
      </c>
      <c r="AB22" s="3362">
        <v>1</v>
      </c>
      <c r="AC22" s="3362">
        <v>1</v>
      </c>
    </row>
    <row r="23" spans="1:29" ht="54">
      <c r="A23" s="151"/>
      <c r="B23" s="1356" t="s">
        <v>69</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v>2</v>
      </c>
      <c r="L23" s="2298"/>
      <c r="M23" s="2293"/>
      <c r="N23" s="2293"/>
      <c r="O23" s="2293"/>
      <c r="P23" s="3639"/>
      <c r="Q23" s="3361" t="str">
        <f>B23</f>
        <v>自然及人文环境</v>
      </c>
      <c r="R23" s="1352" t="s">
        <v>61</v>
      </c>
      <c r="S23" s="1353">
        <f>F23</f>
        <v>100</v>
      </c>
      <c r="T23" s="1352" t="s">
        <v>61</v>
      </c>
      <c r="U23" s="1353">
        <f>H23</f>
        <v>100</v>
      </c>
      <c r="V23" s="1352" t="s">
        <v>61</v>
      </c>
      <c r="W23" s="1353">
        <f>J23</f>
        <v>100</v>
      </c>
      <c r="X23" s="3363"/>
      <c r="Y23" s="3632"/>
      <c r="Z23" s="3364" t="str">
        <f>Q23</f>
        <v>自然及人文环境</v>
      </c>
      <c r="AA23" s="3362">
        <f t="shared" si="3"/>
        <v>1</v>
      </c>
      <c r="AB23" s="3362">
        <f t="shared" si="4"/>
        <v>1</v>
      </c>
      <c r="AC23" s="3362">
        <f t="shared" si="5"/>
        <v>1</v>
      </c>
    </row>
    <row r="24" spans="1:29" ht="14.25">
      <c r="A24" s="151"/>
      <c r="B24" s="1040"/>
      <c r="C24" s="97" t="s">
        <v>3453</v>
      </c>
      <c r="D24" s="791"/>
      <c r="E24" s="98" t="s">
        <v>3453</v>
      </c>
      <c r="F24" s="792"/>
      <c r="G24" s="99" t="s">
        <v>3453</v>
      </c>
      <c r="H24" s="791"/>
      <c r="I24" s="98" t="s">
        <v>3453</v>
      </c>
      <c r="J24" s="791"/>
      <c r="K24" s="189"/>
      <c r="L24" s="2298"/>
      <c r="M24" s="2293"/>
      <c r="N24" s="2293"/>
      <c r="O24" s="2293"/>
      <c r="P24" s="3639"/>
      <c r="Q24" s="3361"/>
      <c r="R24" s="1352"/>
      <c r="S24" s="1353"/>
      <c r="T24" s="1352"/>
      <c r="U24" s="1353"/>
      <c r="V24" s="1352"/>
      <c r="W24" s="1353"/>
      <c r="X24" s="3363"/>
      <c r="Y24" s="3632"/>
      <c r="Z24" s="3364"/>
      <c r="AA24" s="3362">
        <v>1</v>
      </c>
      <c r="AB24" s="3362">
        <v>1</v>
      </c>
      <c r="AC24" s="3362">
        <v>1</v>
      </c>
    </row>
    <row r="25" spans="1:29" ht="15">
      <c r="A25" s="151"/>
      <c r="B25" s="3359" t="s">
        <v>127</v>
      </c>
      <c r="C25" s="182" t="s">
        <v>3505</v>
      </c>
      <c r="D25" s="778">
        <v>100</v>
      </c>
      <c r="E25" s="182" t="s">
        <v>3505</v>
      </c>
      <c r="F25" s="804">
        <f>SUMIF(86:86,E25,87:87)-SUMIF(86:86,C25,87:87)+100</f>
        <v>100</v>
      </c>
      <c r="G25" s="182" t="s">
        <v>3505</v>
      </c>
      <c r="H25" s="778">
        <f>SUMIF(86:86,G25,87:87)-SUMIF(86:86,C25,87:87)+100</f>
        <v>100</v>
      </c>
      <c r="I25" s="182" t="s">
        <v>3505</v>
      </c>
      <c r="J25" s="778">
        <f>SUMIF(86:86,I25,87:87)-SUMIF(86:86,C25,87:87)+100</f>
        <v>100</v>
      </c>
      <c r="K25" s="955">
        <v>2</v>
      </c>
      <c r="L25" s="2298"/>
      <c r="M25" s="2293"/>
      <c r="N25" s="2293"/>
      <c r="O25" s="2293"/>
      <c r="P25" s="3639"/>
      <c r="Q25" s="3361" t="str">
        <f t="shared" ref="Q25:Q46" si="11">B25</f>
        <v>临街状况</v>
      </c>
      <c r="R25" s="1352" t="s">
        <v>61</v>
      </c>
      <c r="S25" s="1353">
        <f>F25</f>
        <v>100</v>
      </c>
      <c r="T25" s="1352" t="s">
        <v>61</v>
      </c>
      <c r="U25" s="1353">
        <f>H25</f>
        <v>100</v>
      </c>
      <c r="V25" s="1352" t="s">
        <v>61</v>
      </c>
      <c r="W25" s="1353">
        <f>J25</f>
        <v>100</v>
      </c>
      <c r="X25" s="3363"/>
      <c r="Y25" s="3632"/>
      <c r="Z25" s="3364" t="str">
        <f>Q25</f>
        <v>临街状况</v>
      </c>
      <c r="AA25" s="3362">
        <f t="shared" si="3"/>
        <v>1</v>
      </c>
      <c r="AB25" s="3362">
        <f t="shared" si="4"/>
        <v>1</v>
      </c>
      <c r="AC25" s="3362">
        <f t="shared" si="5"/>
        <v>1</v>
      </c>
    </row>
    <row r="26" spans="1:29" ht="14.25" hidden="1">
      <c r="A26" s="151"/>
      <c r="B26" s="1357" t="s">
        <v>1020</v>
      </c>
      <c r="C26" s="93"/>
      <c r="D26" s="778">
        <v>100</v>
      </c>
      <c r="E26" s="93"/>
      <c r="F26" s="804">
        <f>SUMIF(88:88,E26,89:89)-SUMIF(88:88,C26,89:89)+100</f>
        <v>100</v>
      </c>
      <c r="G26" s="93"/>
      <c r="H26" s="778">
        <f>SUMIF(88:88,G26,89:89)-SUMIF(88:88,C26,89:89)+100</f>
        <v>100</v>
      </c>
      <c r="I26" s="93"/>
      <c r="J26" s="778">
        <f>SUMIF(88:88,I26,89:89)-SUMIF(88:88,C26,89:89)+100</f>
        <v>100</v>
      </c>
      <c r="K26" s="188"/>
      <c r="L26" s="2298"/>
      <c r="M26" s="2293"/>
      <c r="N26" s="2293"/>
      <c r="O26" s="2293"/>
      <c r="P26" s="3639"/>
      <c r="Q26" s="3361" t="str">
        <f t="shared" si="11"/>
        <v>平面位置/可视性</v>
      </c>
      <c r="R26" s="1352" t="s">
        <v>61</v>
      </c>
      <c r="S26" s="1353">
        <f>F26</f>
        <v>100</v>
      </c>
      <c r="T26" s="1352" t="s">
        <v>61</v>
      </c>
      <c r="U26" s="1353">
        <f>H26</f>
        <v>100</v>
      </c>
      <c r="V26" s="1352" t="s">
        <v>61</v>
      </c>
      <c r="W26" s="1353">
        <f>J26</f>
        <v>100</v>
      </c>
      <c r="X26" s="3363"/>
      <c r="Y26" s="3632"/>
      <c r="Z26" s="3364" t="str">
        <f>Q26</f>
        <v>平面位置/可视性</v>
      </c>
      <c r="AA26" s="3362">
        <f t="shared" si="3"/>
        <v>1</v>
      </c>
      <c r="AB26" s="3362">
        <f t="shared" si="4"/>
        <v>1</v>
      </c>
      <c r="AC26" s="3362">
        <f t="shared" si="5"/>
        <v>1</v>
      </c>
    </row>
    <row r="27" spans="1:29" s="40" customFormat="1" ht="15">
      <c r="A27" s="1030"/>
      <c r="B27" s="1356" t="s">
        <v>1021</v>
      </c>
      <c r="C27" s="1387" t="s">
        <v>3453</v>
      </c>
      <c r="D27" s="805">
        <v>100</v>
      </c>
      <c r="E27" s="1387" t="s">
        <v>3453</v>
      </c>
      <c r="F27" s="807">
        <f>SUMIF(90:90,E27,91:91)-SUMIF(90:90,C27,91:91)+100</f>
        <v>100</v>
      </c>
      <c r="G27" s="1387" t="s">
        <v>3453</v>
      </c>
      <c r="H27" s="805">
        <f>SUMIF(90:90,G27,91:91)-SUMIF(90:90,C27,91:91)+100</f>
        <v>100</v>
      </c>
      <c r="I27" s="1387" t="s">
        <v>3453</v>
      </c>
      <c r="J27" s="805">
        <f>SUMIF(90:90,I27,91:91)-SUMIF(90:90,C27,91:91)+100</f>
        <v>100</v>
      </c>
      <c r="K27" s="955">
        <v>2</v>
      </c>
      <c r="L27" s="2294"/>
      <c r="M27" s="2256"/>
      <c r="N27" s="2256"/>
      <c r="O27" s="2256"/>
      <c r="P27" s="3639"/>
      <c r="Q27" s="3357" t="str">
        <f t="shared" si="11"/>
        <v>人流量</v>
      </c>
      <c r="R27" s="1342" t="s">
        <v>61</v>
      </c>
      <c r="S27" s="1343">
        <f>F27</f>
        <v>100</v>
      </c>
      <c r="T27" s="1342" t="s">
        <v>61</v>
      </c>
      <c r="U27" s="1343">
        <f>H27</f>
        <v>100</v>
      </c>
      <c r="V27" s="1342" t="s">
        <v>61</v>
      </c>
      <c r="W27" s="1343">
        <f>J27</f>
        <v>100</v>
      </c>
      <c r="X27" s="287"/>
      <c r="Y27" s="3632"/>
      <c r="Z27" s="3358" t="str">
        <f>Q27</f>
        <v>人流量</v>
      </c>
      <c r="AA27" s="3362">
        <f>D27/F27</f>
        <v>1</v>
      </c>
      <c r="AB27" s="3362">
        <f>D27/H27</f>
        <v>1</v>
      </c>
      <c r="AC27" s="3362">
        <f>D27/J27</f>
        <v>1</v>
      </c>
    </row>
    <row r="28" spans="1:29" ht="15" thickBot="1">
      <c r="A28" s="151"/>
      <c r="B28" s="3359" t="s">
        <v>128</v>
      </c>
      <c r="C28" s="182" t="s">
        <v>3220</v>
      </c>
      <c r="D28" s="778">
        <v>100</v>
      </c>
      <c r="E28" s="182" t="s">
        <v>3220</v>
      </c>
      <c r="F28" s="804">
        <f>SUMIF(92:92,E28,93:93)-SUMIF(92:92,C28,93:93)+100</f>
        <v>100</v>
      </c>
      <c r="G28" s="182" t="s">
        <v>3220</v>
      </c>
      <c r="H28" s="778">
        <f>SUMIF(92:92,G28,93:93)-SUMIF(92:92,C28,93:93)+100</f>
        <v>100</v>
      </c>
      <c r="I28" s="182" t="s">
        <v>3220</v>
      </c>
      <c r="J28" s="778">
        <f>SUMIF(92:92,I28,93:93)-SUMIF(92:92,C28,93:93)+100</f>
        <v>100</v>
      </c>
      <c r="K28" s="188"/>
      <c r="L28" s="2298"/>
      <c r="M28" s="2293"/>
      <c r="N28" s="2293"/>
      <c r="O28" s="2293"/>
      <c r="P28" s="3639"/>
      <c r="Q28" s="3361" t="str">
        <f t="shared" si="11"/>
        <v>楼层</v>
      </c>
      <c r="R28" s="1352" t="s">
        <v>61</v>
      </c>
      <c r="S28" s="1353">
        <f t="shared" ref="S28:S46" si="12">F28</f>
        <v>100</v>
      </c>
      <c r="T28" s="1352" t="s">
        <v>61</v>
      </c>
      <c r="U28" s="1353">
        <f t="shared" ref="U28:U46" si="13">H28</f>
        <v>100</v>
      </c>
      <c r="V28" s="1352" t="s">
        <v>61</v>
      </c>
      <c r="W28" s="1353">
        <f t="shared" ref="W28:W46" si="14">J28</f>
        <v>100</v>
      </c>
      <c r="X28" s="3363"/>
      <c r="Y28" s="3632"/>
      <c r="Z28" s="3364" t="str">
        <f t="shared" ref="Z28:Z46" si="15">Q28</f>
        <v>楼层</v>
      </c>
      <c r="AA28" s="3362">
        <f t="shared" si="3"/>
        <v>1</v>
      </c>
      <c r="AB28" s="3362">
        <f t="shared" si="4"/>
        <v>1</v>
      </c>
      <c r="AC28" s="3362">
        <f t="shared" si="5"/>
        <v>1</v>
      </c>
    </row>
    <row r="29" spans="1:29" ht="15" hidden="1" thickBot="1">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298"/>
      <c r="M29" s="2293"/>
      <c r="N29" s="2293"/>
      <c r="O29" s="2293"/>
      <c r="P29" s="3639"/>
      <c r="Q29" s="3361">
        <f t="shared" si="11"/>
        <v>111</v>
      </c>
      <c r="R29" s="1352" t="s">
        <v>61</v>
      </c>
      <c r="S29" s="1353">
        <f t="shared" si="12"/>
        <v>100</v>
      </c>
      <c r="T29" s="1352" t="s">
        <v>61</v>
      </c>
      <c r="U29" s="1353">
        <f t="shared" si="13"/>
        <v>100</v>
      </c>
      <c r="V29" s="1352" t="s">
        <v>61</v>
      </c>
      <c r="W29" s="1353">
        <f t="shared" si="14"/>
        <v>100</v>
      </c>
      <c r="X29" s="3363"/>
      <c r="Y29" s="3632"/>
      <c r="Z29" s="3364">
        <f t="shared" si="15"/>
        <v>111</v>
      </c>
      <c r="AA29" s="3362">
        <f t="shared" si="3"/>
        <v>1</v>
      </c>
      <c r="AB29" s="3362">
        <f t="shared" si="4"/>
        <v>1</v>
      </c>
      <c r="AC29" s="3362">
        <f t="shared" si="5"/>
        <v>1</v>
      </c>
    </row>
    <row r="30" spans="1:29" ht="15" hidden="1" thickBot="1">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298"/>
      <c r="M30" s="2293"/>
      <c r="N30" s="2293"/>
      <c r="O30" s="2293"/>
      <c r="P30" s="3639"/>
      <c r="Q30" s="3361">
        <f t="shared" si="11"/>
        <v>111</v>
      </c>
      <c r="R30" s="1352" t="s">
        <v>61</v>
      </c>
      <c r="S30" s="1353">
        <f t="shared" si="12"/>
        <v>100</v>
      </c>
      <c r="T30" s="1352" t="s">
        <v>61</v>
      </c>
      <c r="U30" s="1353">
        <f t="shared" si="13"/>
        <v>100</v>
      </c>
      <c r="V30" s="1352" t="s">
        <v>61</v>
      </c>
      <c r="W30" s="1353">
        <f t="shared" si="14"/>
        <v>100</v>
      </c>
      <c r="X30" s="3363"/>
      <c r="Y30" s="3632"/>
      <c r="Z30" s="3364">
        <f t="shared" si="15"/>
        <v>111</v>
      </c>
      <c r="AA30" s="3362">
        <f t="shared" si="3"/>
        <v>1</v>
      </c>
      <c r="AB30" s="3362">
        <f t="shared" si="4"/>
        <v>1</v>
      </c>
      <c r="AC30" s="3362">
        <f t="shared" si="5"/>
        <v>1</v>
      </c>
    </row>
    <row r="31" spans="1:29" ht="15" hidden="1"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298"/>
      <c r="M31" s="2293"/>
      <c r="N31" s="2293"/>
      <c r="O31" s="2293"/>
      <c r="P31" s="3639"/>
      <c r="Q31" s="3361">
        <f t="shared" si="11"/>
        <v>111</v>
      </c>
      <c r="R31" s="1352" t="s">
        <v>61</v>
      </c>
      <c r="S31" s="1353">
        <f t="shared" si="12"/>
        <v>100</v>
      </c>
      <c r="T31" s="1352" t="s">
        <v>61</v>
      </c>
      <c r="U31" s="1353">
        <f t="shared" si="13"/>
        <v>100</v>
      </c>
      <c r="V31" s="1352" t="s">
        <v>61</v>
      </c>
      <c r="W31" s="1353">
        <f t="shared" si="14"/>
        <v>100</v>
      </c>
      <c r="X31" s="3363"/>
      <c r="Y31" s="3632"/>
      <c r="Z31" s="3364">
        <f t="shared" si="15"/>
        <v>111</v>
      </c>
      <c r="AA31" s="3362">
        <f t="shared" si="3"/>
        <v>1</v>
      </c>
      <c r="AB31" s="3362">
        <f t="shared" si="4"/>
        <v>1</v>
      </c>
      <c r="AC31" s="3362">
        <f t="shared" si="5"/>
        <v>1</v>
      </c>
    </row>
    <row r="32" spans="1:29" ht="15">
      <c r="A32" s="155" t="s">
        <v>66</v>
      </c>
      <c r="B32" s="62" t="s">
        <v>1023</v>
      </c>
      <c r="C32" s="110" t="s">
        <v>3522</v>
      </c>
      <c r="D32" s="810">
        <v>100</v>
      </c>
      <c r="E32" s="110" t="s">
        <v>3522</v>
      </c>
      <c r="F32" s="804">
        <f>SUMIF(100:100,E32,101:101)-SUMIF(100:100,C32,101:101)+100</f>
        <v>100</v>
      </c>
      <c r="G32" s="110" t="s">
        <v>3522</v>
      </c>
      <c r="H32" s="778">
        <f>SUMIF(100:100,G32,101:101)-SUMIF(100:100,C32,101:101)+100</f>
        <v>100</v>
      </c>
      <c r="I32" s="110" t="s">
        <v>3522</v>
      </c>
      <c r="J32" s="810">
        <f>SUMIF(100:100,I32,101:101)-SUMIF(100:100,C32,101:101)+100</f>
        <v>100</v>
      </c>
      <c r="K32" s="955">
        <v>2</v>
      </c>
      <c r="L32" s="2298"/>
      <c r="M32" s="2293"/>
      <c r="N32" s="2293"/>
      <c r="O32" s="2293"/>
      <c r="P32" s="3633" t="s">
        <v>66</v>
      </c>
      <c r="Q32" s="3361" t="str">
        <f t="shared" si="11"/>
        <v>商业类型</v>
      </c>
      <c r="R32" s="1352" t="s">
        <v>61</v>
      </c>
      <c r="S32" s="1353">
        <f t="shared" si="12"/>
        <v>100</v>
      </c>
      <c r="T32" s="1352" t="s">
        <v>61</v>
      </c>
      <c r="U32" s="1353">
        <f t="shared" si="13"/>
        <v>100</v>
      </c>
      <c r="V32" s="1352" t="s">
        <v>61</v>
      </c>
      <c r="W32" s="1353">
        <f t="shared" si="14"/>
        <v>100</v>
      </c>
      <c r="X32" s="3363"/>
      <c r="Y32" s="3636" t="s">
        <v>66</v>
      </c>
      <c r="Z32" s="3364" t="str">
        <f t="shared" si="15"/>
        <v>商业类型</v>
      </c>
      <c r="AA32" s="3362">
        <f t="shared" si="3"/>
        <v>1</v>
      </c>
      <c r="AB32" s="3362">
        <f t="shared" si="4"/>
        <v>1</v>
      </c>
      <c r="AC32" s="3362">
        <f t="shared" si="5"/>
        <v>1</v>
      </c>
    </row>
    <row r="33" spans="1:29" s="1039" customFormat="1" ht="14.25">
      <c r="A33" s="1043"/>
      <c r="B33" s="3359" t="s">
        <v>72</v>
      </c>
      <c r="C33" s="812">
        <f>'数据-基础表'!B3</f>
        <v>66965.320000000065</v>
      </c>
      <c r="D33" s="426">
        <v>100</v>
      </c>
      <c r="E33" s="773">
        <v>249914</v>
      </c>
      <c r="F33" s="768">
        <f>LOOKUP(E33,103:103,104:104)-LOOKUP(C33,103:103,104:104)+100</f>
        <v>102</v>
      </c>
      <c r="G33" s="772">
        <v>250000</v>
      </c>
      <c r="H33" s="426">
        <f>LOOKUP(G33,103:103,104:104)-LOOKUP(C33,103:103,104:104)+100</f>
        <v>102</v>
      </c>
      <c r="I33" s="773">
        <v>249914</v>
      </c>
      <c r="J33" s="426">
        <f>LOOKUP(I33,103:103,104:104)-LOOKUP(C33,103:103,104:104)+100</f>
        <v>102</v>
      </c>
      <c r="K33" s="188"/>
      <c r="L33" s="2297"/>
      <c r="M33" s="2299"/>
      <c r="N33" s="2299"/>
      <c r="O33" s="2299"/>
      <c r="P33" s="3634"/>
      <c r="Q33" s="1359" t="str">
        <f t="shared" si="11"/>
        <v>项目建筑规模</v>
      </c>
      <c r="R33" s="1360" t="s">
        <v>61</v>
      </c>
      <c r="S33" s="1361">
        <f t="shared" si="12"/>
        <v>102</v>
      </c>
      <c r="T33" s="1360" t="s">
        <v>61</v>
      </c>
      <c r="U33" s="1361">
        <f t="shared" si="13"/>
        <v>102</v>
      </c>
      <c r="V33" s="1360" t="s">
        <v>61</v>
      </c>
      <c r="W33" s="1361">
        <f t="shared" si="14"/>
        <v>102</v>
      </c>
      <c r="X33" s="1362"/>
      <c r="Y33" s="3636"/>
      <c r="Z33" s="1363" t="str">
        <f t="shared" si="15"/>
        <v>项目建筑规模</v>
      </c>
      <c r="AA33" s="3362">
        <f t="shared" si="3"/>
        <v>0.98039215686274506</v>
      </c>
      <c r="AB33" s="3362">
        <f t="shared" si="4"/>
        <v>0.98039215686274506</v>
      </c>
      <c r="AC33" s="3362">
        <f t="shared" si="5"/>
        <v>0.98039215686274506</v>
      </c>
    </row>
    <row r="34" spans="1:29" ht="15">
      <c r="A34" s="161"/>
      <c r="B34" s="3359" t="s">
        <v>73</v>
      </c>
      <c r="C34" s="112" t="s">
        <v>3471</v>
      </c>
      <c r="D34" s="778">
        <v>100</v>
      </c>
      <c r="E34" s="112" t="s">
        <v>3471</v>
      </c>
      <c r="F34" s="804">
        <f>SUMIF(105:105,E34,106:106)-SUMIF(105:105,C34,106:106)+100</f>
        <v>100</v>
      </c>
      <c r="G34" s="112" t="s">
        <v>3471</v>
      </c>
      <c r="H34" s="778">
        <f>SUMIF(105:105,G34,106:106)-SUMIF(105:105,C34,106:106)+100</f>
        <v>100</v>
      </c>
      <c r="I34" s="112" t="s">
        <v>3471</v>
      </c>
      <c r="J34" s="778">
        <f>SUMIF(105:105,I34,106:106)-SUMIF(105:105,C34,106:106)+100</f>
        <v>100</v>
      </c>
      <c r="K34" s="955">
        <v>2</v>
      </c>
      <c r="L34" s="2298"/>
      <c r="M34" s="2293"/>
      <c r="N34" s="2293"/>
      <c r="O34" s="2293"/>
      <c r="P34" s="3634"/>
      <c r="Q34" s="3361" t="str">
        <f t="shared" si="11"/>
        <v>建筑结构</v>
      </c>
      <c r="R34" s="1352" t="s">
        <v>61</v>
      </c>
      <c r="S34" s="1353">
        <f t="shared" si="12"/>
        <v>100</v>
      </c>
      <c r="T34" s="1352" t="s">
        <v>61</v>
      </c>
      <c r="U34" s="1353">
        <f t="shared" si="13"/>
        <v>100</v>
      </c>
      <c r="V34" s="1352" t="s">
        <v>61</v>
      </c>
      <c r="W34" s="1353">
        <f t="shared" si="14"/>
        <v>100</v>
      </c>
      <c r="X34" s="3363"/>
      <c r="Y34" s="3636"/>
      <c r="Z34" s="3364" t="str">
        <f t="shared" si="15"/>
        <v>建筑结构</v>
      </c>
      <c r="AA34" s="3362">
        <f t="shared" si="3"/>
        <v>1</v>
      </c>
      <c r="AB34" s="3362">
        <f t="shared" si="4"/>
        <v>1</v>
      </c>
      <c r="AC34" s="3362">
        <f t="shared" si="5"/>
        <v>1</v>
      </c>
    </row>
    <row r="35" spans="1:29" ht="15">
      <c r="A35" s="161"/>
      <c r="B35" s="3359" t="s">
        <v>1025</v>
      </c>
      <c r="C35" s="109" t="s">
        <v>3476</v>
      </c>
      <c r="D35" s="778">
        <v>100</v>
      </c>
      <c r="E35" s="109" t="s">
        <v>3476</v>
      </c>
      <c r="F35" s="804">
        <f>SUMIF(107:107,E35,108:108)-SUMIF(107:107,C35,108:108)+100</f>
        <v>100</v>
      </c>
      <c r="G35" s="109" t="s">
        <v>3476</v>
      </c>
      <c r="H35" s="778">
        <f>SUMIF(107:107,G35,108:108)-SUMIF(107:107,C35,108:108)+100</f>
        <v>100</v>
      </c>
      <c r="I35" s="109" t="s">
        <v>3476</v>
      </c>
      <c r="J35" s="778">
        <f>SUMIF(107:107,I35,108:108)-SUMIF(107:107,C35,108:108)+100</f>
        <v>100</v>
      </c>
      <c r="K35" s="955">
        <v>2</v>
      </c>
      <c r="L35" s="2298"/>
      <c r="M35" s="2293"/>
      <c r="N35" s="2293"/>
      <c r="O35" s="2293"/>
      <c r="P35" s="3634"/>
      <c r="Q35" s="3361" t="str">
        <f t="shared" si="11"/>
        <v>公共部分装修</v>
      </c>
      <c r="R35" s="1352" t="s">
        <v>61</v>
      </c>
      <c r="S35" s="1353">
        <f t="shared" si="12"/>
        <v>100</v>
      </c>
      <c r="T35" s="1352" t="s">
        <v>61</v>
      </c>
      <c r="U35" s="1353">
        <f t="shared" si="13"/>
        <v>100</v>
      </c>
      <c r="V35" s="1352" t="s">
        <v>61</v>
      </c>
      <c r="W35" s="1353">
        <f t="shared" si="14"/>
        <v>100</v>
      </c>
      <c r="X35" s="3363"/>
      <c r="Y35" s="3636"/>
      <c r="Z35" s="3364" t="str">
        <f t="shared" si="15"/>
        <v>公共部分装修</v>
      </c>
      <c r="AA35" s="3362">
        <f t="shared" si="3"/>
        <v>1</v>
      </c>
      <c r="AB35" s="3362">
        <f t="shared" si="4"/>
        <v>1</v>
      </c>
      <c r="AC35" s="3362">
        <f t="shared" si="5"/>
        <v>1</v>
      </c>
    </row>
    <row r="36" spans="1:29" ht="15">
      <c r="A36" s="161"/>
      <c r="B36" s="3359" t="s">
        <v>130</v>
      </c>
      <c r="C36" s="817">
        <f>'比较法-办公'!C37</f>
        <v>0.98</v>
      </c>
      <c r="D36" s="778">
        <v>100</v>
      </c>
      <c r="E36" s="817">
        <f>'比较法-办公'!I37</f>
        <v>0.95</v>
      </c>
      <c r="F36" s="804">
        <f>LOOKUP(E36,110:110,111:111)-LOOKUP(C36,110:110,111:111)+100</f>
        <v>100</v>
      </c>
      <c r="G36" s="817">
        <f>'比较法-办公'!E37</f>
        <v>0.95</v>
      </c>
      <c r="H36" s="804">
        <f>LOOKUP(G36,110:110,111:111)-LOOKUP(C36,110:110,111:111)+100</f>
        <v>100</v>
      </c>
      <c r="I36" s="817">
        <f>E36</f>
        <v>0.95</v>
      </c>
      <c r="J36" s="778">
        <f>LOOKUP(I36,110:110,111:111)-LOOKUP(C36,110:110,111:111)+100</f>
        <v>100</v>
      </c>
      <c r="K36" s="955">
        <v>2</v>
      </c>
      <c r="L36" s="2298"/>
      <c r="M36" s="2293"/>
      <c r="N36" s="2293"/>
      <c r="O36" s="2293"/>
      <c r="P36" s="3634"/>
      <c r="Q36" s="3361" t="str">
        <f t="shared" si="11"/>
        <v>成新度</v>
      </c>
      <c r="R36" s="1352" t="s">
        <v>61</v>
      </c>
      <c r="S36" s="1353">
        <f t="shared" si="12"/>
        <v>100</v>
      </c>
      <c r="T36" s="1352" t="s">
        <v>61</v>
      </c>
      <c r="U36" s="1353">
        <f t="shared" si="13"/>
        <v>100</v>
      </c>
      <c r="V36" s="1352" t="s">
        <v>61</v>
      </c>
      <c r="W36" s="1353">
        <f t="shared" si="14"/>
        <v>100</v>
      </c>
      <c r="X36" s="3363"/>
      <c r="Y36" s="3636"/>
      <c r="Z36" s="3364" t="str">
        <f t="shared" si="15"/>
        <v>成新度</v>
      </c>
      <c r="AA36" s="3362">
        <f t="shared" si="3"/>
        <v>1</v>
      </c>
      <c r="AB36" s="3362">
        <f t="shared" si="4"/>
        <v>1</v>
      </c>
      <c r="AC36" s="3362">
        <f t="shared" si="5"/>
        <v>1</v>
      </c>
    </row>
    <row r="37" spans="1:29" s="40" customFormat="1" ht="15">
      <c r="A37" s="1041"/>
      <c r="B37" s="3359" t="s">
        <v>2652</v>
      </c>
      <c r="C37" s="109" t="s">
        <v>3491</v>
      </c>
      <c r="D37" s="426">
        <v>100</v>
      </c>
      <c r="E37" s="109" t="s">
        <v>3491</v>
      </c>
      <c r="F37" s="804">
        <f>SUMIF(112:112,E37,113:113)-SUMIF(112:112,C37,113:113)+100</f>
        <v>100</v>
      </c>
      <c r="G37" s="109" t="s">
        <v>3491</v>
      </c>
      <c r="H37" s="778">
        <f>SUMIF(112:112,G37,113:113)-SUMIF(112:112,C37,113:113)+100</f>
        <v>100</v>
      </c>
      <c r="I37" s="109" t="s">
        <v>3491</v>
      </c>
      <c r="J37" s="778">
        <f>SUMIF(112:112,I37,113:113)-SUMIF(112:112,C37,113:113)+100</f>
        <v>100</v>
      </c>
      <c r="K37" s="955">
        <v>1</v>
      </c>
      <c r="L37" s="2294"/>
      <c r="M37" s="2256"/>
      <c r="N37" s="2256"/>
      <c r="O37" s="2256"/>
      <c r="P37" s="3634"/>
      <c r="Q37" s="3357" t="str">
        <f t="shared" si="11"/>
        <v>市政基础设施</v>
      </c>
      <c r="R37" s="1342" t="s">
        <v>61</v>
      </c>
      <c r="S37" s="1343">
        <f t="shared" si="12"/>
        <v>100</v>
      </c>
      <c r="T37" s="1342" t="s">
        <v>61</v>
      </c>
      <c r="U37" s="1343">
        <f t="shared" si="13"/>
        <v>100</v>
      </c>
      <c r="V37" s="1342" t="s">
        <v>61</v>
      </c>
      <c r="W37" s="1343">
        <f t="shared" si="14"/>
        <v>100</v>
      </c>
      <c r="X37" s="287"/>
      <c r="Y37" s="3636"/>
      <c r="Z37" s="3358" t="str">
        <f t="shared" si="15"/>
        <v>市政基础设施</v>
      </c>
      <c r="AA37" s="1344">
        <f t="shared" si="3"/>
        <v>1</v>
      </c>
      <c r="AB37" s="1344">
        <f t="shared" si="4"/>
        <v>1</v>
      </c>
      <c r="AC37" s="1344">
        <f t="shared" si="5"/>
        <v>1</v>
      </c>
    </row>
    <row r="38" spans="1:29" ht="15">
      <c r="A38" s="161"/>
      <c r="B38" s="3359" t="s">
        <v>131</v>
      </c>
      <c r="C38" s="109" t="s">
        <v>3534</v>
      </c>
      <c r="D38" s="778">
        <v>100</v>
      </c>
      <c r="E38" s="109" t="s">
        <v>3534</v>
      </c>
      <c r="F38" s="804">
        <f>SUMIF(114:114,E38,115:115)-SUMIF(114:114,C38,115:115)+100</f>
        <v>100</v>
      </c>
      <c r="G38" s="109" t="s">
        <v>3534</v>
      </c>
      <c r="H38" s="778">
        <f>SUMIF(114:114,G38,115:115)-SUMIF(114:114,C38,115:115)+100</f>
        <v>100</v>
      </c>
      <c r="I38" s="109" t="s">
        <v>3534</v>
      </c>
      <c r="J38" s="778">
        <f>SUMIF(114:114,I38,115:115)-SUMIF(114:114,C38,115:115)+100</f>
        <v>100</v>
      </c>
      <c r="K38" s="955">
        <v>5</v>
      </c>
      <c r="L38" s="2298"/>
      <c r="M38" s="2293"/>
      <c r="N38" s="2293"/>
      <c r="O38" s="2293"/>
      <c r="P38" s="3634" t="s">
        <v>66</v>
      </c>
      <c r="Q38" s="3361" t="str">
        <f t="shared" si="11"/>
        <v>业态</v>
      </c>
      <c r="R38" s="1352" t="s">
        <v>61</v>
      </c>
      <c r="S38" s="1353">
        <f t="shared" si="12"/>
        <v>100</v>
      </c>
      <c r="T38" s="1352" t="s">
        <v>61</v>
      </c>
      <c r="U38" s="1353">
        <f t="shared" si="13"/>
        <v>100</v>
      </c>
      <c r="V38" s="1352" t="s">
        <v>61</v>
      </c>
      <c r="W38" s="1353">
        <f t="shared" si="14"/>
        <v>100</v>
      </c>
      <c r="X38" s="3363"/>
      <c r="Y38" s="3636" t="s">
        <v>66</v>
      </c>
      <c r="Z38" s="3364" t="str">
        <f t="shared" si="15"/>
        <v>业态</v>
      </c>
      <c r="AA38" s="3362">
        <f t="shared" si="3"/>
        <v>1</v>
      </c>
      <c r="AB38" s="3362">
        <f t="shared" si="4"/>
        <v>1</v>
      </c>
      <c r="AC38" s="3362">
        <f t="shared" si="5"/>
        <v>1</v>
      </c>
    </row>
    <row r="39" spans="1:29" ht="15">
      <c r="A39" s="161"/>
      <c r="B39" s="3359" t="s">
        <v>1028</v>
      </c>
      <c r="C39" s="109" t="s">
        <v>3488</v>
      </c>
      <c r="D39" s="778">
        <v>100</v>
      </c>
      <c r="E39" s="109" t="s">
        <v>3488</v>
      </c>
      <c r="F39" s="804">
        <f>SUMIF(116:116,E39,117:117)-SUMIF(116:116,C39,117:117)+100</f>
        <v>100</v>
      </c>
      <c r="G39" s="109" t="s">
        <v>3488</v>
      </c>
      <c r="H39" s="778">
        <f>SUMIF(116:116,G39,117:117)-SUMIF(116:116,C39,117:117)+100</f>
        <v>100</v>
      </c>
      <c r="I39" s="109" t="s">
        <v>3488</v>
      </c>
      <c r="J39" s="778">
        <f>SUMIF(116:116,I39,117:117)-SUMIF(116:116,C39,117:117)+100</f>
        <v>100</v>
      </c>
      <c r="K39" s="955">
        <v>2</v>
      </c>
      <c r="L39" s="2298"/>
      <c r="M39" s="2293"/>
      <c r="N39" s="2293"/>
      <c r="O39" s="2293"/>
      <c r="P39" s="3634"/>
      <c r="Q39" s="3361" t="str">
        <f t="shared" si="11"/>
        <v>层高</v>
      </c>
      <c r="R39" s="1352" t="s">
        <v>61</v>
      </c>
      <c r="S39" s="1353">
        <f t="shared" si="12"/>
        <v>100</v>
      </c>
      <c r="T39" s="1352" t="s">
        <v>61</v>
      </c>
      <c r="U39" s="1353">
        <f t="shared" si="13"/>
        <v>100</v>
      </c>
      <c r="V39" s="1352" t="s">
        <v>61</v>
      </c>
      <c r="W39" s="1353">
        <f t="shared" si="14"/>
        <v>100</v>
      </c>
      <c r="X39" s="3363"/>
      <c r="Y39" s="3636"/>
      <c r="Z39" s="3364" t="str">
        <f t="shared" si="15"/>
        <v>层高</v>
      </c>
      <c r="AA39" s="3362">
        <f t="shared" si="3"/>
        <v>1</v>
      </c>
      <c r="AB39" s="3362">
        <f t="shared" si="4"/>
        <v>1</v>
      </c>
      <c r="AC39" s="3362">
        <f t="shared" si="5"/>
        <v>1</v>
      </c>
    </row>
    <row r="40" spans="1:29" ht="14.25">
      <c r="A40" s="161"/>
      <c r="B40" s="3359" t="s">
        <v>1029</v>
      </c>
      <c r="C40" s="960" t="s">
        <v>3595</v>
      </c>
      <c r="D40" s="778">
        <v>100</v>
      </c>
      <c r="E40" s="961">
        <v>234</v>
      </c>
      <c r="F40" s="804">
        <f>SUMIF(118:118,E40,119:119)-SUMIF(118:118,C40,119:119)+100</f>
        <v>100</v>
      </c>
      <c r="G40" s="961">
        <v>900</v>
      </c>
      <c r="H40" s="778">
        <f>SUMIF(118:118,G40,119:119)-SUMIF(118:118,C40,119:119)+100</f>
        <v>98</v>
      </c>
      <c r="I40" s="961">
        <v>287</v>
      </c>
      <c r="J40" s="778">
        <f>SUMIF(118:118,I40,119:119)-SUMIF(118:118,C40,119:119)+100</f>
        <v>100</v>
      </c>
      <c r="K40" s="188"/>
      <c r="L40" s="2298"/>
      <c r="M40" s="2293"/>
      <c r="N40" s="2293"/>
      <c r="O40" s="2293"/>
      <c r="P40" s="3634"/>
      <c r="Q40" s="3361" t="str">
        <f t="shared" si="11"/>
        <v>单套建筑面积</v>
      </c>
      <c r="R40" s="1352" t="s">
        <v>61</v>
      </c>
      <c r="S40" s="1353">
        <f t="shared" si="12"/>
        <v>100</v>
      </c>
      <c r="T40" s="1352" t="s">
        <v>61</v>
      </c>
      <c r="U40" s="1353">
        <f t="shared" si="13"/>
        <v>98</v>
      </c>
      <c r="V40" s="1352" t="s">
        <v>61</v>
      </c>
      <c r="W40" s="1353">
        <f t="shared" si="14"/>
        <v>100</v>
      </c>
      <c r="X40" s="3363"/>
      <c r="Y40" s="3636"/>
      <c r="Z40" s="3364" t="str">
        <f t="shared" si="15"/>
        <v>单套建筑面积</v>
      </c>
      <c r="AA40" s="3362">
        <f t="shared" si="3"/>
        <v>1</v>
      </c>
      <c r="AB40" s="3362">
        <f t="shared" si="4"/>
        <v>1.0204081632653061</v>
      </c>
      <c r="AC40" s="3362">
        <f t="shared" si="5"/>
        <v>1</v>
      </c>
    </row>
    <row r="41" spans="1:29" s="1039" customFormat="1" ht="15">
      <c r="A41" s="1043"/>
      <c r="B41" s="3360" t="s">
        <v>1030</v>
      </c>
      <c r="C41" s="182" t="s">
        <v>3452</v>
      </c>
      <c r="D41" s="778">
        <v>100</v>
      </c>
      <c r="E41" s="182" t="s">
        <v>3452</v>
      </c>
      <c r="F41" s="804">
        <f>SUMIF(120:120,E41,121:121)-SUMIF(120:120,C41,121:121)+100</f>
        <v>100</v>
      </c>
      <c r="G41" s="182" t="s">
        <v>3452</v>
      </c>
      <c r="H41" s="778">
        <f>SUMIF(120:120,G41,121:121)-SUMIF(120:120,C41,121:121)+100</f>
        <v>100</v>
      </c>
      <c r="I41" s="182" t="s">
        <v>3452</v>
      </c>
      <c r="J41" s="778">
        <f>SUMIF(120:120,I41,121:121)-SUMIF(120:120,C41,121:121)+100</f>
        <v>100</v>
      </c>
      <c r="K41" s="955">
        <v>2</v>
      </c>
      <c r="L41" s="2297"/>
      <c r="M41" s="2299"/>
      <c r="N41" s="2299"/>
      <c r="O41" s="2299"/>
      <c r="P41" s="3634"/>
      <c r="Q41" s="1359" t="str">
        <f t="shared" si="11"/>
        <v>进深比</v>
      </c>
      <c r="R41" s="1360" t="s">
        <v>61</v>
      </c>
      <c r="S41" s="1361">
        <f t="shared" si="12"/>
        <v>100</v>
      </c>
      <c r="T41" s="1360" t="s">
        <v>61</v>
      </c>
      <c r="U41" s="1361">
        <f t="shared" si="13"/>
        <v>100</v>
      </c>
      <c r="V41" s="1360" t="s">
        <v>61</v>
      </c>
      <c r="W41" s="1361">
        <f t="shared" si="14"/>
        <v>100</v>
      </c>
      <c r="X41" s="1362"/>
      <c r="Y41" s="3636"/>
      <c r="Z41" s="1363" t="str">
        <f t="shared" si="15"/>
        <v>进深比</v>
      </c>
      <c r="AA41" s="3362">
        <f t="shared" si="3"/>
        <v>1</v>
      </c>
      <c r="AB41" s="3362">
        <f t="shared" si="4"/>
        <v>1</v>
      </c>
      <c r="AC41" s="3362">
        <f t="shared" si="5"/>
        <v>1</v>
      </c>
    </row>
    <row r="42" spans="1:29" ht="15.75" thickBot="1">
      <c r="A42" s="161"/>
      <c r="B42" s="3359" t="s">
        <v>133</v>
      </c>
      <c r="C42" s="109" t="s">
        <v>3493</v>
      </c>
      <c r="D42" s="778">
        <v>100</v>
      </c>
      <c r="E42" s="109" t="s">
        <v>3493</v>
      </c>
      <c r="F42" s="804">
        <f>SUMIF(122:122,E42,123:123)-SUMIF(122:122,C42,123:123)+100</f>
        <v>100</v>
      </c>
      <c r="G42" s="109" t="s">
        <v>3493</v>
      </c>
      <c r="H42" s="778">
        <f>SUMIF(122:122,G42,123:123)-SUMIF(122:122,C42,123:123)+100</f>
        <v>100</v>
      </c>
      <c r="I42" s="109" t="s">
        <v>3493</v>
      </c>
      <c r="J42" s="778">
        <f>SUMIF(122:122,I42,123:123)-SUMIF(122:122,C42,123:123)+100</f>
        <v>100</v>
      </c>
      <c r="K42" s="955">
        <v>2</v>
      </c>
      <c r="L42" s="2298"/>
      <c r="M42" s="2293"/>
      <c r="N42" s="2293"/>
      <c r="O42" s="2293"/>
      <c r="P42" s="3634"/>
      <c r="Q42" s="3361" t="str">
        <f t="shared" si="11"/>
        <v>内部装修</v>
      </c>
      <c r="R42" s="1352" t="s">
        <v>61</v>
      </c>
      <c r="S42" s="1353">
        <f t="shared" si="12"/>
        <v>100</v>
      </c>
      <c r="T42" s="1352" t="s">
        <v>61</v>
      </c>
      <c r="U42" s="1353">
        <f t="shared" si="13"/>
        <v>100</v>
      </c>
      <c r="V42" s="1352" t="s">
        <v>61</v>
      </c>
      <c r="W42" s="1353">
        <f t="shared" si="14"/>
        <v>100</v>
      </c>
      <c r="X42" s="3363"/>
      <c r="Y42" s="3636"/>
      <c r="Z42" s="3364" t="str">
        <f t="shared" si="15"/>
        <v>内部装修</v>
      </c>
      <c r="AA42" s="3362">
        <f t="shared" si="3"/>
        <v>1</v>
      </c>
      <c r="AB42" s="3362">
        <f t="shared" si="4"/>
        <v>1</v>
      </c>
      <c r="AC42" s="3362">
        <f t="shared" si="5"/>
        <v>1</v>
      </c>
    </row>
    <row r="43" spans="1:29" ht="27" hidden="1">
      <c r="A43" s="161"/>
      <c r="B43" s="3359" t="s">
        <v>80</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298"/>
      <c r="M43" s="2293"/>
      <c r="N43" s="2293"/>
      <c r="O43" s="2293"/>
      <c r="P43" s="3634"/>
      <c r="Q43" s="3361" t="str">
        <f t="shared" si="11"/>
        <v>内部装修维护情况</v>
      </c>
      <c r="R43" s="1352" t="s">
        <v>61</v>
      </c>
      <c r="S43" s="1353">
        <f t="shared" si="12"/>
        <v>100</v>
      </c>
      <c r="T43" s="1352" t="s">
        <v>61</v>
      </c>
      <c r="U43" s="1353">
        <f t="shared" si="13"/>
        <v>100</v>
      </c>
      <c r="V43" s="1352" t="s">
        <v>61</v>
      </c>
      <c r="W43" s="1353">
        <f t="shared" si="14"/>
        <v>100</v>
      </c>
      <c r="X43" s="3363"/>
      <c r="Y43" s="3636"/>
      <c r="Z43" s="3364" t="str">
        <f t="shared" si="15"/>
        <v>内部装修维护情况</v>
      </c>
      <c r="AA43" s="3362">
        <f t="shared" si="3"/>
        <v>1</v>
      </c>
      <c r="AB43" s="3362">
        <f t="shared" si="4"/>
        <v>1</v>
      </c>
      <c r="AC43" s="3362">
        <f t="shared" si="5"/>
        <v>1</v>
      </c>
    </row>
    <row r="44" spans="1:29" s="40" customFormat="1" ht="14.25" hidden="1">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4"/>
      <c r="M44" s="2256"/>
      <c r="N44" s="2256"/>
      <c r="O44" s="2256"/>
      <c r="P44" s="3634"/>
      <c r="Q44" s="3357">
        <f t="shared" si="11"/>
        <v>111</v>
      </c>
      <c r="R44" s="1342" t="s">
        <v>61</v>
      </c>
      <c r="S44" s="1343">
        <f t="shared" si="12"/>
        <v>100</v>
      </c>
      <c r="T44" s="1342" t="s">
        <v>61</v>
      </c>
      <c r="U44" s="1343">
        <f t="shared" si="13"/>
        <v>100</v>
      </c>
      <c r="V44" s="1342" t="s">
        <v>61</v>
      </c>
      <c r="W44" s="1343">
        <f t="shared" si="14"/>
        <v>100</v>
      </c>
      <c r="X44" s="287"/>
      <c r="Y44" s="3636"/>
      <c r="Z44" s="3358">
        <f t="shared" si="15"/>
        <v>111</v>
      </c>
      <c r="AA44" s="1344">
        <f t="shared" si="3"/>
        <v>1</v>
      </c>
      <c r="AB44" s="1344">
        <f t="shared" si="4"/>
        <v>1</v>
      </c>
      <c r="AC44" s="1344">
        <f t="shared" si="5"/>
        <v>1</v>
      </c>
    </row>
    <row r="45" spans="1:29" ht="14.25" hidden="1">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8"/>
      <c r="M45" s="2293"/>
      <c r="N45" s="2293"/>
      <c r="O45" s="2293"/>
      <c r="P45" s="3634"/>
      <c r="Q45" s="3361">
        <f t="shared" si="11"/>
        <v>111</v>
      </c>
      <c r="R45" s="1352" t="s">
        <v>61</v>
      </c>
      <c r="S45" s="1353">
        <f t="shared" si="12"/>
        <v>100</v>
      </c>
      <c r="T45" s="1352" t="s">
        <v>61</v>
      </c>
      <c r="U45" s="1353">
        <f t="shared" si="13"/>
        <v>100</v>
      </c>
      <c r="V45" s="1352" t="s">
        <v>61</v>
      </c>
      <c r="W45" s="1353">
        <f t="shared" si="14"/>
        <v>100</v>
      </c>
      <c r="X45" s="3363"/>
      <c r="Y45" s="3636"/>
      <c r="Z45" s="3364">
        <f t="shared" si="15"/>
        <v>111</v>
      </c>
      <c r="AA45" s="3362">
        <f t="shared" si="3"/>
        <v>1</v>
      </c>
      <c r="AB45" s="3362">
        <f t="shared" si="4"/>
        <v>1</v>
      </c>
      <c r="AC45" s="3362">
        <f t="shared" si="5"/>
        <v>1</v>
      </c>
    </row>
    <row r="46" spans="1:29" ht="15" hidden="1"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8"/>
      <c r="M46" s="2293"/>
      <c r="N46" s="2293"/>
      <c r="O46" s="2293"/>
      <c r="P46" s="3635"/>
      <c r="Q46" s="3361">
        <f t="shared" si="11"/>
        <v>111</v>
      </c>
      <c r="R46" s="1352" t="s">
        <v>61</v>
      </c>
      <c r="S46" s="1353">
        <f t="shared" si="12"/>
        <v>100</v>
      </c>
      <c r="T46" s="1352" t="s">
        <v>61</v>
      </c>
      <c r="U46" s="1353">
        <f t="shared" si="13"/>
        <v>100</v>
      </c>
      <c r="V46" s="1352" t="s">
        <v>61</v>
      </c>
      <c r="W46" s="1353">
        <f t="shared" si="14"/>
        <v>100</v>
      </c>
      <c r="X46" s="3363"/>
      <c r="Y46" s="3637"/>
      <c r="Z46" s="3364">
        <f t="shared" si="15"/>
        <v>111</v>
      </c>
      <c r="AA46" s="3362">
        <f t="shared" si="3"/>
        <v>1</v>
      </c>
      <c r="AB46" s="3362">
        <f t="shared" si="4"/>
        <v>1</v>
      </c>
      <c r="AC46" s="3362">
        <f t="shared" si="5"/>
        <v>1</v>
      </c>
    </row>
    <row r="47" spans="1:29" ht="15">
      <c r="A47" s="163" t="s">
        <v>98</v>
      </c>
      <c r="B47" s="164"/>
      <c r="C47" s="2833" t="s">
        <v>23</v>
      </c>
      <c r="D47" s="2834"/>
      <c r="E47" s="2835">
        <f>ROUND(8.1*1,1)</f>
        <v>8.1</v>
      </c>
      <c r="F47" s="2836"/>
      <c r="G47" s="2837">
        <f>ROUND(7.6*1,1)</f>
        <v>7.6</v>
      </c>
      <c r="H47" s="2838"/>
      <c r="I47" s="2835">
        <f>ROUND(8*1,1)</f>
        <v>8</v>
      </c>
      <c r="J47" s="2838"/>
      <c r="K47" s="1393"/>
      <c r="L47" s="2300"/>
      <c r="M47" s="2301"/>
      <c r="N47" s="2293"/>
      <c r="O47" s="2301"/>
      <c r="P47" s="3629" t="str">
        <f>A47</f>
        <v>成交单价（元/平方米）</v>
      </c>
      <c r="Q47" s="3629"/>
      <c r="R47" s="3624">
        <f>E47</f>
        <v>8.1</v>
      </c>
      <c r="S47" s="3624"/>
      <c r="T47" s="3624">
        <f>G47</f>
        <v>7.6</v>
      </c>
      <c r="U47" s="3624"/>
      <c r="V47" s="3624">
        <f>I47</f>
        <v>8</v>
      </c>
      <c r="W47" s="3624"/>
      <c r="X47" s="1365"/>
      <c r="Y47" s="1366"/>
      <c r="Z47" s="1365"/>
      <c r="AA47" s="1365"/>
      <c r="AB47" s="1365"/>
      <c r="AC47" s="1365"/>
    </row>
    <row r="48" spans="1:29" ht="15.75" thickBot="1">
      <c r="A48" s="165" t="s">
        <v>96</v>
      </c>
      <c r="B48" s="166"/>
      <c r="C48" s="2839">
        <f>R49</f>
        <v>8</v>
      </c>
      <c r="D48" s="2840"/>
      <c r="E48" s="2841">
        <f>R48</f>
        <v>8.1</v>
      </c>
      <c r="F48" s="2841"/>
      <c r="G48" s="2839">
        <f>T48</f>
        <v>7.6</v>
      </c>
      <c r="H48" s="2840"/>
      <c r="I48" s="2841">
        <f>V48</f>
        <v>8.1999999999999993</v>
      </c>
      <c r="J48" s="2840"/>
      <c r="K48" s="1394"/>
      <c r="L48" s="2300"/>
      <c r="M48" s="2301"/>
      <c r="N48" s="2293"/>
      <c r="O48" s="2301"/>
      <c r="P48" s="3629" t="str">
        <f>A48</f>
        <v>比较价值（元/平方米）</v>
      </c>
      <c r="Q48" s="3629"/>
      <c r="R48" s="3630">
        <f>IF(F1="售价",ROUND(PRODUCT(R47,AA7:AA46),0),ROUND(PRODUCT(R47,AA7:AA46),1))</f>
        <v>8.1</v>
      </c>
      <c r="S48" s="3630"/>
      <c r="T48" s="3630">
        <f>IF(F1="售价",ROUND(PRODUCT(T47,AB7:AB46),0),ROUND(PRODUCT(T47,AB7:AB46),1))</f>
        <v>7.6</v>
      </c>
      <c r="U48" s="3630"/>
      <c r="V48" s="3630">
        <f>IF(F1="售价",ROUND(PRODUCT(V47,AC7:AC46),0),ROUND(PRODUCT(V47,AC7:AC46),1))</f>
        <v>8.1999999999999993</v>
      </c>
      <c r="W48" s="3630"/>
      <c r="X48" s="1365"/>
      <c r="Y48" s="1365"/>
      <c r="Z48" s="1365"/>
      <c r="AA48" s="1365"/>
      <c r="AB48" s="1365"/>
      <c r="AC48" s="1365"/>
    </row>
    <row r="49" spans="1:29" ht="15.75" thickBot="1">
      <c r="A49" s="115" t="s">
        <v>3016</v>
      </c>
      <c r="B49" s="116"/>
      <c r="C49" s="2843">
        <f>R49</f>
        <v>8</v>
      </c>
      <c r="D49" s="2843"/>
      <c r="E49" s="2843"/>
      <c r="F49" s="2843"/>
      <c r="G49" s="2843"/>
      <c r="H49" s="2843"/>
      <c r="I49" s="2843"/>
      <c r="J49" s="2843"/>
      <c r="K49" s="1395"/>
      <c r="L49" s="2300"/>
      <c r="M49" s="2301"/>
      <c r="N49" s="2293"/>
      <c r="O49" s="2301"/>
      <c r="P49" s="3626" t="str">
        <f>A49</f>
        <v>估价对象XX用房的比较价值（楼面单价，元/平方米）</v>
      </c>
      <c r="Q49" s="3627"/>
      <c r="R49" s="3628">
        <f>IF(F1="售价",ROUND(AVERAGE(R48:V48),0),ROUND(AVERAGE(R48:V48),1))</f>
        <v>8</v>
      </c>
      <c r="S49" s="3628"/>
      <c r="T49" s="3628"/>
      <c r="U49" s="3628"/>
      <c r="V49" s="3628"/>
      <c r="W49" s="3628"/>
      <c r="X49" s="1365"/>
      <c r="Y49" s="1365"/>
      <c r="Z49" s="1365"/>
      <c r="AA49" s="1365"/>
      <c r="AB49" s="1365"/>
      <c r="AC49" s="1365"/>
    </row>
    <row r="50" spans="1:29">
      <c r="A50" s="2301"/>
      <c r="B50" s="2301"/>
      <c r="C50" s="2301"/>
      <c r="D50" s="2301"/>
      <c r="E50" s="2301"/>
      <c r="F50" s="2301"/>
      <c r="G50" s="2310"/>
      <c r="H50" s="2301"/>
      <c r="I50" s="2301"/>
      <c r="J50" s="2301"/>
      <c r="K50" s="2302"/>
      <c r="L50" s="2303"/>
      <c r="M50" s="2301"/>
      <c r="N50" s="2301"/>
      <c r="O50" s="2301"/>
      <c r="P50" s="214"/>
      <c r="Q50" s="1365"/>
      <c r="R50" s="1365"/>
      <c r="S50" s="1365"/>
      <c r="T50" s="1365"/>
      <c r="U50" s="1365"/>
      <c r="V50" s="1365"/>
      <c r="W50" s="1365"/>
      <c r="X50" s="1365"/>
      <c r="Y50" s="1365"/>
      <c r="Z50" s="1365"/>
      <c r="AA50" s="1365"/>
      <c r="AB50" s="1365"/>
      <c r="AC50" s="1365"/>
    </row>
    <row r="51" spans="1:29">
      <c r="A51" s="2301"/>
      <c r="B51" s="2301"/>
      <c r="C51" s="2301"/>
      <c r="D51" s="2301"/>
      <c r="E51" s="2301"/>
      <c r="F51" s="2301"/>
      <c r="G51" s="2301"/>
      <c r="H51" s="2301"/>
      <c r="I51" s="2301"/>
      <c r="J51" s="2301"/>
      <c r="K51" s="2302"/>
      <c r="L51" s="2303"/>
      <c r="M51" s="2301"/>
      <c r="N51" s="2301"/>
      <c r="O51" s="2301"/>
      <c r="P51" s="214"/>
      <c r="Q51" s="1365"/>
      <c r="R51" s="1365"/>
      <c r="S51" s="1365"/>
      <c r="T51" s="1365"/>
      <c r="U51" s="1365"/>
      <c r="V51" s="1365"/>
      <c r="W51" s="1365"/>
      <c r="X51" s="1365"/>
      <c r="Y51" s="1365"/>
      <c r="Z51" s="1365"/>
      <c r="AA51" s="1365"/>
      <c r="AB51" s="1365"/>
      <c r="AC51" s="1365"/>
    </row>
    <row r="52" spans="1:29" ht="13.5" customHeight="1">
      <c r="A52" s="2301"/>
      <c r="B52" s="2301"/>
      <c r="C52" s="840" t="s">
        <v>408</v>
      </c>
      <c r="D52" s="841"/>
      <c r="E52" s="842">
        <f>IF(E47&lt;E48,E48/E47-1,E47/E48-1)</f>
        <v>0</v>
      </c>
      <c r="F52" s="843" t="str">
        <f>IF(OR(E52&gt;=0.3,E52&lt;=-0.3),"超过30%","")</f>
        <v/>
      </c>
      <c r="G52" s="842">
        <f>IF(G47&lt;G48,G48/G47-1,G47/G48-1)</f>
        <v>0</v>
      </c>
      <c r="H52" s="843" t="str">
        <f>IF(OR(G52&gt;=0.3,G52&lt;=-0.3),"超过30%","")</f>
        <v/>
      </c>
      <c r="I52" s="842">
        <f>IF(I47&lt;I48,I48/I47-1,I47/I48-1)</f>
        <v>2.4999999999999911E-2</v>
      </c>
      <c r="J52" s="843" t="str">
        <f>IF(OR(I52&gt;=0.3,I52&lt;=-0.3),"超过30%","")</f>
        <v/>
      </c>
      <c r="K52" s="2302"/>
      <c r="L52" s="2303"/>
      <c r="M52" s="2301"/>
      <c r="N52" s="2301"/>
      <c r="O52" s="2301"/>
      <c r="P52" s="214"/>
      <c r="Q52" s="1365"/>
      <c r="R52" s="1365"/>
      <c r="S52" s="1365"/>
      <c r="T52" s="1365"/>
      <c r="U52" s="1365"/>
      <c r="V52" s="1365"/>
      <c r="W52" s="1365"/>
      <c r="X52" s="1365"/>
      <c r="Y52" s="1365"/>
      <c r="Z52" s="1365"/>
      <c r="AA52" s="1365"/>
      <c r="AB52" s="1365"/>
      <c r="AC52" s="1365"/>
    </row>
    <row r="53" spans="1:29" ht="13.5" customHeight="1">
      <c r="A53" s="2301"/>
      <c r="B53" s="2301"/>
      <c r="C53" s="840" t="s">
        <v>1003</v>
      </c>
      <c r="D53" s="844"/>
      <c r="E53" s="842">
        <f>IF(E48&lt;G48,G48/E48-1,E48/G48-1)</f>
        <v>6.578947368421062E-2</v>
      </c>
      <c r="F53" s="843" t="str">
        <f>IF(OR(E53&gt;=0.2,E53&lt;=-0.2),"超过20%","")</f>
        <v/>
      </c>
      <c r="G53" s="842">
        <f>IF(G48&lt;I48,I48/G48-1,G48/I48-1)</f>
        <v>7.8947368421052655E-2</v>
      </c>
      <c r="H53" s="843" t="str">
        <f>IF(OR(G53&gt;=0.2,G53&lt;=-0.2),"超过20%","")</f>
        <v/>
      </c>
      <c r="I53" s="842">
        <f>IF(I48&lt;E48,E48/I48-1,I48/E48-1)</f>
        <v>1.2345679012345734E-2</v>
      </c>
      <c r="J53" s="843" t="str">
        <f>IF(OR(I53&gt;=0.2,I53&lt;=-0.2),"超过20%","")</f>
        <v/>
      </c>
      <c r="K53" s="2302"/>
      <c r="L53" s="2303"/>
      <c r="M53" s="2301"/>
      <c r="N53" s="2301"/>
      <c r="O53" s="2301"/>
      <c r="P53" s="214"/>
      <c r="Q53" s="1365"/>
      <c r="R53" s="1365"/>
      <c r="S53" s="1365"/>
      <c r="T53" s="1365"/>
      <c r="U53" s="1365"/>
      <c r="V53" s="1365"/>
      <c r="W53" s="1365"/>
      <c r="X53" s="1365"/>
      <c r="Y53" s="1365"/>
      <c r="Z53" s="1365"/>
      <c r="AA53" s="1365"/>
      <c r="AB53" s="1365"/>
      <c r="AC53" s="1365"/>
    </row>
    <row r="54" spans="1:29" s="119" customFormat="1" ht="13.5" customHeight="1">
      <c r="A54" s="2306"/>
      <c r="B54" s="2306"/>
      <c r="C54" s="840" t="s">
        <v>1004</v>
      </c>
      <c r="D54" s="844"/>
      <c r="E54" s="842">
        <f>IF(E47&lt;G47,G47/E47-1,E47/G47-1)</f>
        <v>6.578947368421062E-2</v>
      </c>
      <c r="F54" s="843" t="str">
        <f>IF(OR(E54&gt;=0.3,E54&lt;=-0.3),"超过30%","")</f>
        <v/>
      </c>
      <c r="G54" s="842">
        <f>IF(G47&lt;I47,I47/G47-1,G47/I47-1)</f>
        <v>5.2631578947368363E-2</v>
      </c>
      <c r="H54" s="843" t="str">
        <f>IF(OR(G54&gt;=0.3,G54&lt;=-0.3),"超过30%","")</f>
        <v/>
      </c>
      <c r="I54" s="842">
        <f>IF(I47&lt;E47,E47/I47-1,I47/E47-1)</f>
        <v>1.2499999999999956E-2</v>
      </c>
      <c r="J54" s="843" t="str">
        <f>IF(OR(I54&gt;=0.3,I54&lt;=-0.3),"超过30%","")</f>
        <v/>
      </c>
      <c r="K54" s="2304"/>
      <c r="L54" s="2305"/>
      <c r="M54" s="2306"/>
      <c r="N54" s="2306"/>
      <c r="O54" s="2306"/>
      <c r="P54" s="1396"/>
      <c r="Q54" s="1370"/>
      <c r="R54" s="1370"/>
      <c r="S54" s="1370"/>
      <c r="T54" s="1370"/>
      <c r="U54" s="1370"/>
      <c r="V54" s="1370"/>
      <c r="W54" s="1370"/>
      <c r="X54" s="1370"/>
      <c r="Y54" s="1370"/>
      <c r="Z54" s="1370"/>
      <c r="AA54" s="1370"/>
      <c r="AB54" s="1370"/>
      <c r="AC54" s="1370"/>
    </row>
    <row r="55" spans="1:29" s="119" customFormat="1">
      <c r="A55" s="2306"/>
      <c r="B55" s="2311"/>
      <c r="C55" s="2312"/>
      <c r="D55" s="2306"/>
      <c r="E55" s="2306"/>
      <c r="F55" s="2306"/>
      <c r="G55" s="2306"/>
      <c r="H55" s="2306"/>
      <c r="I55" s="2306"/>
      <c r="J55" s="2306"/>
      <c r="K55" s="2304"/>
      <c r="L55" s="2305"/>
      <c r="M55" s="2306"/>
      <c r="N55" s="2306"/>
      <c r="O55" s="2306"/>
      <c r="P55" s="1396"/>
      <c r="Q55" s="1370"/>
      <c r="R55" s="1370"/>
      <c r="S55" s="1370"/>
      <c r="T55" s="1370"/>
      <c r="U55" s="1370"/>
      <c r="V55" s="1370"/>
      <c r="W55" s="1370"/>
      <c r="X55" s="1370"/>
      <c r="Y55" s="1370"/>
      <c r="Z55" s="1370"/>
      <c r="AA55" s="1370"/>
      <c r="AB55" s="1370"/>
      <c r="AC55" s="1370"/>
    </row>
    <row r="56" spans="1:29">
      <c r="A56" s="2301"/>
      <c r="B56" s="2311"/>
      <c r="C56" s="2312"/>
      <c r="D56" s="2301"/>
      <c r="E56" s="2301"/>
      <c r="F56" s="2301"/>
      <c r="G56" s="2301"/>
      <c r="H56" s="2301"/>
      <c r="I56" s="2301"/>
      <c r="J56" s="2301"/>
      <c r="K56" s="2302"/>
      <c r="L56" s="2303"/>
      <c r="M56" s="2301"/>
      <c r="N56" s="2301"/>
      <c r="O56" s="2301"/>
      <c r="P56" s="214"/>
      <c r="Q56" s="1365"/>
      <c r="R56" s="1365"/>
      <c r="S56" s="1365"/>
      <c r="T56" s="1365"/>
      <c r="U56" s="1365"/>
      <c r="V56" s="1365"/>
      <c r="W56" s="1365"/>
      <c r="X56" s="1365"/>
      <c r="Y56" s="1365"/>
      <c r="Z56" s="1365"/>
      <c r="AA56" s="1365"/>
      <c r="AB56" s="1365"/>
      <c r="AC56" s="1365"/>
    </row>
    <row r="57" spans="1:29" ht="21" thickBot="1">
      <c r="A57" s="1372" t="s">
        <v>123</v>
      </c>
      <c r="B57" s="1365"/>
      <c r="C57" s="1373"/>
      <c r="D57" s="1373"/>
      <c r="E57" s="1373"/>
      <c r="F57" s="1374"/>
      <c r="G57" s="1374"/>
      <c r="H57" s="1373"/>
      <c r="I57" s="1373"/>
      <c r="J57" s="1373"/>
      <c r="K57" s="1375"/>
      <c r="L57" s="2308"/>
      <c r="M57" s="2309"/>
      <c r="N57" s="2309"/>
      <c r="O57" s="2309"/>
      <c r="P57" s="1397"/>
      <c r="Q57" s="1398"/>
      <c r="R57" s="1365"/>
      <c r="S57" s="1365"/>
      <c r="T57" s="1365"/>
      <c r="U57" s="1365"/>
      <c r="V57" s="1365"/>
      <c r="W57" s="1365"/>
      <c r="X57" s="1365"/>
      <c r="Y57" s="1365"/>
      <c r="Z57" s="1365"/>
      <c r="AA57" s="1365"/>
      <c r="AB57" s="1365"/>
      <c r="AC57" s="1365"/>
    </row>
    <row r="58" spans="1:29" s="851" customFormat="1" ht="15">
      <c r="A58" s="848" t="s">
        <v>394</v>
      </c>
      <c r="B58" s="849"/>
      <c r="C58" s="3042" t="str">
        <f>YEAR(C7)&amp;"-"&amp;MONTH(C7)</f>
        <v>2017-8</v>
      </c>
      <c r="D58" s="3043">
        <f>EDATE(C58,-1)</f>
        <v>42917</v>
      </c>
      <c r="E58" s="3043">
        <f t="shared" ref="E58:N58" si="16">EDATE(D58,-1)</f>
        <v>42887</v>
      </c>
      <c r="F58" s="3043">
        <f t="shared" si="16"/>
        <v>42856</v>
      </c>
      <c r="G58" s="3043">
        <f t="shared" si="16"/>
        <v>42826</v>
      </c>
      <c r="H58" s="3043">
        <f t="shared" si="16"/>
        <v>42795</v>
      </c>
      <c r="I58" s="3043">
        <f t="shared" si="16"/>
        <v>42767</v>
      </c>
      <c r="J58" s="3043">
        <f t="shared" si="16"/>
        <v>42736</v>
      </c>
      <c r="K58" s="3043">
        <f t="shared" si="16"/>
        <v>42705</v>
      </c>
      <c r="L58" s="3043">
        <f t="shared" si="16"/>
        <v>42675</v>
      </c>
      <c r="M58" s="3043">
        <f t="shared" si="16"/>
        <v>42644</v>
      </c>
      <c r="N58" s="3043">
        <f t="shared" si="16"/>
        <v>42614</v>
      </c>
      <c r="O58" s="3043">
        <f>EDATE(N58,-1)</f>
        <v>42583</v>
      </c>
      <c r="P58" s="3036"/>
    </row>
    <row r="59" spans="1:29" s="40" customFormat="1" ht="14.25">
      <c r="A59" s="1045"/>
      <c r="B59" s="1046"/>
      <c r="C59" s="3040">
        <v>100</v>
      </c>
      <c r="D59" s="855"/>
      <c r="E59" s="855"/>
      <c r="F59" s="855"/>
      <c r="G59" s="855"/>
      <c r="H59" s="855"/>
      <c r="I59" s="855"/>
      <c r="J59" s="855"/>
      <c r="K59" s="855"/>
      <c r="L59" s="855"/>
      <c r="M59" s="856"/>
      <c r="N59" s="855"/>
      <c r="O59" s="856"/>
      <c r="P59" s="1377"/>
    </row>
    <row r="60" spans="1:29" s="40" customFormat="1" ht="15" thickBot="1">
      <c r="A60" s="1047" t="s">
        <v>114</v>
      </c>
      <c r="B60" s="1048"/>
      <c r="C60" s="860"/>
      <c r="D60" s="861"/>
      <c r="E60" s="861"/>
      <c r="F60" s="861"/>
      <c r="G60" s="861"/>
      <c r="H60" s="861"/>
      <c r="I60" s="861"/>
      <c r="J60" s="861"/>
      <c r="K60" s="861"/>
      <c r="L60" s="861"/>
      <c r="M60" s="862"/>
      <c r="N60" s="861"/>
      <c r="O60" s="862"/>
      <c r="P60" s="1377"/>
      <c r="Q60" s="121"/>
    </row>
    <row r="61" spans="1:29" s="40" customFormat="1">
      <c r="A61" s="1049" t="s">
        <v>62</v>
      </c>
      <c r="B61" s="1046"/>
      <c r="C61" s="1050" t="s">
        <v>112</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63</v>
      </c>
      <c r="B63" s="286" t="s">
        <v>64</v>
      </c>
      <c r="C63" s="176" t="str">
        <f>C9</f>
        <v>商业</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102</v>
      </c>
      <c r="C65" s="882" t="s">
        <v>416</v>
      </c>
      <c r="D65" s="882" t="s">
        <v>417</v>
      </c>
      <c r="E65" s="882" t="s">
        <v>418</v>
      </c>
      <c r="F65" s="882" t="s">
        <v>419</v>
      </c>
      <c r="G65" s="882" t="s">
        <v>434</v>
      </c>
      <c r="H65" s="882" t="s">
        <v>435</v>
      </c>
      <c r="I65" s="882" t="s">
        <v>1011</v>
      </c>
      <c r="J65" s="882"/>
      <c r="K65" s="883"/>
      <c r="L65" s="884"/>
      <c r="M65" s="885"/>
      <c r="N65" s="1389"/>
      <c r="O65" s="1389"/>
      <c r="P65" s="1379"/>
      <c r="Q65" s="121"/>
    </row>
    <row r="66" spans="1:17" ht="15" thickBot="1">
      <c r="A66" s="173"/>
      <c r="B66" s="1055"/>
      <c r="C66" s="887" t="s">
        <v>134</v>
      </c>
      <c r="D66" s="887" t="s">
        <v>135</v>
      </c>
      <c r="E66" s="887" t="s">
        <v>136</v>
      </c>
      <c r="F66" s="887">
        <v>100</v>
      </c>
      <c r="G66" s="887">
        <f>F66-$K10</f>
        <v>98</v>
      </c>
      <c r="H66" s="887">
        <f>G66-$K10</f>
        <v>96</v>
      </c>
      <c r="I66" s="887">
        <f>H66-$K10</f>
        <v>94</v>
      </c>
      <c r="J66" s="887"/>
      <c r="K66" s="887"/>
      <c r="L66" s="887"/>
      <c r="M66" s="888"/>
      <c r="N66" s="1390"/>
      <c r="O66" s="1390"/>
      <c r="P66" s="1379"/>
      <c r="Q66" s="121"/>
    </row>
    <row r="67" spans="1:17" ht="15" thickTop="1">
      <c r="A67" s="173"/>
      <c r="B67" s="1056" t="s">
        <v>89</v>
      </c>
      <c r="C67" s="890" t="str">
        <f>C68&amp;"（含）"&amp;"-"&amp;D68</f>
        <v>1（含）-2</v>
      </c>
      <c r="D67" s="890" t="str">
        <f t="shared" ref="D67:L67" si="17">D68&amp;"（含）"&amp;"-"&amp;E68</f>
        <v>2（含）-3</v>
      </c>
      <c r="E67" s="890" t="str">
        <f t="shared" si="17"/>
        <v>3（含）-4</v>
      </c>
      <c r="F67" s="890" t="str">
        <f t="shared" si="17"/>
        <v>4（含）-5</v>
      </c>
      <c r="G67" s="890" t="str">
        <f t="shared" si="17"/>
        <v>5（含）-6</v>
      </c>
      <c r="H67" s="890" t="str">
        <f t="shared" si="17"/>
        <v>6（含）-7</v>
      </c>
      <c r="I67" s="890" t="str">
        <f t="shared" si="17"/>
        <v>7（含）-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v>1</v>
      </c>
      <c r="D68" s="892">
        <v>2</v>
      </c>
      <c r="E68" s="892">
        <v>3</v>
      </c>
      <c r="F68" s="892">
        <v>4</v>
      </c>
      <c r="G68" s="892">
        <v>5</v>
      </c>
      <c r="H68" s="892">
        <v>6</v>
      </c>
      <c r="I68" s="892">
        <v>7</v>
      </c>
      <c r="J68" s="892"/>
      <c r="K68" s="893"/>
      <c r="L68" s="894"/>
      <c r="M68" s="895"/>
      <c r="N68" s="1389"/>
      <c r="O68" s="1389"/>
      <c r="P68" s="1379"/>
      <c r="Q68" s="121"/>
    </row>
    <row r="69" spans="1:17" ht="15" thickBot="1">
      <c r="A69" s="173"/>
      <c r="B69" s="1053"/>
      <c r="C69" s="887">
        <v>100</v>
      </c>
      <c r="D69" s="887">
        <f t="shared" ref="D69:M69" si="18">C69-$K11</f>
        <v>98</v>
      </c>
      <c r="E69" s="887">
        <f t="shared" si="18"/>
        <v>96</v>
      </c>
      <c r="F69" s="887">
        <f t="shared" si="18"/>
        <v>94</v>
      </c>
      <c r="G69" s="887">
        <f t="shared" si="18"/>
        <v>92</v>
      </c>
      <c r="H69" s="887">
        <f t="shared" si="18"/>
        <v>90</v>
      </c>
      <c r="I69" s="887">
        <f t="shared" si="18"/>
        <v>88</v>
      </c>
      <c r="J69" s="887">
        <f t="shared" si="18"/>
        <v>86</v>
      </c>
      <c r="K69" s="887">
        <f t="shared" si="18"/>
        <v>84</v>
      </c>
      <c r="L69" s="887">
        <f t="shared" si="18"/>
        <v>82</v>
      </c>
      <c r="M69" s="888">
        <f t="shared" si="18"/>
        <v>80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65</v>
      </c>
      <c r="B76" s="286" t="s">
        <v>106</v>
      </c>
      <c r="C76" s="916" t="s">
        <v>1012</v>
      </c>
      <c r="D76" s="916" t="s">
        <v>422</v>
      </c>
      <c r="E76" s="916" t="s">
        <v>1014</v>
      </c>
      <c r="F76" s="916" t="s">
        <v>424</v>
      </c>
      <c r="G76" s="916" t="s">
        <v>425</v>
      </c>
      <c r="H76" s="872"/>
      <c r="I76" s="872"/>
      <c r="J76" s="872"/>
      <c r="K76" s="917"/>
      <c r="L76" s="918"/>
      <c r="M76" s="919"/>
      <c r="N76" s="1389"/>
      <c r="O76" s="1389"/>
      <c r="P76" s="1383"/>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90"/>
      <c r="O77" s="1390"/>
      <c r="P77" s="1379"/>
      <c r="Q77" s="121"/>
    </row>
    <row r="78" spans="1:17" ht="15" thickTop="1">
      <c r="A78" s="173"/>
      <c r="B78" s="1054" t="s">
        <v>88</v>
      </c>
      <c r="C78" s="921" t="s">
        <v>421</v>
      </c>
      <c r="D78" s="921" t="s">
        <v>422</v>
      </c>
      <c r="E78" s="921" t="s">
        <v>423</v>
      </c>
      <c r="F78" s="921" t="s">
        <v>424</v>
      </c>
      <c r="G78" s="921" t="s">
        <v>425</v>
      </c>
      <c r="H78" s="882"/>
      <c r="I78" s="882"/>
      <c r="J78" s="882"/>
      <c r="K78" s="883"/>
      <c r="L78" s="884"/>
      <c r="M78" s="885"/>
      <c r="N78" s="1389"/>
      <c r="O78" s="1389"/>
      <c r="P78" s="1379"/>
      <c r="Q78" s="121"/>
    </row>
    <row r="79" spans="1:17" ht="15" thickBot="1">
      <c r="A79" s="173"/>
      <c r="B79" s="1055"/>
      <c r="C79" s="887">
        <v>100</v>
      </c>
      <c r="D79" s="887">
        <f>C79-$K17</f>
        <v>98</v>
      </c>
      <c r="E79" s="887">
        <f>D79-$K17</f>
        <v>96</v>
      </c>
      <c r="F79" s="887">
        <f>E79-$K17</f>
        <v>94</v>
      </c>
      <c r="G79" s="887">
        <f>F79-$K17</f>
        <v>92</v>
      </c>
      <c r="H79" s="887"/>
      <c r="I79" s="887"/>
      <c r="J79" s="887"/>
      <c r="K79" s="887"/>
      <c r="L79" s="887"/>
      <c r="M79" s="888"/>
      <c r="N79" s="1390"/>
      <c r="O79" s="1390"/>
      <c r="P79" s="1379"/>
      <c r="Q79" s="121"/>
    </row>
    <row r="80" spans="1:17" ht="15" thickTop="1">
      <c r="A80" s="173"/>
      <c r="B80" s="1054" t="s">
        <v>31</v>
      </c>
      <c r="C80" s="921" t="s">
        <v>421</v>
      </c>
      <c r="D80" s="921" t="s">
        <v>422</v>
      </c>
      <c r="E80" s="921" t="s">
        <v>423</v>
      </c>
      <c r="F80" s="921" t="s">
        <v>424</v>
      </c>
      <c r="G80" s="921" t="s">
        <v>425</v>
      </c>
      <c r="H80" s="882"/>
      <c r="I80" s="882"/>
      <c r="J80" s="882"/>
      <c r="K80" s="883"/>
      <c r="L80" s="884"/>
      <c r="M80" s="885"/>
      <c r="N80" s="1389"/>
      <c r="O80" s="1389"/>
      <c r="P80" s="1379"/>
      <c r="Q80" s="121"/>
    </row>
    <row r="81" spans="1:17" ht="15" thickBot="1">
      <c r="A81" s="173"/>
      <c r="B81" s="1055"/>
      <c r="C81" s="887">
        <v>100</v>
      </c>
      <c r="D81" s="887">
        <f>C81-$K19</f>
        <v>98</v>
      </c>
      <c r="E81" s="887">
        <f>D81-$K19</f>
        <v>96</v>
      </c>
      <c r="F81" s="887">
        <f>E81-$K19</f>
        <v>94</v>
      </c>
      <c r="G81" s="887">
        <f>F81-$K19</f>
        <v>92</v>
      </c>
      <c r="H81" s="887"/>
      <c r="I81" s="887"/>
      <c r="J81" s="887"/>
      <c r="K81" s="887"/>
      <c r="L81" s="887"/>
      <c r="M81" s="888"/>
      <c r="N81" s="1390"/>
      <c r="O81" s="1390"/>
      <c r="P81" s="1379"/>
      <c r="Q81" s="121"/>
    </row>
    <row r="82" spans="1:17" ht="15" thickTop="1">
      <c r="A82" s="173"/>
      <c r="B82" s="1056" t="s">
        <v>2651</v>
      </c>
      <c r="C82" s="213" t="s">
        <v>2654</v>
      </c>
      <c r="D82" s="213" t="s">
        <v>2655</v>
      </c>
      <c r="E82" s="213" t="s">
        <v>2656</v>
      </c>
      <c r="F82" s="213" t="s">
        <v>2657</v>
      </c>
      <c r="G82" s="213" t="s">
        <v>2658</v>
      </c>
      <c r="H82" s="882"/>
      <c r="I82" s="882"/>
      <c r="J82" s="882"/>
      <c r="K82" s="882"/>
      <c r="L82" s="882"/>
      <c r="M82" s="2762"/>
      <c r="N82" s="1390"/>
      <c r="O82" s="1390"/>
      <c r="P82" s="1379"/>
      <c r="Q82" s="121"/>
    </row>
    <row r="83" spans="1:17" ht="15" thickBot="1">
      <c r="A83" s="173"/>
      <c r="B83" s="1056"/>
      <c r="C83" s="887">
        <v>100</v>
      </c>
      <c r="D83" s="887">
        <f>C83-$K21</f>
        <v>98</v>
      </c>
      <c r="E83" s="887">
        <f t="shared" ref="E83:G83" si="19">D83-$K21</f>
        <v>96</v>
      </c>
      <c r="F83" s="887">
        <f t="shared" si="19"/>
        <v>94</v>
      </c>
      <c r="G83" s="887">
        <f t="shared" si="19"/>
        <v>92</v>
      </c>
      <c r="H83" s="1003"/>
      <c r="I83" s="1003"/>
      <c r="J83" s="1003"/>
      <c r="K83" s="1003"/>
      <c r="L83" s="1003"/>
      <c r="M83" s="793"/>
      <c r="N83" s="1390"/>
      <c r="O83" s="1390"/>
      <c r="P83" s="1379"/>
      <c r="Q83" s="121"/>
    </row>
    <row r="84" spans="1:17" ht="15" thickTop="1">
      <c r="A84" s="173"/>
      <c r="B84" s="1054" t="s">
        <v>94</v>
      </c>
      <c r="C84" s="921" t="s">
        <v>421</v>
      </c>
      <c r="D84" s="921" t="s">
        <v>422</v>
      </c>
      <c r="E84" s="921" t="s">
        <v>423</v>
      </c>
      <c r="F84" s="921" t="s">
        <v>424</v>
      </c>
      <c r="G84" s="921" t="s">
        <v>425</v>
      </c>
      <c r="H84" s="882"/>
      <c r="I84" s="882"/>
      <c r="J84" s="882"/>
      <c r="K84" s="883"/>
      <c r="L84" s="884"/>
      <c r="M84" s="885"/>
      <c r="N84" s="1389"/>
      <c r="O84" s="1389"/>
      <c r="P84" s="1379"/>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90"/>
      <c r="O85" s="1390"/>
      <c r="P85" s="1379"/>
      <c r="Q85" s="121"/>
    </row>
    <row r="86" spans="1:17" s="40" customFormat="1" ht="14.25" thickTop="1">
      <c r="A86" s="1072"/>
      <c r="B86" s="1054" t="s">
        <v>1051</v>
      </c>
      <c r="C86" s="139" t="s">
        <v>3502</v>
      </c>
      <c r="D86" s="139" t="s">
        <v>3503</v>
      </c>
      <c r="E86" s="139" t="s">
        <v>3504</v>
      </c>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98</v>
      </c>
      <c r="E87" s="887">
        <f t="shared" si="20"/>
        <v>96</v>
      </c>
      <c r="F87" s="887">
        <f t="shared" si="20"/>
        <v>94</v>
      </c>
      <c r="G87" s="887">
        <f t="shared" si="20"/>
        <v>92</v>
      </c>
      <c r="H87" s="887">
        <f t="shared" si="20"/>
        <v>90</v>
      </c>
      <c r="I87" s="887">
        <f t="shared" si="20"/>
        <v>88</v>
      </c>
      <c r="J87" s="887">
        <f t="shared" si="20"/>
        <v>86</v>
      </c>
      <c r="K87" s="887">
        <f t="shared" si="20"/>
        <v>84</v>
      </c>
      <c r="L87" s="887">
        <f t="shared" si="20"/>
        <v>82</v>
      </c>
      <c r="M87" s="887">
        <f t="shared" si="20"/>
        <v>80</v>
      </c>
      <c r="N87" s="1390"/>
      <c r="O87" s="1390"/>
      <c r="P87" s="1379"/>
      <c r="Q87" s="121"/>
    </row>
    <row r="88" spans="1:17" s="40" customFormat="1" ht="14.25" thickTop="1">
      <c r="A88" s="1072"/>
      <c r="B88" s="1054" t="str">
        <f>B26</f>
        <v>平面位置/可视性</v>
      </c>
      <c r="C88" s="139" t="s">
        <v>3511</v>
      </c>
      <c r="D88" s="139" t="s">
        <v>3512</v>
      </c>
      <c r="E88" s="139" t="s">
        <v>3513</v>
      </c>
      <c r="F88" s="1386" t="s">
        <v>3514</v>
      </c>
      <c r="G88" s="139" t="s">
        <v>3515</v>
      </c>
      <c r="H88" s="139"/>
      <c r="I88" s="139"/>
      <c r="J88" s="139"/>
      <c r="K88" s="139"/>
      <c r="L88" s="139"/>
      <c r="M88" s="1385"/>
      <c r="N88" s="1388"/>
      <c r="O88" s="1388"/>
      <c r="P88" s="1379"/>
      <c r="Q88" s="121"/>
    </row>
    <row r="89" spans="1:17" s="40" customFormat="1" ht="15" thickBot="1">
      <c r="A89" s="1072"/>
      <c r="B89" s="1055"/>
      <c r="C89" s="903">
        <v>100</v>
      </c>
      <c r="D89" s="879">
        <v>98</v>
      </c>
      <c r="E89" s="879">
        <v>96</v>
      </c>
      <c r="F89" s="879">
        <v>94</v>
      </c>
      <c r="G89" s="879">
        <v>92</v>
      </c>
      <c r="H89" s="879"/>
      <c r="I89" s="879"/>
      <c r="J89" s="879"/>
      <c r="K89" s="879"/>
      <c r="L89" s="879"/>
      <c r="M89" s="879"/>
      <c r="N89" s="1390"/>
      <c r="O89" s="1390"/>
      <c r="P89" s="1379"/>
      <c r="Q89" s="121"/>
    </row>
    <row r="90" spans="1:17" s="1039" customFormat="1" ht="14.25" thickTop="1">
      <c r="A90" s="1058"/>
      <c r="B90" s="1054" t="str">
        <f>B27</f>
        <v>人流量</v>
      </c>
      <c r="C90" s="139" t="s">
        <v>2575</v>
      </c>
      <c r="D90" s="139" t="s">
        <v>3507</v>
      </c>
      <c r="E90" s="139" t="s">
        <v>1046</v>
      </c>
      <c r="F90" s="139" t="s">
        <v>3509</v>
      </c>
      <c r="G90" s="139" t="s">
        <v>2577</v>
      </c>
      <c r="H90" s="1059"/>
      <c r="I90" s="1059"/>
      <c r="J90" s="1059"/>
      <c r="K90" s="1059"/>
      <c r="L90" s="1060"/>
      <c r="M90" s="1061"/>
      <c r="N90" s="1391"/>
      <c r="O90" s="1391"/>
      <c r="P90" s="1380"/>
      <c r="Q90" s="1063"/>
    </row>
    <row r="91" spans="1:17" s="1039" customFormat="1" ht="15" thickBot="1">
      <c r="A91" s="1058"/>
      <c r="B91" s="1055"/>
      <c r="C91" s="925">
        <v>100</v>
      </c>
      <c r="D91" s="887">
        <f>C91-$K27</f>
        <v>98</v>
      </c>
      <c r="E91" s="887">
        <f t="shared" ref="E91:M91" si="21">D91-$K27</f>
        <v>96</v>
      </c>
      <c r="F91" s="887">
        <f t="shared" si="21"/>
        <v>94</v>
      </c>
      <c r="G91" s="887">
        <f t="shared" si="21"/>
        <v>92</v>
      </c>
      <c r="H91" s="887">
        <f t="shared" si="21"/>
        <v>90</v>
      </c>
      <c r="I91" s="887">
        <f t="shared" si="21"/>
        <v>88</v>
      </c>
      <c r="J91" s="887">
        <f t="shared" si="21"/>
        <v>86</v>
      </c>
      <c r="K91" s="887">
        <f t="shared" si="21"/>
        <v>84</v>
      </c>
      <c r="L91" s="887">
        <f t="shared" si="21"/>
        <v>82</v>
      </c>
      <c r="M91" s="887">
        <f t="shared" si="21"/>
        <v>80</v>
      </c>
      <c r="N91" s="1391"/>
      <c r="O91" s="1391"/>
      <c r="P91" s="1380"/>
      <c r="Q91" s="1063"/>
    </row>
    <row r="92" spans="1:17" ht="27.75" thickTop="1">
      <c r="A92" s="173"/>
      <c r="B92" s="1054" t="str">
        <f>B28</f>
        <v>楼层</v>
      </c>
      <c r="C92" s="139" t="s">
        <v>3516</v>
      </c>
      <c r="D92" s="139" t="s">
        <v>3517</v>
      </c>
      <c r="E92" s="139"/>
      <c r="F92" s="139"/>
      <c r="G92" s="139"/>
      <c r="H92" s="139"/>
      <c r="I92" s="139"/>
      <c r="J92" s="139"/>
      <c r="K92" s="139"/>
      <c r="L92" s="1384"/>
      <c r="M92" s="1385"/>
      <c r="N92" s="1389"/>
      <c r="O92" s="1389"/>
      <c r="P92" s="1379"/>
      <c r="Q92" s="121"/>
    </row>
    <row r="93" spans="1:17" ht="15" thickBot="1">
      <c r="A93" s="173"/>
      <c r="B93" s="1055"/>
      <c r="C93" s="879">
        <v>100</v>
      </c>
      <c r="D93" s="879">
        <v>90</v>
      </c>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66</v>
      </c>
      <c r="B100" s="286" t="s">
        <v>1053</v>
      </c>
      <c r="C100" s="122" t="s">
        <v>3518</v>
      </c>
      <c r="D100" s="122" t="s">
        <v>3519</v>
      </c>
      <c r="E100" s="122" t="s">
        <v>3520</v>
      </c>
      <c r="F100" s="122" t="s">
        <v>3521</v>
      </c>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98</v>
      </c>
      <c r="E101" s="887">
        <f t="shared" si="22"/>
        <v>96</v>
      </c>
      <c r="F101" s="887">
        <f t="shared" si="22"/>
        <v>94</v>
      </c>
      <c r="G101" s="887">
        <f t="shared" si="22"/>
        <v>92</v>
      </c>
      <c r="H101" s="887">
        <f t="shared" si="22"/>
        <v>90</v>
      </c>
      <c r="I101" s="887">
        <f t="shared" si="22"/>
        <v>88</v>
      </c>
      <c r="J101" s="887">
        <f t="shared" si="22"/>
        <v>86</v>
      </c>
      <c r="K101" s="887">
        <f t="shared" si="22"/>
        <v>84</v>
      </c>
      <c r="L101" s="887">
        <f t="shared" si="22"/>
        <v>82</v>
      </c>
      <c r="M101" s="888">
        <f t="shared" si="22"/>
        <v>80</v>
      </c>
      <c r="N101" s="1390"/>
      <c r="O101" s="1390"/>
      <c r="P101" s="1379"/>
      <c r="Q101" s="121"/>
    </row>
    <row r="102" spans="1:17" ht="29.25" thickTop="1">
      <c r="A102" s="173"/>
      <c r="B102" s="1054" t="s">
        <v>92</v>
      </c>
      <c r="C102" s="921" t="str">
        <f>C103&amp;"(含)"&amp;"-"&amp;D103</f>
        <v>0(含)-100000</v>
      </c>
      <c r="D102" s="921" t="str">
        <f t="shared" ref="D102:L102" si="23">D103&amp;"(含)"&amp;"-"&amp;E103</f>
        <v>100000(含)-200000</v>
      </c>
      <c r="E102" s="921" t="str">
        <f t="shared" si="23"/>
        <v>200000(含)-300000</v>
      </c>
      <c r="F102" s="921" t="str">
        <f t="shared" si="23"/>
        <v>300000(含)-400000</v>
      </c>
      <c r="G102" s="921" t="str">
        <f t="shared" si="23"/>
        <v>400000(含)-500000</v>
      </c>
      <c r="H102" s="921" t="str">
        <f t="shared" si="23"/>
        <v>500000(含)-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v>0</v>
      </c>
      <c r="D103" s="938">
        <v>100000</v>
      </c>
      <c r="E103" s="938">
        <v>200000</v>
      </c>
      <c r="F103" s="938">
        <v>300000</v>
      </c>
      <c r="G103" s="938">
        <v>400000</v>
      </c>
      <c r="H103" s="938">
        <v>500000</v>
      </c>
      <c r="I103" s="938"/>
      <c r="J103" s="939"/>
      <c r="K103" s="939"/>
      <c r="L103" s="940"/>
      <c r="M103" s="941"/>
      <c r="N103" s="1391"/>
      <c r="O103" s="1391"/>
      <c r="P103" s="1380"/>
      <c r="Q103" s="1063"/>
    </row>
    <row r="104" spans="1:17" s="1039" customFormat="1" ht="15" thickBot="1">
      <c r="A104" s="1058"/>
      <c r="B104" s="1055"/>
      <c r="C104" s="903">
        <v>100</v>
      </c>
      <c r="D104" s="879">
        <v>101</v>
      </c>
      <c r="E104" s="879">
        <v>102</v>
      </c>
      <c r="F104" s="879">
        <v>103</v>
      </c>
      <c r="G104" s="879">
        <v>104</v>
      </c>
      <c r="H104" s="879">
        <v>105</v>
      </c>
      <c r="I104" s="879"/>
      <c r="J104" s="879"/>
      <c r="K104" s="879"/>
      <c r="L104" s="879"/>
      <c r="M104" s="880"/>
      <c r="N104" s="1390"/>
      <c r="O104" s="1390"/>
      <c r="P104" s="1380"/>
      <c r="Q104" s="1063"/>
    </row>
    <row r="105" spans="1:17" ht="14.25" thickTop="1">
      <c r="A105" s="175"/>
      <c r="B105" s="1054" t="s">
        <v>91</v>
      </c>
      <c r="C105" s="139" t="s">
        <v>103</v>
      </c>
      <c r="D105" s="139" t="s">
        <v>3470</v>
      </c>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90"/>
      <c r="O106" s="1390"/>
      <c r="P106" s="1379"/>
      <c r="Q106" s="121"/>
    </row>
    <row r="107" spans="1:17" ht="14.25" thickTop="1">
      <c r="A107" s="175"/>
      <c r="B107" s="1054" t="s">
        <v>120</v>
      </c>
      <c r="C107" s="139" t="s">
        <v>3472</v>
      </c>
      <c r="D107" s="139" t="s">
        <v>3473</v>
      </c>
      <c r="E107" s="139" t="s">
        <v>3474</v>
      </c>
      <c r="F107" s="131" t="s">
        <v>3475</v>
      </c>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90"/>
      <c r="O108" s="1390"/>
      <c r="P108" s="1379"/>
      <c r="Q108" s="121"/>
    </row>
    <row r="109" spans="1:17" ht="15" thickTop="1">
      <c r="A109" s="175"/>
      <c r="B109" s="1054" t="s">
        <v>108</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102</v>
      </c>
      <c r="E111" s="887">
        <f t="shared" ref="E111:M111" si="26">D111+$K36</f>
        <v>104</v>
      </c>
      <c r="F111" s="887">
        <f t="shared" si="26"/>
        <v>106</v>
      </c>
      <c r="G111" s="887">
        <f t="shared" si="26"/>
        <v>108</v>
      </c>
      <c r="H111" s="887">
        <f t="shared" si="26"/>
        <v>110</v>
      </c>
      <c r="I111" s="887">
        <f t="shared" si="26"/>
        <v>112</v>
      </c>
      <c r="J111" s="887">
        <f t="shared" si="26"/>
        <v>114</v>
      </c>
      <c r="K111" s="887">
        <f t="shared" si="26"/>
        <v>116</v>
      </c>
      <c r="L111" s="887">
        <f t="shared" si="26"/>
        <v>118</v>
      </c>
      <c r="M111" s="887">
        <f t="shared" si="26"/>
        <v>120</v>
      </c>
      <c r="N111" s="1390"/>
      <c r="O111" s="1390"/>
      <c r="P111" s="1379"/>
      <c r="Q111" s="121"/>
    </row>
    <row r="112" spans="1:17" s="1039" customFormat="1" ht="14.25" thickTop="1">
      <c r="A112" s="1073"/>
      <c r="B112" s="1054" t="s">
        <v>2636</v>
      </c>
      <c r="C112" s="139" t="s">
        <v>3483</v>
      </c>
      <c r="D112" s="139" t="s">
        <v>3484</v>
      </c>
      <c r="E112" s="139" t="s">
        <v>3485</v>
      </c>
      <c r="F112" s="139" t="s">
        <v>3486</v>
      </c>
      <c r="G112" s="139" t="s">
        <v>3487</v>
      </c>
      <c r="H112" s="131"/>
      <c r="I112" s="131"/>
      <c r="J112" s="131"/>
      <c r="K112" s="132"/>
      <c r="L112" s="133"/>
      <c r="M112" s="134"/>
      <c r="N112" s="1391"/>
      <c r="O112" s="1391"/>
      <c r="P112" s="1380"/>
      <c r="Q112" s="1063"/>
    </row>
    <row r="113" spans="1:17" s="1039" customFormat="1" ht="15" thickBot="1">
      <c r="A113" s="1058"/>
      <c r="B113" s="1055"/>
      <c r="C113" s="887">
        <v>100</v>
      </c>
      <c r="D113" s="887">
        <f>C113-$K37</f>
        <v>99</v>
      </c>
      <c r="E113" s="887">
        <f t="shared" ref="E113:M113" si="27">D113-$K37</f>
        <v>98</v>
      </c>
      <c r="F113" s="887">
        <f t="shared" si="27"/>
        <v>97</v>
      </c>
      <c r="G113" s="887">
        <f t="shared" si="27"/>
        <v>96</v>
      </c>
      <c r="H113" s="887">
        <f t="shared" si="27"/>
        <v>95</v>
      </c>
      <c r="I113" s="887">
        <f t="shared" si="27"/>
        <v>94</v>
      </c>
      <c r="J113" s="887">
        <f t="shared" si="27"/>
        <v>93</v>
      </c>
      <c r="K113" s="887">
        <f t="shared" si="27"/>
        <v>92</v>
      </c>
      <c r="L113" s="887">
        <f t="shared" si="27"/>
        <v>91</v>
      </c>
      <c r="M113" s="887">
        <f t="shared" si="27"/>
        <v>90</v>
      </c>
      <c r="N113" s="1391"/>
      <c r="O113" s="1391"/>
      <c r="P113" s="1380"/>
      <c r="Q113" s="1063"/>
    </row>
    <row r="114" spans="1:17" ht="14.25" thickTop="1">
      <c r="A114" s="175"/>
      <c r="B114" s="1054" t="s">
        <v>1058</v>
      </c>
      <c r="C114" s="139" t="s">
        <v>3526</v>
      </c>
      <c r="D114" s="139" t="s">
        <v>3527</v>
      </c>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95</v>
      </c>
      <c r="E115" s="887">
        <f t="shared" si="28"/>
        <v>90</v>
      </c>
      <c r="F115" s="887">
        <f t="shared" si="28"/>
        <v>85</v>
      </c>
      <c r="G115" s="887">
        <f t="shared" si="28"/>
        <v>80</v>
      </c>
      <c r="H115" s="887">
        <f t="shared" si="28"/>
        <v>75</v>
      </c>
      <c r="I115" s="887">
        <f t="shared" si="28"/>
        <v>70</v>
      </c>
      <c r="J115" s="887">
        <f t="shared" si="28"/>
        <v>65</v>
      </c>
      <c r="K115" s="887">
        <f t="shared" si="28"/>
        <v>60</v>
      </c>
      <c r="L115" s="887">
        <f t="shared" si="28"/>
        <v>55</v>
      </c>
      <c r="M115" s="888">
        <f t="shared" si="28"/>
        <v>50</v>
      </c>
      <c r="N115" s="1390"/>
      <c r="O115" s="1390"/>
      <c r="P115" s="1379"/>
      <c r="Q115" s="121"/>
    </row>
    <row r="116" spans="1:17" ht="14.25" thickTop="1">
      <c r="A116" s="175"/>
      <c r="B116" s="1054" t="s">
        <v>1059</v>
      </c>
      <c r="C116" s="139" t="s">
        <v>3528</v>
      </c>
      <c r="D116" s="139" t="s">
        <v>3529</v>
      </c>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98</v>
      </c>
      <c r="E117" s="887">
        <f>D117-$K39</f>
        <v>96</v>
      </c>
      <c r="F117" s="887">
        <f>E117-$K39</f>
        <v>94</v>
      </c>
      <c r="G117" s="887">
        <f>F117-$K39</f>
        <v>92</v>
      </c>
      <c r="H117" s="887"/>
      <c r="I117" s="887"/>
      <c r="J117" s="887"/>
      <c r="K117" s="887"/>
      <c r="L117" s="887"/>
      <c r="M117" s="888"/>
      <c r="N117" s="1390"/>
      <c r="O117" s="1390"/>
      <c r="P117" s="1379"/>
      <c r="Q117" s="121"/>
    </row>
    <row r="118" spans="1:17" ht="15" thickTop="1">
      <c r="A118" s="175"/>
      <c r="B118" s="1054" t="s">
        <v>1060</v>
      </c>
      <c r="C118" s="970" t="s">
        <v>3597</v>
      </c>
      <c r="D118" s="970">
        <v>234</v>
      </c>
      <c r="E118" s="970">
        <v>900</v>
      </c>
      <c r="F118" s="970">
        <v>287</v>
      </c>
      <c r="G118" s="970"/>
      <c r="H118" s="898"/>
      <c r="I118" s="898"/>
      <c r="J118" s="898"/>
      <c r="K118" s="898"/>
      <c r="L118" s="899"/>
      <c r="M118" s="900"/>
      <c r="N118" s="1389"/>
      <c r="O118" s="1389"/>
      <c r="P118" s="1379"/>
      <c r="Q118" s="121"/>
    </row>
    <row r="119" spans="1:17" ht="15" thickBot="1">
      <c r="A119" s="173"/>
      <c r="B119" s="1055"/>
      <c r="C119" s="903">
        <v>100</v>
      </c>
      <c r="D119" s="879">
        <v>100</v>
      </c>
      <c r="E119" s="879">
        <v>98</v>
      </c>
      <c r="F119" s="879">
        <v>100</v>
      </c>
      <c r="G119" s="879"/>
      <c r="H119" s="879"/>
      <c r="I119" s="879"/>
      <c r="J119" s="879"/>
      <c r="K119" s="879"/>
      <c r="L119" s="879"/>
      <c r="M119" s="880"/>
      <c r="N119" s="1390"/>
      <c r="O119" s="1390"/>
      <c r="P119" s="1379"/>
      <c r="Q119" s="121"/>
    </row>
    <row r="120" spans="1:17" s="1039" customFormat="1" ht="14.25" thickTop="1">
      <c r="A120" s="1073"/>
      <c r="B120" s="1054" t="s">
        <v>1030</v>
      </c>
      <c r="C120" s="131" t="s">
        <v>1044</v>
      </c>
      <c r="D120" s="131" t="s">
        <v>1045</v>
      </c>
      <c r="E120" s="131" t="s">
        <v>1046</v>
      </c>
      <c r="F120" s="131" t="s">
        <v>1047</v>
      </c>
      <c r="G120" s="1059" t="s">
        <v>1048</v>
      </c>
      <c r="H120" s="1059"/>
      <c r="I120" s="1059"/>
      <c r="J120" s="1059"/>
      <c r="K120" s="1059"/>
      <c r="L120" s="1060"/>
      <c r="M120" s="1061"/>
      <c r="N120" s="1391"/>
      <c r="O120" s="1391"/>
      <c r="P120" s="1380"/>
      <c r="Q120" s="1063"/>
    </row>
    <row r="121" spans="1:17" s="1039" customFormat="1" ht="15" thickBot="1">
      <c r="A121" s="1058"/>
      <c r="B121" s="1053"/>
      <c r="C121" s="925">
        <v>100</v>
      </c>
      <c r="D121" s="887">
        <f>C121-$K41</f>
        <v>98</v>
      </c>
      <c r="E121" s="887">
        <f t="shared" ref="E121:M121" si="29">D121-$K41</f>
        <v>96</v>
      </c>
      <c r="F121" s="887">
        <f t="shared" si="29"/>
        <v>94</v>
      </c>
      <c r="G121" s="887">
        <f t="shared" si="29"/>
        <v>92</v>
      </c>
      <c r="H121" s="887">
        <f t="shared" si="29"/>
        <v>90</v>
      </c>
      <c r="I121" s="887">
        <f t="shared" si="29"/>
        <v>88</v>
      </c>
      <c r="J121" s="887">
        <f t="shared" si="29"/>
        <v>86</v>
      </c>
      <c r="K121" s="887">
        <f t="shared" si="29"/>
        <v>84</v>
      </c>
      <c r="L121" s="887">
        <f t="shared" si="29"/>
        <v>82</v>
      </c>
      <c r="M121" s="888">
        <f t="shared" si="29"/>
        <v>80</v>
      </c>
      <c r="N121" s="1391"/>
      <c r="O121" s="1391"/>
      <c r="P121" s="1380"/>
      <c r="Q121" s="1063"/>
    </row>
    <row r="122" spans="1:17" ht="14.25" thickTop="1">
      <c r="A122" s="175"/>
      <c r="B122" s="1054" t="s">
        <v>1062</v>
      </c>
      <c r="C122" s="139" t="s">
        <v>3472</v>
      </c>
      <c r="D122" s="139" t="s">
        <v>3473</v>
      </c>
      <c r="E122" s="139" t="s">
        <v>3474</v>
      </c>
      <c r="F122" s="131" t="s">
        <v>3475</v>
      </c>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98</v>
      </c>
      <c r="E123" s="887">
        <f t="shared" si="30"/>
        <v>96</v>
      </c>
      <c r="F123" s="887">
        <f t="shared" si="30"/>
        <v>94</v>
      </c>
      <c r="G123" s="887">
        <f t="shared" si="30"/>
        <v>92</v>
      </c>
      <c r="H123" s="887">
        <f t="shared" si="30"/>
        <v>90</v>
      </c>
      <c r="I123" s="887">
        <f t="shared" si="30"/>
        <v>88</v>
      </c>
      <c r="J123" s="887">
        <f t="shared" si="30"/>
        <v>86</v>
      </c>
      <c r="K123" s="887">
        <f t="shared" si="30"/>
        <v>84</v>
      </c>
      <c r="L123" s="887">
        <f t="shared" si="30"/>
        <v>82</v>
      </c>
      <c r="M123" s="888">
        <f t="shared" si="30"/>
        <v>80</v>
      </c>
      <c r="N123" s="1390"/>
      <c r="O123" s="1390"/>
      <c r="P123" s="1379"/>
      <c r="Q123" s="121"/>
    </row>
    <row r="124" spans="1:17" ht="27.75" thickTop="1">
      <c r="A124" s="175"/>
      <c r="B124" s="1054" t="s">
        <v>90</v>
      </c>
      <c r="C124" s="181" t="s">
        <v>1044</v>
      </c>
      <c r="D124" s="181" t="s">
        <v>1045</v>
      </c>
      <c r="E124" s="181" t="s">
        <v>1046</v>
      </c>
      <c r="F124" s="181" t="s">
        <v>1047</v>
      </c>
      <c r="G124" s="181" t="s">
        <v>1048</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06" type="noConversion"/>
  <conditionalFormatting sqref="F52 H52">
    <cfRule type="containsText" dxfId="124" priority="16"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5" zoomScale="90" zoomScaleNormal="90" workbookViewId="0">
      <selection activeCell="L15" sqref="L15"/>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1064</v>
      </c>
      <c r="B1" s="3119" t="s">
        <v>1065</v>
      </c>
      <c r="C1" s="3113" t="s">
        <v>1066</v>
      </c>
      <c r="D1" s="3104" t="s">
        <v>3445</v>
      </c>
      <c r="E1" s="3109"/>
      <c r="F1" s="3106" t="s">
        <v>2694</v>
      </c>
      <c r="G1" s="3108" t="s">
        <v>1067</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1068</v>
      </c>
      <c r="B2" s="2844">
        <f>IF(C2="——",ROUND(C50*D3/10000,0),ROUND(C50*D3/10000,0)-D2)</f>
        <v>277501</v>
      </c>
      <c r="C2" s="3098" t="s">
        <v>526</v>
      </c>
      <c r="D2" s="2721" t="e">
        <f ca="1">SUMIF(INDIRECT("'"&amp;F2&amp;"'"&amp;"!A:A"),"承租人权益价值",INDIRECT("'"&amp;F2&amp;"'"&amp;"!c:c"))</f>
        <v>#REF!</v>
      </c>
      <c r="E2" s="3099" t="s">
        <v>864</v>
      </c>
      <c r="F2" s="3100"/>
      <c r="G2" s="2315"/>
      <c r="H2" s="2315"/>
      <c r="I2" s="2315"/>
      <c r="J2" s="2315"/>
      <c r="K2" s="2315"/>
      <c r="L2" s="2316"/>
      <c r="M2" s="2317"/>
      <c r="N2" s="2317"/>
      <c r="O2" s="2317"/>
      <c r="P2" s="1334"/>
      <c r="Q2" s="1334"/>
      <c r="R2" s="1334"/>
      <c r="S2" s="1334"/>
      <c r="T2" s="1334"/>
      <c r="U2" s="1334"/>
      <c r="V2" s="1334"/>
      <c r="W2" s="1334"/>
      <c r="X2" s="1334"/>
      <c r="Y2" s="1334"/>
      <c r="Z2" s="1334"/>
      <c r="AA2" s="1334"/>
      <c r="AB2" s="1334"/>
      <c r="AC2" s="1335"/>
    </row>
    <row r="3" spans="1:29" s="90" customFormat="1" ht="28.5" customHeight="1" thickBot="1">
      <c r="A3" s="87" t="s">
        <v>1069</v>
      </c>
      <c r="B3" s="952">
        <f>IF(C2="——",C50,ROUND(B2*10000/D3,0))</f>
        <v>49158</v>
      </c>
      <c r="C3" s="142" t="s">
        <v>1070</v>
      </c>
      <c r="D3" s="742">
        <f>IF(D1="",'数据-汇总表'!E3,SUMIF('数据-汇总表'!$C19:$C33,D1,'数据-汇总表'!$E19:$E33))</f>
        <v>56450.890000000058</v>
      </c>
      <c r="E3" s="2313"/>
      <c r="F3" s="2314"/>
      <c r="G3" s="2315"/>
      <c r="H3" s="2315"/>
      <c r="I3" s="2315"/>
      <c r="J3" s="2315"/>
      <c r="K3" s="2318"/>
      <c r="L3" s="2316"/>
      <c r="M3" s="2317"/>
      <c r="N3" s="2317"/>
      <c r="O3" s="2317"/>
      <c r="P3" s="1334"/>
      <c r="Q3" s="1334"/>
      <c r="R3" s="1334"/>
      <c r="S3" s="1334"/>
      <c r="T3" s="1334"/>
      <c r="U3" s="1334"/>
      <c r="V3" s="1334"/>
      <c r="W3" s="1334"/>
      <c r="X3" s="1334"/>
      <c r="Y3" s="1334"/>
      <c r="Z3" s="1334"/>
      <c r="AA3" s="1334"/>
      <c r="AB3" s="1334"/>
      <c r="AC3" s="1335"/>
    </row>
    <row r="4" spans="1:29">
      <c r="A4" s="143" t="s">
        <v>1071</v>
      </c>
      <c r="B4" s="144"/>
      <c r="C4" s="3612" t="s">
        <v>1072</v>
      </c>
      <c r="D4" s="3613"/>
      <c r="E4" s="3614" t="s">
        <v>1073</v>
      </c>
      <c r="F4" s="3615"/>
      <c r="G4" s="3612" t="s">
        <v>1074</v>
      </c>
      <c r="H4" s="3613"/>
      <c r="I4" s="3612" t="s">
        <v>1075</v>
      </c>
      <c r="J4" s="3613"/>
      <c r="K4" s="187" t="s">
        <v>1076</v>
      </c>
      <c r="L4" s="2292"/>
      <c r="M4" s="2293"/>
      <c r="N4" s="2293"/>
      <c r="O4" s="2293"/>
      <c r="P4" s="3646" t="s">
        <v>1071</v>
      </c>
      <c r="Q4" s="3647"/>
      <c r="R4" s="3641" t="s">
        <v>1073</v>
      </c>
      <c r="S4" s="3642"/>
      <c r="T4" s="3641" t="s">
        <v>1074</v>
      </c>
      <c r="U4" s="3642"/>
      <c r="V4" s="3650" t="s">
        <v>1075</v>
      </c>
      <c r="W4" s="3650"/>
      <c r="X4" s="2332"/>
      <c r="Y4" s="3641" t="s">
        <v>1071</v>
      </c>
      <c r="Z4" s="3642"/>
      <c r="AA4" s="3640" t="s">
        <v>1073</v>
      </c>
      <c r="AB4" s="3640" t="s">
        <v>1074</v>
      </c>
      <c r="AC4" s="3643" t="s">
        <v>1075</v>
      </c>
    </row>
    <row r="5" spans="1:29">
      <c r="A5" s="146"/>
      <c r="B5" s="147"/>
      <c r="C5" s="3605" t="s">
        <v>3498</v>
      </c>
      <c r="D5" s="3606"/>
      <c r="E5" s="3603" t="s">
        <v>3494</v>
      </c>
      <c r="F5" s="3604"/>
      <c r="G5" s="3605" t="s">
        <v>3495</v>
      </c>
      <c r="H5" s="3606"/>
      <c r="I5" s="3605" t="s">
        <v>3497</v>
      </c>
      <c r="J5" s="3606"/>
      <c r="K5" s="187"/>
      <c r="L5" s="2292"/>
      <c r="M5" s="2293"/>
      <c r="N5" s="2293"/>
      <c r="O5" s="2293"/>
      <c r="P5" s="3648"/>
      <c r="Q5" s="3619"/>
      <c r="R5" s="3601"/>
      <c r="S5" s="3602"/>
      <c r="T5" s="3601"/>
      <c r="U5" s="3602"/>
      <c r="V5" s="3624"/>
      <c r="W5" s="3624"/>
      <c r="X5" s="2218"/>
      <c r="Y5" s="3601"/>
      <c r="Z5" s="3602"/>
      <c r="AA5" s="3595"/>
      <c r="AB5" s="3595"/>
      <c r="AC5" s="3644"/>
    </row>
    <row r="6" spans="1:29" ht="14.25" thickBot="1">
      <c r="A6" s="148"/>
      <c r="B6" s="149"/>
      <c r="C6" s="3607" t="s">
        <v>3455</v>
      </c>
      <c r="D6" s="3608"/>
      <c r="E6" s="3609" t="s">
        <v>3538</v>
      </c>
      <c r="F6" s="3610"/>
      <c r="G6" s="3607" t="s">
        <v>3496</v>
      </c>
      <c r="H6" s="3608"/>
      <c r="I6" s="3607" t="s">
        <v>3536</v>
      </c>
      <c r="J6" s="3608"/>
      <c r="K6" s="187" t="s">
        <v>1077</v>
      </c>
      <c r="L6" s="2292"/>
      <c r="M6" s="2293"/>
      <c r="N6" s="2293"/>
      <c r="O6" s="2293"/>
      <c r="P6" s="3649"/>
      <c r="Q6" s="3621"/>
      <c r="R6" s="3601"/>
      <c r="S6" s="3602"/>
      <c r="T6" s="3622"/>
      <c r="U6" s="3623"/>
      <c r="V6" s="3624"/>
      <c r="W6" s="3624"/>
      <c r="X6" s="2218"/>
      <c r="Y6" s="3622"/>
      <c r="Z6" s="3623"/>
      <c r="AA6" s="3596"/>
      <c r="AB6" s="3596"/>
      <c r="AC6" s="3645"/>
    </row>
    <row r="7" spans="1:29" s="40" customFormat="1" ht="15" thickBot="1">
      <c r="A7" s="1014" t="s">
        <v>1078</v>
      </c>
      <c r="B7" s="1015"/>
      <c r="C7" s="753">
        <f>'数据-取费表'!B2</f>
        <v>42956</v>
      </c>
      <c r="D7" s="754">
        <v>100</v>
      </c>
      <c r="E7" s="1017">
        <v>42948</v>
      </c>
      <c r="F7" s="756">
        <f>SUMIF(59:59,YEAR(E7)&amp;"-"&amp;MONTH(E7),60:60)</f>
        <v>100</v>
      </c>
      <c r="G7" s="1017">
        <v>42948</v>
      </c>
      <c r="H7" s="754">
        <f>SUMIF(59:59,YEAR(G7)&amp;"-"&amp;MONTH(G7),60:60)</f>
        <v>100</v>
      </c>
      <c r="I7" s="1017">
        <v>42948</v>
      </c>
      <c r="J7" s="754">
        <f>SUMIF(59:59,YEAR(I7)&amp;"-"&amp;MONTH(I7),60:60)</f>
        <v>100</v>
      </c>
      <c r="K7" s="1019"/>
      <c r="L7" s="2294"/>
      <c r="M7" s="2256"/>
      <c r="N7" s="2256"/>
      <c r="O7" s="2256"/>
      <c r="P7" s="3651" t="s">
        <v>1078</v>
      </c>
      <c r="Q7" s="3625"/>
      <c r="R7" s="1342" t="s">
        <v>61</v>
      </c>
      <c r="S7" s="1343">
        <f t="shared" ref="S7:S15" si="0">F7</f>
        <v>100</v>
      </c>
      <c r="T7" s="1342" t="s">
        <v>61</v>
      </c>
      <c r="U7" s="1343">
        <f t="shared" ref="U7:U15" si="1">H7</f>
        <v>100</v>
      </c>
      <c r="V7" s="1342" t="s">
        <v>61</v>
      </c>
      <c r="W7" s="1343">
        <f t="shared" ref="W7:W15" si="2">J7</f>
        <v>100</v>
      </c>
      <c r="X7" s="287"/>
      <c r="Y7" s="3597" t="s">
        <v>1078</v>
      </c>
      <c r="Z7" s="3598"/>
      <c r="AA7" s="1344">
        <f>D7/F7</f>
        <v>1</v>
      </c>
      <c r="AB7" s="1344">
        <f>D7/H7</f>
        <v>1</v>
      </c>
      <c r="AC7" s="2333">
        <f>D7/J7</f>
        <v>1</v>
      </c>
    </row>
    <row r="8" spans="1:29" s="40" customFormat="1" ht="15" thickBot="1">
      <c r="A8" s="1014" t="s">
        <v>1079</v>
      </c>
      <c r="B8" s="1015"/>
      <c r="C8" s="1020" t="s">
        <v>1080</v>
      </c>
      <c r="D8" s="754">
        <v>100</v>
      </c>
      <c r="E8" s="1020" t="s">
        <v>151</v>
      </c>
      <c r="F8" s="756">
        <f>SUMIF(62:62,E8,63:63)-SUMIF(62:62,C8,63:63)+100</f>
        <v>100</v>
      </c>
      <c r="G8" s="1020" t="s">
        <v>151</v>
      </c>
      <c r="H8" s="754">
        <f>SUMIF(62:62,G8,63:63)-SUMIF(62:62,C8,63:63)+100</f>
        <v>100</v>
      </c>
      <c r="I8" s="1020" t="s">
        <v>151</v>
      </c>
      <c r="J8" s="754">
        <f>SUMIF(62:62,I8,63:63)-SUMIF(62:62,C8,63:63)+100</f>
        <v>100</v>
      </c>
      <c r="K8" s="1019"/>
      <c r="L8" s="2294"/>
      <c r="M8" s="2256"/>
      <c r="N8" s="2256"/>
      <c r="O8" s="2256"/>
      <c r="P8" s="3651" t="s">
        <v>1017</v>
      </c>
      <c r="Q8" s="3598"/>
      <c r="R8" s="1342" t="s">
        <v>61</v>
      </c>
      <c r="S8" s="1343">
        <f t="shared" si="0"/>
        <v>100</v>
      </c>
      <c r="T8" s="1342" t="s">
        <v>61</v>
      </c>
      <c r="U8" s="1343">
        <f t="shared" si="1"/>
        <v>100</v>
      </c>
      <c r="V8" s="1342" t="s">
        <v>61</v>
      </c>
      <c r="W8" s="1343">
        <f t="shared" si="2"/>
        <v>100</v>
      </c>
      <c r="X8" s="287"/>
      <c r="Y8" s="3597" t="s">
        <v>1017</v>
      </c>
      <c r="Z8" s="3598"/>
      <c r="AA8" s="1344">
        <f t="shared" ref="AA8:AA47" si="3">D8/F8</f>
        <v>1</v>
      </c>
      <c r="AB8" s="1344">
        <f t="shared" ref="AB8:AB47" si="4">D8/H8</f>
        <v>1</v>
      </c>
      <c r="AC8" s="2333">
        <f t="shared" ref="AC8:AC47" si="5">D8/J8</f>
        <v>1</v>
      </c>
    </row>
    <row r="9" spans="1:29" s="40" customFormat="1" ht="14.25">
      <c r="A9" s="1021" t="s">
        <v>1018</v>
      </c>
      <c r="B9" s="62" t="s">
        <v>1019</v>
      </c>
      <c r="C9" s="1346" t="s">
        <v>3457</v>
      </c>
      <c r="D9" s="425">
        <v>100</v>
      </c>
      <c r="E9" s="1348" t="s">
        <v>137</v>
      </c>
      <c r="F9" s="425">
        <f>SUMIF(64:64,E9,65:65)-SUMIF(64:64,C9,65:65)+100</f>
        <v>100</v>
      </c>
      <c r="G9" s="1347" t="s">
        <v>137</v>
      </c>
      <c r="H9" s="425">
        <f>SUMIF(64:64,G9,65:65)-SUMIF(64:64,C9,65:65)+100</f>
        <v>100</v>
      </c>
      <c r="I9" s="1347" t="s">
        <v>137</v>
      </c>
      <c r="J9" s="425">
        <f>SUMIF(64:64,I9,65:65)-SUMIF(64:64,C9,65:65)+100</f>
        <v>100</v>
      </c>
      <c r="K9" s="1019"/>
      <c r="L9" s="2294"/>
      <c r="M9" s="2256"/>
      <c r="N9" s="2256"/>
      <c r="O9" s="2256"/>
      <c r="P9" s="3611" t="s">
        <v>63</v>
      </c>
      <c r="Q9" s="2209" t="str">
        <f t="shared" ref="Q9:Q15" si="6">B9</f>
        <v>用途</v>
      </c>
      <c r="R9" s="1342" t="s">
        <v>61</v>
      </c>
      <c r="S9" s="1343">
        <f t="shared" si="0"/>
        <v>100</v>
      </c>
      <c r="T9" s="1342" t="s">
        <v>61</v>
      </c>
      <c r="U9" s="1343">
        <f t="shared" si="1"/>
        <v>100</v>
      </c>
      <c r="V9" s="1342" t="s">
        <v>61</v>
      </c>
      <c r="W9" s="1343">
        <f t="shared" si="2"/>
        <v>100</v>
      </c>
      <c r="X9" s="287"/>
      <c r="Y9" s="3435" t="s">
        <v>63</v>
      </c>
      <c r="Z9" s="2208" t="str">
        <f t="shared" ref="Z9:Z15" si="7">Q9</f>
        <v>用途</v>
      </c>
      <c r="AA9" s="1344">
        <f t="shared" si="3"/>
        <v>1</v>
      </c>
      <c r="AB9" s="1344">
        <f t="shared" si="4"/>
        <v>1</v>
      </c>
      <c r="AC9" s="2333">
        <f t="shared" si="5"/>
        <v>1</v>
      </c>
    </row>
    <row r="10" spans="1:29" s="92" customFormat="1" ht="27">
      <c r="A10" s="150"/>
      <c r="B10" s="12" t="s">
        <v>102</v>
      </c>
      <c r="C10" s="1349" t="s">
        <v>3458</v>
      </c>
      <c r="D10" s="426">
        <v>100</v>
      </c>
      <c r="E10" s="1349" t="s">
        <v>3458</v>
      </c>
      <c r="F10" s="426">
        <f>SUMIF(66:66,E10,67:67)-SUMIF(66:66,C10,67:67)+100</f>
        <v>100</v>
      </c>
      <c r="G10" s="1350" t="s">
        <v>3458</v>
      </c>
      <c r="H10" s="426">
        <f>SUMIF(66:66,G10,67:67)-SUMIF(66:66,C10,67:67)+100</f>
        <v>100</v>
      </c>
      <c r="I10" s="1349" t="s">
        <v>3458</v>
      </c>
      <c r="J10" s="426">
        <f>SUMIF(66:66,I10,67:67)-SUMIF(66:66,C10,67:67)+100</f>
        <v>100</v>
      </c>
      <c r="K10" s="955">
        <v>1</v>
      </c>
      <c r="L10" s="2295"/>
      <c r="M10" s="2296"/>
      <c r="N10" s="2296"/>
      <c r="O10" s="2296"/>
      <c r="P10" s="3611"/>
      <c r="Q10" s="2209" t="str">
        <f t="shared" si="6"/>
        <v>土地使用年限（年）</v>
      </c>
      <c r="R10" s="1342" t="s">
        <v>61</v>
      </c>
      <c r="S10" s="1343">
        <f t="shared" si="0"/>
        <v>100</v>
      </c>
      <c r="T10" s="1342" t="s">
        <v>61</v>
      </c>
      <c r="U10" s="1343">
        <f t="shared" si="1"/>
        <v>100</v>
      </c>
      <c r="V10" s="1342" t="s">
        <v>61</v>
      </c>
      <c r="W10" s="1343">
        <f t="shared" si="2"/>
        <v>100</v>
      </c>
      <c r="X10" s="287"/>
      <c r="Y10" s="3435"/>
      <c r="Z10" s="2208" t="str">
        <f t="shared" si="7"/>
        <v>土地使用年限（年）</v>
      </c>
      <c r="AA10" s="1344">
        <f t="shared" si="3"/>
        <v>1</v>
      </c>
      <c r="AB10" s="1344">
        <f t="shared" si="4"/>
        <v>1</v>
      </c>
      <c r="AC10" s="2333">
        <f t="shared" si="5"/>
        <v>1</v>
      </c>
    </row>
    <row r="11" spans="1:29" ht="15.75" thickBot="1">
      <c r="A11" s="151"/>
      <c r="B11" s="12" t="s">
        <v>89</v>
      </c>
      <c r="C11" s="772">
        <v>4.1900000000000004</v>
      </c>
      <c r="D11" s="426">
        <v>100</v>
      </c>
      <c r="E11" s="772">
        <v>4.2</v>
      </c>
      <c r="F11" s="426">
        <f>LOOKUP(E11,69:69,70:70)-LOOKUP(C11,69:69,70:70)+100</f>
        <v>100</v>
      </c>
      <c r="G11" s="773">
        <v>5.4</v>
      </c>
      <c r="H11" s="426">
        <f>LOOKUP(G11,69:69,70:70)-LOOKUP(C11,69:69,70:70)+100</f>
        <v>98</v>
      </c>
      <c r="I11" s="772">
        <v>5.4</v>
      </c>
      <c r="J11" s="426">
        <f>LOOKUP(I11,69:69,70:70)-LOOKUP(C11,69:69,70:70)+100</f>
        <v>98</v>
      </c>
      <c r="K11" s="955">
        <v>2</v>
      </c>
      <c r="L11" s="2297"/>
      <c r="M11" s="2293"/>
      <c r="N11" s="2293"/>
      <c r="O11" s="2293"/>
      <c r="P11" s="3611"/>
      <c r="Q11" s="2209" t="str">
        <f t="shared" si="6"/>
        <v>容积率</v>
      </c>
      <c r="R11" s="1342" t="s">
        <v>61</v>
      </c>
      <c r="S11" s="1343">
        <f t="shared" si="0"/>
        <v>100</v>
      </c>
      <c r="T11" s="1342" t="s">
        <v>61</v>
      </c>
      <c r="U11" s="1343">
        <f t="shared" si="1"/>
        <v>98</v>
      </c>
      <c r="V11" s="1342" t="s">
        <v>61</v>
      </c>
      <c r="W11" s="1343">
        <f t="shared" si="2"/>
        <v>98</v>
      </c>
      <c r="X11" s="287"/>
      <c r="Y11" s="3435"/>
      <c r="Z11" s="2208" t="str">
        <f t="shared" si="7"/>
        <v>容积率</v>
      </c>
      <c r="AA11" s="1344">
        <f t="shared" si="3"/>
        <v>1</v>
      </c>
      <c r="AB11" s="1344">
        <f t="shared" si="4"/>
        <v>1.0204081632653061</v>
      </c>
      <c r="AC11" s="2333">
        <f t="shared" si="5"/>
        <v>1.0204081632653061</v>
      </c>
    </row>
    <row r="12" spans="1:29" s="40" customFormat="1" ht="14.25" hidden="1">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4"/>
      <c r="M12" s="2256"/>
      <c r="N12" s="2256"/>
      <c r="O12" s="2256"/>
      <c r="P12" s="3611"/>
      <c r="Q12" s="2209">
        <f t="shared" si="6"/>
        <v>111</v>
      </c>
      <c r="R12" s="1342" t="s">
        <v>61</v>
      </c>
      <c r="S12" s="1343">
        <f t="shared" si="0"/>
        <v>100</v>
      </c>
      <c r="T12" s="1342" t="s">
        <v>61</v>
      </c>
      <c r="U12" s="1343">
        <f t="shared" si="1"/>
        <v>100</v>
      </c>
      <c r="V12" s="1342" t="s">
        <v>61</v>
      </c>
      <c r="W12" s="1343">
        <f t="shared" si="2"/>
        <v>100</v>
      </c>
      <c r="X12" s="287"/>
      <c r="Y12" s="3435"/>
      <c r="Z12" s="2208">
        <f t="shared" si="7"/>
        <v>111</v>
      </c>
      <c r="AA12" s="1344">
        <f>D12/F12</f>
        <v>1</v>
      </c>
      <c r="AB12" s="1344">
        <f>D12/H12</f>
        <v>1</v>
      </c>
      <c r="AC12" s="2333">
        <f>D12/J12</f>
        <v>1</v>
      </c>
    </row>
    <row r="13" spans="1:29" ht="14.25" hidden="1">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298"/>
      <c r="M13" s="2293"/>
      <c r="N13" s="2293"/>
      <c r="O13" s="2293"/>
      <c r="P13" s="3611"/>
      <c r="Q13" s="2209">
        <f t="shared" si="6"/>
        <v>111</v>
      </c>
      <c r="R13" s="1342" t="s">
        <v>61</v>
      </c>
      <c r="S13" s="1343">
        <f t="shared" si="0"/>
        <v>100</v>
      </c>
      <c r="T13" s="1342" t="s">
        <v>61</v>
      </c>
      <c r="U13" s="1343">
        <f t="shared" si="1"/>
        <v>100</v>
      </c>
      <c r="V13" s="1342" t="s">
        <v>61</v>
      </c>
      <c r="W13" s="1343">
        <f t="shared" si="2"/>
        <v>100</v>
      </c>
      <c r="X13" s="287"/>
      <c r="Y13" s="3435"/>
      <c r="Z13" s="2208">
        <f t="shared" si="7"/>
        <v>111</v>
      </c>
      <c r="AA13" s="1344">
        <f t="shared" si="3"/>
        <v>1</v>
      </c>
      <c r="AB13" s="1344">
        <f t="shared" si="4"/>
        <v>1</v>
      </c>
      <c r="AC13" s="2333">
        <f t="shared" si="5"/>
        <v>1</v>
      </c>
    </row>
    <row r="14" spans="1:29" ht="15" hidden="1"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298"/>
      <c r="M14" s="2293"/>
      <c r="N14" s="2293"/>
      <c r="O14" s="2293"/>
      <c r="P14" s="3611"/>
      <c r="Q14" s="2209">
        <f t="shared" si="6"/>
        <v>111</v>
      </c>
      <c r="R14" s="1342" t="s">
        <v>61</v>
      </c>
      <c r="S14" s="1343">
        <f t="shared" si="0"/>
        <v>100</v>
      </c>
      <c r="T14" s="1342" t="s">
        <v>61</v>
      </c>
      <c r="U14" s="1343">
        <f t="shared" si="1"/>
        <v>100</v>
      </c>
      <c r="V14" s="1342" t="s">
        <v>61</v>
      </c>
      <c r="W14" s="1343">
        <f t="shared" si="2"/>
        <v>100</v>
      </c>
      <c r="X14" s="287"/>
      <c r="Y14" s="3435"/>
      <c r="Z14" s="2208">
        <f t="shared" si="7"/>
        <v>111</v>
      </c>
      <c r="AA14" s="1344">
        <f t="shared" si="3"/>
        <v>1</v>
      </c>
      <c r="AB14" s="1344">
        <f t="shared" si="4"/>
        <v>1</v>
      </c>
      <c r="AC14" s="2333">
        <f t="shared" si="5"/>
        <v>1</v>
      </c>
    </row>
    <row r="15" spans="1:29" ht="87" customHeight="1">
      <c r="A15" s="155" t="s">
        <v>65</v>
      </c>
      <c r="B15" s="1033" t="s">
        <v>138</v>
      </c>
      <c r="C15" s="208" t="str">
        <f>估价对象房地状况!C5</f>
        <v>估价对象位于丰台科技园商圈，周边办公楼项目较多，入驻率高，办公集聚程度较好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v>2</v>
      </c>
      <c r="L15" s="2298"/>
      <c r="M15" s="2293"/>
      <c r="N15" s="2293"/>
      <c r="O15" s="2293"/>
      <c r="P15" s="3638" t="s">
        <v>65</v>
      </c>
      <c r="Q15" s="2216" t="str">
        <f t="shared" si="6"/>
        <v>办公集聚程度</v>
      </c>
      <c r="R15" s="1352" t="s">
        <v>61</v>
      </c>
      <c r="S15" s="1353">
        <f t="shared" si="0"/>
        <v>100</v>
      </c>
      <c r="T15" s="1352" t="s">
        <v>61</v>
      </c>
      <c r="U15" s="1353">
        <f t="shared" si="1"/>
        <v>100</v>
      </c>
      <c r="V15" s="1352" t="s">
        <v>61</v>
      </c>
      <c r="W15" s="1353">
        <f t="shared" si="2"/>
        <v>100</v>
      </c>
      <c r="X15" s="2218"/>
      <c r="Y15" s="3631" t="s">
        <v>65</v>
      </c>
      <c r="Z15" s="2217" t="str">
        <f t="shared" si="7"/>
        <v>办公集聚程度</v>
      </c>
      <c r="AA15" s="1355">
        <f t="shared" si="3"/>
        <v>1</v>
      </c>
      <c r="AB15" s="1355">
        <f t="shared" si="4"/>
        <v>1</v>
      </c>
      <c r="AC15" s="2334">
        <f t="shared" si="5"/>
        <v>1</v>
      </c>
    </row>
    <row r="16" spans="1:29" ht="14.25">
      <c r="A16" s="151"/>
      <c r="B16" s="209"/>
      <c r="C16" s="192" t="s">
        <v>3452</v>
      </c>
      <c r="D16" s="791"/>
      <c r="E16" s="97" t="s">
        <v>3452</v>
      </c>
      <c r="F16" s="791"/>
      <c r="G16" s="192" t="s">
        <v>3452</v>
      </c>
      <c r="H16" s="793"/>
      <c r="I16" s="97" t="s">
        <v>3452</v>
      </c>
      <c r="J16" s="791"/>
      <c r="K16" s="189"/>
      <c r="L16" s="2298"/>
      <c r="M16" s="2293"/>
      <c r="N16" s="2293"/>
      <c r="O16" s="2293"/>
      <c r="P16" s="3639"/>
      <c r="Q16" s="2216"/>
      <c r="R16" s="1352"/>
      <c r="S16" s="1353"/>
      <c r="T16" s="1352"/>
      <c r="U16" s="1353"/>
      <c r="V16" s="1352"/>
      <c r="W16" s="1353"/>
      <c r="X16" s="2218"/>
      <c r="Y16" s="3632"/>
      <c r="Z16" s="2217"/>
      <c r="AA16" s="1355">
        <v>1</v>
      </c>
      <c r="AB16" s="1355">
        <v>1</v>
      </c>
      <c r="AC16" s="2334">
        <v>1</v>
      </c>
    </row>
    <row r="17" spans="1:29" ht="81">
      <c r="A17" s="151"/>
      <c r="B17" s="1034" t="s">
        <v>68</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v>2</v>
      </c>
      <c r="L17" s="2298"/>
      <c r="M17" s="2293"/>
      <c r="N17" s="2293"/>
      <c r="O17" s="2293"/>
      <c r="P17" s="3639"/>
      <c r="Q17" s="2216" t="str">
        <f>B17</f>
        <v>交通便捷度</v>
      </c>
      <c r="R17" s="1352" t="s">
        <v>61</v>
      </c>
      <c r="S17" s="1353">
        <f>F17</f>
        <v>100</v>
      </c>
      <c r="T17" s="1352" t="s">
        <v>61</v>
      </c>
      <c r="U17" s="1353">
        <f>H17</f>
        <v>100</v>
      </c>
      <c r="V17" s="1352" t="s">
        <v>61</v>
      </c>
      <c r="W17" s="1353">
        <f>J17</f>
        <v>100</v>
      </c>
      <c r="X17" s="2218"/>
      <c r="Y17" s="3632"/>
      <c r="Z17" s="2217" t="str">
        <f>Q17</f>
        <v>交通便捷度</v>
      </c>
      <c r="AA17" s="1355">
        <f t="shared" si="3"/>
        <v>1</v>
      </c>
      <c r="AB17" s="1355">
        <f t="shared" si="4"/>
        <v>1</v>
      </c>
      <c r="AC17" s="2334">
        <f t="shared" si="5"/>
        <v>1</v>
      </c>
    </row>
    <row r="18" spans="1:29" ht="14.25">
      <c r="A18" s="151"/>
      <c r="B18" s="1035"/>
      <c r="C18" s="193" t="s">
        <v>3452</v>
      </c>
      <c r="D18" s="793"/>
      <c r="E18" s="104" t="s">
        <v>3452</v>
      </c>
      <c r="F18" s="793"/>
      <c r="G18" s="103" t="s">
        <v>3452</v>
      </c>
      <c r="H18" s="791"/>
      <c r="I18" s="103" t="s">
        <v>3452</v>
      </c>
      <c r="J18" s="791"/>
      <c r="K18" s="189"/>
      <c r="L18" s="2298"/>
      <c r="M18" s="2293"/>
      <c r="N18" s="2293"/>
      <c r="O18" s="2293"/>
      <c r="P18" s="3639"/>
      <c r="Q18" s="2216"/>
      <c r="R18" s="1352"/>
      <c r="S18" s="1353"/>
      <c r="T18" s="1352"/>
      <c r="U18" s="1353"/>
      <c r="V18" s="1352"/>
      <c r="W18" s="1353"/>
      <c r="X18" s="2218"/>
      <c r="Y18" s="3632"/>
      <c r="Z18" s="2217"/>
      <c r="AA18" s="1355">
        <v>1</v>
      </c>
      <c r="AB18" s="1355">
        <v>1</v>
      </c>
      <c r="AC18" s="2334">
        <v>1</v>
      </c>
    </row>
    <row r="19" spans="1:29" ht="40.5">
      <c r="A19" s="151"/>
      <c r="B19" s="1034" t="s">
        <v>2659</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v>2</v>
      </c>
      <c r="L19" s="2298"/>
      <c r="M19" s="2293"/>
      <c r="N19" s="2293"/>
      <c r="O19" s="2293"/>
      <c r="P19" s="3639"/>
      <c r="Q19" s="2216" t="str">
        <f>B19</f>
        <v>公共配套设施</v>
      </c>
      <c r="R19" s="1352" t="s">
        <v>61</v>
      </c>
      <c r="S19" s="1353">
        <f>F19</f>
        <v>100</v>
      </c>
      <c r="T19" s="1352" t="s">
        <v>61</v>
      </c>
      <c r="U19" s="1353">
        <f>H19</f>
        <v>100</v>
      </c>
      <c r="V19" s="1352" t="s">
        <v>61</v>
      </c>
      <c r="W19" s="1353">
        <f>J19</f>
        <v>100</v>
      </c>
      <c r="X19" s="2218"/>
      <c r="Y19" s="3632"/>
      <c r="Z19" s="2217" t="str">
        <f>Q19</f>
        <v>公共配套设施</v>
      </c>
      <c r="AA19" s="1355">
        <f t="shared" si="3"/>
        <v>1</v>
      </c>
      <c r="AB19" s="1355">
        <f t="shared" si="4"/>
        <v>1</v>
      </c>
      <c r="AC19" s="2334">
        <f t="shared" si="5"/>
        <v>1</v>
      </c>
    </row>
    <row r="20" spans="1:29" ht="14.25">
      <c r="A20" s="151"/>
      <c r="B20" s="1035"/>
      <c r="C20" s="192" t="s">
        <v>3453</v>
      </c>
      <c r="D20" s="791"/>
      <c r="E20" s="99" t="s">
        <v>3453</v>
      </c>
      <c r="F20" s="791"/>
      <c r="G20" s="98" t="s">
        <v>3453</v>
      </c>
      <c r="H20" s="791"/>
      <c r="I20" s="98" t="s">
        <v>3453</v>
      </c>
      <c r="J20" s="791"/>
      <c r="K20" s="189"/>
      <c r="L20" s="2298"/>
      <c r="M20" s="2293"/>
      <c r="N20" s="2293"/>
      <c r="O20" s="2293"/>
      <c r="P20" s="3639"/>
      <c r="Q20" s="2216"/>
      <c r="R20" s="1352"/>
      <c r="S20" s="1353"/>
      <c r="T20" s="1352"/>
      <c r="U20" s="1353"/>
      <c r="V20" s="1352"/>
      <c r="W20" s="1353"/>
      <c r="X20" s="2218"/>
      <c r="Y20" s="3632"/>
      <c r="Z20" s="2217"/>
      <c r="AA20" s="1355">
        <v>1</v>
      </c>
      <c r="AB20" s="1355">
        <v>1</v>
      </c>
      <c r="AC20" s="2334">
        <v>1</v>
      </c>
    </row>
    <row r="21" spans="1:29" ht="27">
      <c r="A21" s="151"/>
      <c r="B21" s="1036" t="s">
        <v>2660</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v>2</v>
      </c>
      <c r="L21" s="2298"/>
      <c r="M21" s="2293"/>
      <c r="N21" s="2293"/>
      <c r="O21" s="2293"/>
      <c r="P21" s="3639"/>
      <c r="Q21" s="2743" t="str">
        <f>B21</f>
        <v>基础设施水平</v>
      </c>
      <c r="R21" s="1352" t="s">
        <v>61</v>
      </c>
      <c r="S21" s="1353">
        <f>F21</f>
        <v>100</v>
      </c>
      <c r="T21" s="1352" t="s">
        <v>61</v>
      </c>
      <c r="U21" s="1353">
        <f>H21</f>
        <v>100</v>
      </c>
      <c r="V21" s="1352" t="s">
        <v>61</v>
      </c>
      <c r="W21" s="1353">
        <f>J21</f>
        <v>100</v>
      </c>
      <c r="X21" s="2745"/>
      <c r="Y21" s="3632"/>
      <c r="Z21" s="2744" t="str">
        <f>Q21</f>
        <v>基础设施水平</v>
      </c>
      <c r="AA21" s="1355">
        <f t="shared" ref="AA21" si="8">D21/F21</f>
        <v>1</v>
      </c>
      <c r="AB21" s="1355">
        <f t="shared" ref="AB21" si="9">D21/H21</f>
        <v>1</v>
      </c>
      <c r="AC21" s="2334">
        <f t="shared" ref="AC21" si="10">D21/J21</f>
        <v>1</v>
      </c>
    </row>
    <row r="22" spans="1:29" ht="14.25">
      <c r="A22" s="151"/>
      <c r="B22" s="1036"/>
      <c r="C22" s="193" t="s">
        <v>3454</v>
      </c>
      <c r="D22" s="791"/>
      <c r="E22" s="97" t="s">
        <v>3454</v>
      </c>
      <c r="F22" s="791"/>
      <c r="G22" s="192" t="s">
        <v>3454</v>
      </c>
      <c r="H22" s="791"/>
      <c r="I22" s="192" t="s">
        <v>3454</v>
      </c>
      <c r="J22" s="791"/>
      <c r="K22" s="2763"/>
      <c r="L22" s="2298"/>
      <c r="M22" s="2293"/>
      <c r="N22" s="2293"/>
      <c r="O22" s="2293"/>
      <c r="P22" s="3639"/>
      <c r="Q22" s="2743"/>
      <c r="R22" s="1352"/>
      <c r="S22" s="1353"/>
      <c r="T22" s="1352"/>
      <c r="U22" s="1353"/>
      <c r="V22" s="1352"/>
      <c r="W22" s="1353"/>
      <c r="X22" s="2745"/>
      <c r="Y22" s="3632"/>
      <c r="Z22" s="2744"/>
      <c r="AA22" s="1355">
        <v>1</v>
      </c>
      <c r="AB22" s="1355">
        <v>1</v>
      </c>
      <c r="AC22" s="2334">
        <v>1</v>
      </c>
    </row>
    <row r="23" spans="1:29" ht="54">
      <c r="A23" s="151"/>
      <c r="B23" s="1034" t="s">
        <v>139</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v>2</v>
      </c>
      <c r="L23" s="2298"/>
      <c r="M23" s="2293"/>
      <c r="N23" s="2293"/>
      <c r="O23" s="2293"/>
      <c r="P23" s="3639"/>
      <c r="Q23" s="2216" t="str">
        <f>B23</f>
        <v>环境质量</v>
      </c>
      <c r="R23" s="1352" t="s">
        <v>61</v>
      </c>
      <c r="S23" s="1353">
        <f>F23</f>
        <v>100</v>
      </c>
      <c r="T23" s="1352" t="s">
        <v>61</v>
      </c>
      <c r="U23" s="1353">
        <f>H23</f>
        <v>100</v>
      </c>
      <c r="V23" s="1352" t="s">
        <v>61</v>
      </c>
      <c r="W23" s="1353">
        <f>J23</f>
        <v>100</v>
      </c>
      <c r="X23" s="2218"/>
      <c r="Y23" s="3632"/>
      <c r="Z23" s="2217" t="str">
        <f>Q23</f>
        <v>环境质量</v>
      </c>
      <c r="AA23" s="1355">
        <f t="shared" si="3"/>
        <v>1</v>
      </c>
      <c r="AB23" s="1355">
        <f t="shared" si="4"/>
        <v>1</v>
      </c>
      <c r="AC23" s="2334">
        <f t="shared" si="5"/>
        <v>1</v>
      </c>
    </row>
    <row r="24" spans="1:29" ht="14.25">
      <c r="A24" s="151"/>
      <c r="B24" s="1036"/>
      <c r="C24" s="192" t="s">
        <v>3453</v>
      </c>
      <c r="D24" s="791"/>
      <c r="E24" s="99" t="s">
        <v>3453</v>
      </c>
      <c r="F24" s="791"/>
      <c r="G24" s="98" t="s">
        <v>3453</v>
      </c>
      <c r="H24" s="791"/>
      <c r="I24" s="98" t="s">
        <v>3453</v>
      </c>
      <c r="J24" s="791"/>
      <c r="K24" s="189"/>
      <c r="L24" s="2298"/>
      <c r="M24" s="2293"/>
      <c r="N24" s="2293"/>
      <c r="O24" s="2293"/>
      <c r="P24" s="3639"/>
      <c r="Q24" s="2216"/>
      <c r="R24" s="1352"/>
      <c r="S24" s="1353"/>
      <c r="T24" s="1352"/>
      <c r="U24" s="1353"/>
      <c r="V24" s="1352"/>
      <c r="W24" s="1353"/>
      <c r="X24" s="2218"/>
      <c r="Y24" s="3632"/>
      <c r="Z24" s="2217"/>
      <c r="AA24" s="1355">
        <v>1</v>
      </c>
      <c r="AB24" s="1355">
        <v>1</v>
      </c>
      <c r="AC24" s="2334">
        <v>1</v>
      </c>
    </row>
    <row r="25" spans="1:29" ht="27">
      <c r="A25" s="146"/>
      <c r="B25" s="1034" t="s">
        <v>140</v>
      </c>
      <c r="C25" s="194" t="s">
        <v>3459</v>
      </c>
      <c r="D25" s="778">
        <v>100</v>
      </c>
      <c r="E25" s="194" t="s">
        <v>3459</v>
      </c>
      <c r="F25" s="778">
        <f>SUMIF(87:87,E26,88:88)-SUMIF(87:87,C26,88:88)+100</f>
        <v>100</v>
      </c>
      <c r="G25" s="194" t="s">
        <v>3459</v>
      </c>
      <c r="H25" s="778">
        <f>SUMIF(87:87,G26,88:88)-SUMIF(87:87,C26,88:88)+100</f>
        <v>100</v>
      </c>
      <c r="I25" s="194" t="s">
        <v>3459</v>
      </c>
      <c r="J25" s="778">
        <f>SUMIF(87:87,I26,88:88)-SUMIF(87:87,C26,88:88)+100</f>
        <v>100</v>
      </c>
      <c r="K25" s="957">
        <v>2</v>
      </c>
      <c r="L25" s="2298"/>
      <c r="M25" s="2293"/>
      <c r="N25" s="2293"/>
      <c r="O25" s="2293"/>
      <c r="P25" s="3639"/>
      <c r="Q25" s="2216" t="str">
        <f>B25</f>
        <v>毗邻道路的类型与等级</v>
      </c>
      <c r="R25" s="1352" t="s">
        <v>61</v>
      </c>
      <c r="S25" s="1353">
        <f>F25</f>
        <v>100</v>
      </c>
      <c r="T25" s="1352" t="s">
        <v>61</v>
      </c>
      <c r="U25" s="1353">
        <f>H25</f>
        <v>100</v>
      </c>
      <c r="V25" s="1352" t="s">
        <v>61</v>
      </c>
      <c r="W25" s="1353">
        <f>J25</f>
        <v>100</v>
      </c>
      <c r="X25" s="2218"/>
      <c r="Y25" s="3632"/>
      <c r="Z25" s="2217" t="str">
        <f>Q25</f>
        <v>毗邻道路的类型与等级</v>
      </c>
      <c r="AA25" s="1355">
        <f t="shared" si="3"/>
        <v>1</v>
      </c>
      <c r="AB25" s="1355">
        <f t="shared" si="4"/>
        <v>1</v>
      </c>
      <c r="AC25" s="2334">
        <f t="shared" si="5"/>
        <v>1</v>
      </c>
    </row>
    <row r="26" spans="1:29" ht="15" thickBot="1">
      <c r="A26" s="146"/>
      <c r="B26" s="1035"/>
      <c r="C26" s="195" t="s">
        <v>3463</v>
      </c>
      <c r="D26" s="778"/>
      <c r="E26" s="182" t="s">
        <v>3463</v>
      </c>
      <c r="F26" s="778"/>
      <c r="G26" s="195" t="s">
        <v>3463</v>
      </c>
      <c r="H26" s="778"/>
      <c r="I26" s="182" t="s">
        <v>3463</v>
      </c>
      <c r="J26" s="778"/>
      <c r="K26" s="189"/>
      <c r="L26" s="2298"/>
      <c r="M26" s="2293"/>
      <c r="N26" s="2293"/>
      <c r="O26" s="2293"/>
      <c r="P26" s="3639"/>
      <c r="Q26" s="2216"/>
      <c r="R26" s="1352"/>
      <c r="S26" s="1353"/>
      <c r="T26" s="1352"/>
      <c r="U26" s="1353"/>
      <c r="V26" s="1352"/>
      <c r="W26" s="1353"/>
      <c r="X26" s="2218"/>
      <c r="Y26" s="3632"/>
      <c r="Z26" s="2217"/>
      <c r="AA26" s="1355">
        <v>1</v>
      </c>
      <c r="AB26" s="1355">
        <v>1</v>
      </c>
      <c r="AC26" s="2334">
        <v>1</v>
      </c>
    </row>
    <row r="27" spans="1:29" ht="15" hidden="1">
      <c r="A27" s="151"/>
      <c r="B27" s="1035" t="s">
        <v>1081</v>
      </c>
      <c r="C27" s="195"/>
      <c r="D27" s="778">
        <v>100</v>
      </c>
      <c r="E27" s="182"/>
      <c r="F27" s="778">
        <f>SUMIF(89:89,E27,90:90)-SUMIF(89:89,C27,90:90)+100</f>
        <v>100</v>
      </c>
      <c r="G27" s="195"/>
      <c r="H27" s="778">
        <f>SUMIF(89:89,G27,90:90)-SUMIF(89:89,C27,90:90)+100</f>
        <v>100</v>
      </c>
      <c r="I27" s="182"/>
      <c r="J27" s="778">
        <f>SUMIF(89:89,I27,90:90)-SUMIF(89:89,C27,90:90)+100</f>
        <v>100</v>
      </c>
      <c r="K27" s="955"/>
      <c r="L27" s="2298"/>
      <c r="M27" s="2293"/>
      <c r="N27" s="2293"/>
      <c r="O27" s="2293"/>
      <c r="P27" s="3639"/>
      <c r="Q27" s="2216" t="str">
        <f t="shared" ref="Q27:Q47" si="11">B27</f>
        <v>楼层</v>
      </c>
      <c r="R27" s="1352" t="s">
        <v>61</v>
      </c>
      <c r="S27" s="1353">
        <f>F27</f>
        <v>100</v>
      </c>
      <c r="T27" s="1352" t="s">
        <v>61</v>
      </c>
      <c r="U27" s="1353">
        <f>H27</f>
        <v>100</v>
      </c>
      <c r="V27" s="1352" t="s">
        <v>61</v>
      </c>
      <c r="W27" s="1353">
        <f>J27</f>
        <v>100</v>
      </c>
      <c r="X27" s="2218"/>
      <c r="Y27" s="3632"/>
      <c r="Z27" s="2217" t="str">
        <f>Q27</f>
        <v>楼层</v>
      </c>
      <c r="AA27" s="1355">
        <f t="shared" si="3"/>
        <v>1</v>
      </c>
      <c r="AB27" s="1355">
        <f t="shared" si="4"/>
        <v>1</v>
      </c>
      <c r="AC27" s="2334">
        <f t="shared" si="5"/>
        <v>1</v>
      </c>
    </row>
    <row r="28" spans="1:29" s="40" customFormat="1" ht="15" hidden="1">
      <c r="A28" s="1030"/>
      <c r="B28" s="1034" t="s">
        <v>141</v>
      </c>
      <c r="C28" s="1405"/>
      <c r="D28" s="805">
        <v>100</v>
      </c>
      <c r="E28" s="1387"/>
      <c r="F28" s="805">
        <f>SUMIF(91:91,E28,92:92)-SUMIF(91:91,C28,92:92)+100</f>
        <v>100</v>
      </c>
      <c r="G28" s="1405"/>
      <c r="H28" s="805">
        <f>SUMIF(91:91,G28,92:92)-SUMIF(91:91,C28,92:92)+100</f>
        <v>100</v>
      </c>
      <c r="I28" s="1387"/>
      <c r="J28" s="805">
        <f>SUMIF(91:91,I28,92:92)-SUMIF(91:91,C28,92:92)+100</f>
        <v>100</v>
      </c>
      <c r="K28" s="955"/>
      <c r="L28" s="2294"/>
      <c r="M28" s="2256"/>
      <c r="N28" s="2256"/>
      <c r="O28" s="2256"/>
      <c r="P28" s="3639"/>
      <c r="Q28" s="2209" t="str">
        <f t="shared" si="11"/>
        <v>朝向</v>
      </c>
      <c r="R28" s="1342" t="s">
        <v>61</v>
      </c>
      <c r="S28" s="1343">
        <f>F28</f>
        <v>100</v>
      </c>
      <c r="T28" s="1342" t="s">
        <v>61</v>
      </c>
      <c r="U28" s="1343">
        <f>H28</f>
        <v>100</v>
      </c>
      <c r="V28" s="1342" t="s">
        <v>61</v>
      </c>
      <c r="W28" s="1343">
        <f>J28</f>
        <v>100</v>
      </c>
      <c r="X28" s="287"/>
      <c r="Y28" s="3632"/>
      <c r="Z28" s="2208" t="str">
        <f>Q28</f>
        <v>朝向</v>
      </c>
      <c r="AA28" s="1355">
        <f>D28/F28</f>
        <v>1</v>
      </c>
      <c r="AB28" s="1355">
        <f>D28/H28</f>
        <v>1</v>
      </c>
      <c r="AC28" s="2334">
        <f>D28/J28</f>
        <v>1</v>
      </c>
    </row>
    <row r="29" spans="1:29" ht="14.25" hidden="1">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298"/>
      <c r="M29" s="2293"/>
      <c r="N29" s="2293"/>
      <c r="O29" s="2293"/>
      <c r="P29" s="3639"/>
      <c r="Q29" s="2216">
        <f t="shared" si="11"/>
        <v>111</v>
      </c>
      <c r="R29" s="1352" t="s">
        <v>61</v>
      </c>
      <c r="S29" s="1353">
        <f t="shared" ref="S29:S47" si="12">F29</f>
        <v>100</v>
      </c>
      <c r="T29" s="1352" t="s">
        <v>61</v>
      </c>
      <c r="U29" s="1353">
        <f t="shared" ref="U29:U47" si="13">H29</f>
        <v>100</v>
      </c>
      <c r="V29" s="1352" t="s">
        <v>61</v>
      </c>
      <c r="W29" s="1353">
        <f t="shared" ref="W29:W47" si="14">J29</f>
        <v>100</v>
      </c>
      <c r="X29" s="2218"/>
      <c r="Y29" s="3632"/>
      <c r="Z29" s="2217">
        <f t="shared" ref="Z29:Z47" si="15">Q29</f>
        <v>111</v>
      </c>
      <c r="AA29" s="1355">
        <f t="shared" si="3"/>
        <v>1</v>
      </c>
      <c r="AB29" s="1355">
        <f t="shared" si="4"/>
        <v>1</v>
      </c>
      <c r="AC29" s="2334">
        <f t="shared" si="5"/>
        <v>1</v>
      </c>
    </row>
    <row r="30" spans="1:29" ht="14.25" hidden="1">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298"/>
      <c r="M30" s="2293"/>
      <c r="N30" s="2293"/>
      <c r="O30" s="2293"/>
      <c r="P30" s="3639"/>
      <c r="Q30" s="2216">
        <f t="shared" si="11"/>
        <v>111</v>
      </c>
      <c r="R30" s="1352" t="s">
        <v>61</v>
      </c>
      <c r="S30" s="1353">
        <f t="shared" si="12"/>
        <v>100</v>
      </c>
      <c r="T30" s="1352" t="s">
        <v>61</v>
      </c>
      <c r="U30" s="1353">
        <f t="shared" si="13"/>
        <v>100</v>
      </c>
      <c r="V30" s="1352" t="s">
        <v>61</v>
      </c>
      <c r="W30" s="1353">
        <f t="shared" si="14"/>
        <v>100</v>
      </c>
      <c r="X30" s="2218"/>
      <c r="Y30" s="3632"/>
      <c r="Z30" s="2217">
        <f t="shared" si="15"/>
        <v>111</v>
      </c>
      <c r="AA30" s="1355">
        <f t="shared" si="3"/>
        <v>1</v>
      </c>
      <c r="AB30" s="1355">
        <f t="shared" si="4"/>
        <v>1</v>
      </c>
      <c r="AC30" s="2334">
        <f t="shared" si="5"/>
        <v>1</v>
      </c>
    </row>
    <row r="31" spans="1:29" ht="14.25" hidden="1">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298"/>
      <c r="M31" s="2293"/>
      <c r="N31" s="2293"/>
      <c r="O31" s="2293"/>
      <c r="P31" s="3639"/>
      <c r="Q31" s="2216">
        <f t="shared" si="11"/>
        <v>111</v>
      </c>
      <c r="R31" s="1352" t="s">
        <v>61</v>
      </c>
      <c r="S31" s="1353">
        <f t="shared" si="12"/>
        <v>100</v>
      </c>
      <c r="T31" s="1352" t="s">
        <v>61</v>
      </c>
      <c r="U31" s="1353">
        <f t="shared" si="13"/>
        <v>100</v>
      </c>
      <c r="V31" s="1352" t="s">
        <v>61</v>
      </c>
      <c r="W31" s="1353">
        <f t="shared" si="14"/>
        <v>100</v>
      </c>
      <c r="X31" s="2218"/>
      <c r="Y31" s="3632"/>
      <c r="Z31" s="2217">
        <f t="shared" si="15"/>
        <v>111</v>
      </c>
      <c r="AA31" s="1355">
        <f t="shared" si="3"/>
        <v>1</v>
      </c>
      <c r="AB31" s="1355">
        <f t="shared" si="4"/>
        <v>1</v>
      </c>
      <c r="AC31" s="2334">
        <f t="shared" si="5"/>
        <v>1</v>
      </c>
    </row>
    <row r="32" spans="1:29" ht="15" hidden="1"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298"/>
      <c r="M32" s="2293"/>
      <c r="N32" s="2293"/>
      <c r="O32" s="2293"/>
      <c r="P32" s="3639"/>
      <c r="Q32" s="2216">
        <f t="shared" si="11"/>
        <v>111</v>
      </c>
      <c r="R32" s="1352" t="s">
        <v>61</v>
      </c>
      <c r="S32" s="1353">
        <f t="shared" si="12"/>
        <v>100</v>
      </c>
      <c r="T32" s="1352" t="s">
        <v>61</v>
      </c>
      <c r="U32" s="1353">
        <f t="shared" si="13"/>
        <v>100</v>
      </c>
      <c r="V32" s="1352" t="s">
        <v>61</v>
      </c>
      <c r="W32" s="1353">
        <f t="shared" si="14"/>
        <v>100</v>
      </c>
      <c r="X32" s="2218"/>
      <c r="Y32" s="3632"/>
      <c r="Z32" s="2217">
        <f t="shared" si="15"/>
        <v>111</v>
      </c>
      <c r="AA32" s="1355">
        <f t="shared" si="3"/>
        <v>1</v>
      </c>
      <c r="AB32" s="1355">
        <f t="shared" si="4"/>
        <v>1</v>
      </c>
      <c r="AC32" s="2334">
        <f t="shared" si="5"/>
        <v>1</v>
      </c>
    </row>
    <row r="33" spans="1:29" ht="15">
      <c r="A33" s="155" t="s">
        <v>1082</v>
      </c>
      <c r="B33" s="62" t="s">
        <v>1083</v>
      </c>
      <c r="C33" s="197" t="s">
        <v>3466</v>
      </c>
      <c r="D33" s="810">
        <v>100</v>
      </c>
      <c r="E33" s="197" t="s">
        <v>3466</v>
      </c>
      <c r="F33" s="804">
        <f>SUMIF(101:101,E33,102:102)-SUMIF(101:101,C33,102:102)+100</f>
        <v>100</v>
      </c>
      <c r="G33" s="197" t="s">
        <v>3466</v>
      </c>
      <c r="H33" s="778">
        <f>SUMIF(101:101,G33,102:102)-SUMIF(101:101,C33,102:102)+100</f>
        <v>100</v>
      </c>
      <c r="I33" s="197" t="s">
        <v>3466</v>
      </c>
      <c r="J33" s="810">
        <f>SUMIF(101:101,I33,102:102)-SUMIF(101:101,C33,102:102)+100</f>
        <v>100</v>
      </c>
      <c r="K33" s="955">
        <v>5</v>
      </c>
      <c r="L33" s="2298"/>
      <c r="M33" s="2293"/>
      <c r="N33" s="2293"/>
      <c r="O33" s="2293"/>
      <c r="P33" s="3633" t="s">
        <v>1084</v>
      </c>
      <c r="Q33" s="2216" t="str">
        <f t="shared" si="11"/>
        <v>建筑类型</v>
      </c>
      <c r="R33" s="1352" t="s">
        <v>61</v>
      </c>
      <c r="S33" s="1353">
        <f t="shared" si="12"/>
        <v>100</v>
      </c>
      <c r="T33" s="1352" t="s">
        <v>61</v>
      </c>
      <c r="U33" s="1353">
        <f t="shared" si="13"/>
        <v>100</v>
      </c>
      <c r="V33" s="1352" t="s">
        <v>61</v>
      </c>
      <c r="W33" s="1353">
        <f t="shared" si="14"/>
        <v>100</v>
      </c>
      <c r="X33" s="2218"/>
      <c r="Y33" s="3636" t="s">
        <v>1084</v>
      </c>
      <c r="Z33" s="2217" t="str">
        <f t="shared" si="15"/>
        <v>建筑类型</v>
      </c>
      <c r="AA33" s="1355">
        <f t="shared" si="3"/>
        <v>1</v>
      </c>
      <c r="AB33" s="1355">
        <f t="shared" si="4"/>
        <v>1</v>
      </c>
      <c r="AC33" s="2334">
        <f t="shared" si="5"/>
        <v>1</v>
      </c>
    </row>
    <row r="34" spans="1:29" s="1039" customFormat="1" ht="14.25">
      <c r="A34" s="1043"/>
      <c r="B34" s="12" t="s">
        <v>72</v>
      </c>
      <c r="C34" s="812">
        <f>'数据-基础表'!B3</f>
        <v>66965.320000000065</v>
      </c>
      <c r="D34" s="426">
        <v>100</v>
      </c>
      <c r="E34" s="773">
        <v>249914</v>
      </c>
      <c r="F34" s="768">
        <f>LOOKUP(E34,104:104,105:105)-LOOKUP(C34,104:104,105:105)+100</f>
        <v>102</v>
      </c>
      <c r="G34" s="772">
        <v>250000</v>
      </c>
      <c r="H34" s="426">
        <f>LOOKUP(G34,104:104,105:105)-LOOKUP(C34,104:104,105:105)+100</f>
        <v>102</v>
      </c>
      <c r="I34" s="772">
        <v>250000</v>
      </c>
      <c r="J34" s="426">
        <f>LOOKUP(I34,104:104,105:105)-LOOKUP(C34,104:104,105:105)+100</f>
        <v>102</v>
      </c>
      <c r="K34" s="188"/>
      <c r="L34" s="2297"/>
      <c r="M34" s="2299"/>
      <c r="N34" s="2299"/>
      <c r="O34" s="2299"/>
      <c r="P34" s="3634"/>
      <c r="Q34" s="1359" t="str">
        <f t="shared" si="11"/>
        <v>项目建筑规模</v>
      </c>
      <c r="R34" s="1360" t="s">
        <v>61</v>
      </c>
      <c r="S34" s="1361">
        <f t="shared" si="12"/>
        <v>102</v>
      </c>
      <c r="T34" s="1360" t="s">
        <v>61</v>
      </c>
      <c r="U34" s="1361">
        <f t="shared" si="13"/>
        <v>102</v>
      </c>
      <c r="V34" s="1360" t="s">
        <v>61</v>
      </c>
      <c r="W34" s="1361">
        <f t="shared" si="14"/>
        <v>102</v>
      </c>
      <c r="X34" s="1362"/>
      <c r="Y34" s="3636"/>
      <c r="Z34" s="1363" t="str">
        <f t="shared" si="15"/>
        <v>项目建筑规模</v>
      </c>
      <c r="AA34" s="1355">
        <f t="shared" si="3"/>
        <v>0.98039215686274506</v>
      </c>
      <c r="AB34" s="1355">
        <f t="shared" si="4"/>
        <v>0.98039215686274506</v>
      </c>
      <c r="AC34" s="2334">
        <f t="shared" si="5"/>
        <v>0.98039215686274506</v>
      </c>
    </row>
    <row r="35" spans="1:29" ht="15">
      <c r="A35" s="161"/>
      <c r="B35" s="12" t="s">
        <v>73</v>
      </c>
      <c r="C35" s="107" t="s">
        <v>3471</v>
      </c>
      <c r="D35" s="778">
        <v>100</v>
      </c>
      <c r="E35" s="107" t="s">
        <v>3471</v>
      </c>
      <c r="F35" s="804">
        <f>SUMIF(106:106,E35,107:107)-SUMIF(106:106,C35,107:107)+100</f>
        <v>100</v>
      </c>
      <c r="G35" s="107" t="s">
        <v>3471</v>
      </c>
      <c r="H35" s="778">
        <f>SUMIF(106:106,G35,107:107)-SUMIF(106:106,C35,107:107)+100</f>
        <v>100</v>
      </c>
      <c r="I35" s="107" t="s">
        <v>3471</v>
      </c>
      <c r="J35" s="778">
        <f>SUMIF(106:106,I35,107:107)-SUMIF(106:106,C35,107:107)+100</f>
        <v>100</v>
      </c>
      <c r="K35" s="955">
        <v>2</v>
      </c>
      <c r="L35" s="2298"/>
      <c r="M35" s="2293"/>
      <c r="N35" s="2293"/>
      <c r="O35" s="2293"/>
      <c r="P35" s="3634"/>
      <c r="Q35" s="2216" t="str">
        <f t="shared" si="11"/>
        <v>建筑结构</v>
      </c>
      <c r="R35" s="1352" t="s">
        <v>61</v>
      </c>
      <c r="S35" s="1353">
        <f t="shared" si="12"/>
        <v>100</v>
      </c>
      <c r="T35" s="1352" t="s">
        <v>61</v>
      </c>
      <c r="U35" s="1353">
        <f t="shared" si="13"/>
        <v>100</v>
      </c>
      <c r="V35" s="1352" t="s">
        <v>61</v>
      </c>
      <c r="W35" s="1353">
        <f t="shared" si="14"/>
        <v>100</v>
      </c>
      <c r="X35" s="2218"/>
      <c r="Y35" s="3636"/>
      <c r="Z35" s="2217" t="str">
        <f t="shared" si="15"/>
        <v>建筑结构</v>
      </c>
      <c r="AA35" s="1355">
        <f t="shared" si="3"/>
        <v>1</v>
      </c>
      <c r="AB35" s="1355">
        <f t="shared" si="4"/>
        <v>1</v>
      </c>
      <c r="AC35" s="2334">
        <f t="shared" si="5"/>
        <v>1</v>
      </c>
    </row>
    <row r="36" spans="1:29" ht="15">
      <c r="A36" s="161"/>
      <c r="B36" s="12" t="s">
        <v>129</v>
      </c>
      <c r="C36" s="107" t="s">
        <v>3476</v>
      </c>
      <c r="D36" s="778">
        <v>100</v>
      </c>
      <c r="E36" s="107" t="s">
        <v>3476</v>
      </c>
      <c r="F36" s="804">
        <f>SUMIF(108:108,E36,109:109)-SUMIF(108:108,C36,109:109)+100</f>
        <v>100</v>
      </c>
      <c r="G36" s="107" t="s">
        <v>3476</v>
      </c>
      <c r="H36" s="778">
        <f>SUMIF(108:108,G36,109:109)-SUMIF(108:108,C36,109:109)+100</f>
        <v>100</v>
      </c>
      <c r="I36" s="107" t="s">
        <v>3476</v>
      </c>
      <c r="J36" s="778">
        <f>SUMIF(108:108,I36,109:109)-SUMIF(108:108,C36,109:109)+100</f>
        <v>100</v>
      </c>
      <c r="K36" s="955">
        <v>2</v>
      </c>
      <c r="L36" s="2298"/>
      <c r="M36" s="2293"/>
      <c r="N36" s="2293"/>
      <c r="O36" s="2293"/>
      <c r="P36" s="3634"/>
      <c r="Q36" s="2216" t="str">
        <f t="shared" si="11"/>
        <v>公共部分装修</v>
      </c>
      <c r="R36" s="1352" t="s">
        <v>61</v>
      </c>
      <c r="S36" s="1353">
        <f t="shared" si="12"/>
        <v>100</v>
      </c>
      <c r="T36" s="1352" t="s">
        <v>61</v>
      </c>
      <c r="U36" s="1353">
        <f t="shared" si="13"/>
        <v>100</v>
      </c>
      <c r="V36" s="1352" t="s">
        <v>61</v>
      </c>
      <c r="W36" s="1353">
        <f t="shared" si="14"/>
        <v>100</v>
      </c>
      <c r="X36" s="2218"/>
      <c r="Y36" s="3636"/>
      <c r="Z36" s="2217" t="str">
        <f t="shared" si="15"/>
        <v>公共部分装修</v>
      </c>
      <c r="AA36" s="1355">
        <f t="shared" si="3"/>
        <v>1</v>
      </c>
      <c r="AB36" s="1355">
        <f t="shared" si="4"/>
        <v>1</v>
      </c>
      <c r="AC36" s="2334">
        <f t="shared" si="5"/>
        <v>1</v>
      </c>
    </row>
    <row r="37" spans="1:29" ht="15">
      <c r="A37" s="161"/>
      <c r="B37" s="12" t="s">
        <v>130</v>
      </c>
      <c r="C37" s="817">
        <f>'数据-取费表'!N8</f>
        <v>0.98</v>
      </c>
      <c r="D37" s="778">
        <v>100</v>
      </c>
      <c r="E37" s="817">
        <f>ROUND(1-(2017-2014)/60,2)</f>
        <v>0.95</v>
      </c>
      <c r="F37" s="804">
        <f>LOOKUP(E37,111:111,112:112)-LOOKUP(C37,111:111,112:112)+100</f>
        <v>100</v>
      </c>
      <c r="G37" s="817">
        <f>ROUND(1-(2017-2016)/60,2)</f>
        <v>0.98</v>
      </c>
      <c r="H37" s="804">
        <f>LOOKUP(G37,111:111,112:112)-LOOKUP(C37,111:111,112:112)+100</f>
        <v>100</v>
      </c>
      <c r="I37" s="817">
        <f>ROUND(1-(2017-2014)/60,2)</f>
        <v>0.95</v>
      </c>
      <c r="J37" s="778">
        <f>LOOKUP(I37,111:111,112:112)-LOOKUP(C37,111:111,112:112)+100</f>
        <v>100</v>
      </c>
      <c r="K37" s="955">
        <v>1</v>
      </c>
      <c r="L37" s="2298"/>
      <c r="M37" s="2293"/>
      <c r="N37" s="2293"/>
      <c r="O37" s="2293"/>
      <c r="P37" s="3634"/>
      <c r="Q37" s="2216" t="str">
        <f t="shared" si="11"/>
        <v>成新度</v>
      </c>
      <c r="R37" s="1352" t="s">
        <v>61</v>
      </c>
      <c r="S37" s="1353">
        <f t="shared" si="12"/>
        <v>100</v>
      </c>
      <c r="T37" s="1352" t="s">
        <v>61</v>
      </c>
      <c r="U37" s="1353">
        <f t="shared" si="13"/>
        <v>100</v>
      </c>
      <c r="V37" s="1352" t="s">
        <v>61</v>
      </c>
      <c r="W37" s="1353">
        <f t="shared" si="14"/>
        <v>100</v>
      </c>
      <c r="X37" s="2218"/>
      <c r="Y37" s="3636"/>
      <c r="Z37" s="2217" t="str">
        <f t="shared" si="15"/>
        <v>成新度</v>
      </c>
      <c r="AA37" s="1355">
        <f t="shared" si="3"/>
        <v>1</v>
      </c>
      <c r="AB37" s="1355">
        <f t="shared" si="4"/>
        <v>1</v>
      </c>
      <c r="AC37" s="2334">
        <f t="shared" si="5"/>
        <v>1</v>
      </c>
    </row>
    <row r="38" spans="1:29" s="40" customFormat="1" ht="15">
      <c r="A38" s="1041"/>
      <c r="B38" s="12" t="s">
        <v>143</v>
      </c>
      <c r="C38" s="107" t="s">
        <v>3480</v>
      </c>
      <c r="D38" s="426">
        <v>100</v>
      </c>
      <c r="E38" s="107" t="s">
        <v>3480</v>
      </c>
      <c r="F38" s="804">
        <f>SUMIF(113:113,E38,114:114)-SUMIF(113:113,C38,114:114)+100</f>
        <v>100</v>
      </c>
      <c r="G38" s="107" t="s">
        <v>3480</v>
      </c>
      <c r="H38" s="778">
        <f>SUMIF(113:113,G38,114:114)-SUMIF(113:113,C38,114:114)+100</f>
        <v>100</v>
      </c>
      <c r="I38" s="107" t="s">
        <v>3480</v>
      </c>
      <c r="J38" s="778">
        <f>SUMIF(113:113,I38,114:114)-SUMIF(113:113,C38,114:114)+100</f>
        <v>100</v>
      </c>
      <c r="K38" s="955">
        <v>2</v>
      </c>
      <c r="L38" s="2294"/>
      <c r="M38" s="2256"/>
      <c r="N38" s="2256"/>
      <c r="O38" s="2256"/>
      <c r="P38" s="3634"/>
      <c r="Q38" s="2209" t="str">
        <f t="shared" si="11"/>
        <v>写字楼等级</v>
      </c>
      <c r="R38" s="1342" t="s">
        <v>61</v>
      </c>
      <c r="S38" s="1343">
        <f t="shared" si="12"/>
        <v>100</v>
      </c>
      <c r="T38" s="1342" t="s">
        <v>61</v>
      </c>
      <c r="U38" s="1343">
        <f t="shared" si="13"/>
        <v>100</v>
      </c>
      <c r="V38" s="1342" t="s">
        <v>61</v>
      </c>
      <c r="W38" s="1343">
        <f t="shared" si="14"/>
        <v>100</v>
      </c>
      <c r="X38" s="287"/>
      <c r="Y38" s="3636"/>
      <c r="Z38" s="2208" t="str">
        <f t="shared" si="15"/>
        <v>写字楼等级</v>
      </c>
      <c r="AA38" s="1344">
        <f t="shared" si="3"/>
        <v>1</v>
      </c>
      <c r="AB38" s="1344">
        <f t="shared" si="4"/>
        <v>1</v>
      </c>
      <c r="AC38" s="2333">
        <f t="shared" si="5"/>
        <v>1</v>
      </c>
    </row>
    <row r="39" spans="1:29" ht="15">
      <c r="A39" s="161"/>
      <c r="B39" s="12" t="s">
        <v>144</v>
      </c>
      <c r="C39" s="107" t="s">
        <v>3490</v>
      </c>
      <c r="D39" s="778">
        <v>100</v>
      </c>
      <c r="E39" s="107" t="s">
        <v>3490</v>
      </c>
      <c r="F39" s="804">
        <f>SUMIF(115:115,E39,116:116)-SUMIF(115:115,C39,116:116)+100</f>
        <v>100</v>
      </c>
      <c r="G39" s="107" t="s">
        <v>3490</v>
      </c>
      <c r="H39" s="778">
        <f>SUMIF(115:115,G39,116:116)-SUMIF(115:115,C39,116:116)+100</f>
        <v>100</v>
      </c>
      <c r="I39" s="107" t="s">
        <v>3490</v>
      </c>
      <c r="J39" s="778">
        <f>SUMIF(115:115,I39,116:116)-SUMIF(115:115,C39,116:116)+100</f>
        <v>100</v>
      </c>
      <c r="K39" s="955">
        <v>2</v>
      </c>
      <c r="L39" s="2298"/>
      <c r="M39" s="2293"/>
      <c r="N39" s="2293"/>
      <c r="O39" s="2293"/>
      <c r="P39" s="3634" t="s">
        <v>66</v>
      </c>
      <c r="Q39" s="2216" t="str">
        <f t="shared" si="11"/>
        <v>物业管理</v>
      </c>
      <c r="R39" s="1352" t="s">
        <v>61</v>
      </c>
      <c r="S39" s="1353">
        <f t="shared" si="12"/>
        <v>100</v>
      </c>
      <c r="T39" s="1352" t="s">
        <v>61</v>
      </c>
      <c r="U39" s="1353">
        <f t="shared" si="13"/>
        <v>100</v>
      </c>
      <c r="V39" s="1352" t="s">
        <v>61</v>
      </c>
      <c r="W39" s="1353">
        <f t="shared" si="14"/>
        <v>100</v>
      </c>
      <c r="X39" s="2218"/>
      <c r="Y39" s="3636" t="s">
        <v>66</v>
      </c>
      <c r="Z39" s="2217" t="str">
        <f t="shared" si="15"/>
        <v>物业管理</v>
      </c>
      <c r="AA39" s="1355">
        <f t="shared" si="3"/>
        <v>1</v>
      </c>
      <c r="AB39" s="1355">
        <f t="shared" si="4"/>
        <v>1</v>
      </c>
      <c r="AC39" s="2334">
        <f t="shared" si="5"/>
        <v>1</v>
      </c>
    </row>
    <row r="40" spans="1:29" ht="15">
      <c r="A40" s="161"/>
      <c r="B40" s="12" t="s">
        <v>2652</v>
      </c>
      <c r="C40" s="107" t="s">
        <v>3491</v>
      </c>
      <c r="D40" s="778">
        <v>100</v>
      </c>
      <c r="E40" s="107" t="s">
        <v>3491</v>
      </c>
      <c r="F40" s="804">
        <f>SUMIF(117:117,E40,118:118)-SUMIF(117:117,C40,118:118)+100</f>
        <v>100</v>
      </c>
      <c r="G40" s="107" t="s">
        <v>3491</v>
      </c>
      <c r="H40" s="778">
        <f>SUMIF(117:117,G40,118:118)-SUMIF(117:117,C40,118:118)+100</f>
        <v>100</v>
      </c>
      <c r="I40" s="107" t="s">
        <v>3491</v>
      </c>
      <c r="J40" s="778">
        <f>SUMIF(117:117,I40,118:118)-SUMIF(117:117,C40,118:118)+100</f>
        <v>100</v>
      </c>
      <c r="K40" s="955">
        <v>1</v>
      </c>
      <c r="L40" s="2298"/>
      <c r="M40" s="2293"/>
      <c r="N40" s="2293"/>
      <c r="O40" s="2293"/>
      <c r="P40" s="3634"/>
      <c r="Q40" s="2216" t="str">
        <f t="shared" si="11"/>
        <v>市政基础设施</v>
      </c>
      <c r="R40" s="1352" t="s">
        <v>61</v>
      </c>
      <c r="S40" s="1353">
        <f t="shared" si="12"/>
        <v>100</v>
      </c>
      <c r="T40" s="1352" t="s">
        <v>61</v>
      </c>
      <c r="U40" s="1353">
        <f t="shared" si="13"/>
        <v>100</v>
      </c>
      <c r="V40" s="1352" t="s">
        <v>61</v>
      </c>
      <c r="W40" s="1353">
        <f t="shared" si="14"/>
        <v>100</v>
      </c>
      <c r="X40" s="2218"/>
      <c r="Y40" s="3636"/>
      <c r="Z40" s="2217" t="str">
        <f t="shared" si="15"/>
        <v>市政基础设施</v>
      </c>
      <c r="AA40" s="1355">
        <f t="shared" si="3"/>
        <v>1</v>
      </c>
      <c r="AB40" s="1355">
        <f t="shared" si="4"/>
        <v>1</v>
      </c>
      <c r="AC40" s="2334">
        <f t="shared" si="5"/>
        <v>1</v>
      </c>
    </row>
    <row r="41" spans="1:29" ht="15">
      <c r="A41" s="161"/>
      <c r="B41" s="12" t="s">
        <v>132</v>
      </c>
      <c r="C41" s="182" t="s">
        <v>3488</v>
      </c>
      <c r="D41" s="778">
        <v>100</v>
      </c>
      <c r="E41" s="182" t="s">
        <v>3488</v>
      </c>
      <c r="F41" s="804">
        <f>SUMIF(119:119,E41,120:120)-SUMIF(119:119,C41,120:120)+100</f>
        <v>100</v>
      </c>
      <c r="G41" s="182" t="s">
        <v>3488</v>
      </c>
      <c r="H41" s="778">
        <f>SUMIF(119:119,G41,120:120)-SUMIF(119:119,C41,120:120)+100</f>
        <v>100</v>
      </c>
      <c r="I41" s="182" t="s">
        <v>3488</v>
      </c>
      <c r="J41" s="778">
        <f>SUMIF(119:119,I41,120:120)-SUMIF(119:119,C41,120:120)+100</f>
        <v>100</v>
      </c>
      <c r="K41" s="955">
        <v>2</v>
      </c>
      <c r="L41" s="2298"/>
      <c r="M41" s="2293"/>
      <c r="N41" s="2293"/>
      <c r="O41" s="2293"/>
      <c r="P41" s="3634"/>
      <c r="Q41" s="2216" t="str">
        <f t="shared" si="11"/>
        <v>层高</v>
      </c>
      <c r="R41" s="1352" t="s">
        <v>61</v>
      </c>
      <c r="S41" s="1353">
        <f t="shared" si="12"/>
        <v>100</v>
      </c>
      <c r="T41" s="1352" t="s">
        <v>61</v>
      </c>
      <c r="U41" s="1353">
        <f t="shared" si="13"/>
        <v>100</v>
      </c>
      <c r="V41" s="1352" t="s">
        <v>61</v>
      </c>
      <c r="W41" s="1353">
        <f t="shared" si="14"/>
        <v>100</v>
      </c>
      <c r="X41" s="2218"/>
      <c r="Y41" s="3636"/>
      <c r="Z41" s="2217" t="str">
        <f t="shared" si="15"/>
        <v>层高</v>
      </c>
      <c r="AA41" s="1355">
        <f t="shared" si="3"/>
        <v>1</v>
      </c>
      <c r="AB41" s="1355">
        <f t="shared" si="4"/>
        <v>1</v>
      </c>
      <c r="AC41" s="2334">
        <f t="shared" si="5"/>
        <v>1</v>
      </c>
    </row>
    <row r="42" spans="1:29" s="1039" customFormat="1" ht="14.25" hidden="1">
      <c r="A42" s="1043"/>
      <c r="B42" s="191" t="s">
        <v>1085</v>
      </c>
      <c r="C42" s="777" t="s">
        <v>3492</v>
      </c>
      <c r="D42" s="778">
        <v>100</v>
      </c>
      <c r="E42" s="777"/>
      <c r="F42" s="804">
        <f>SUMIF(121:121,E42,122:122)-SUMIF(121:121,C42,122:122)+100</f>
        <v>100</v>
      </c>
      <c r="G42" s="777"/>
      <c r="H42" s="778">
        <f>SUMIF(121:121,G42,122:122)-SUMIF(121:121,C42,122:122)+100</f>
        <v>100</v>
      </c>
      <c r="I42" s="777"/>
      <c r="J42" s="778">
        <f>SUMIF(121:121,I42,122:122)-SUMIF(121:121,C42,122:122)+100</f>
        <v>100</v>
      </c>
      <c r="K42" s="188"/>
      <c r="L42" s="2297"/>
      <c r="M42" s="2299"/>
      <c r="N42" s="2299"/>
      <c r="O42" s="2299"/>
      <c r="P42" s="3634"/>
      <c r="Q42" s="1359" t="str">
        <f t="shared" si="11"/>
        <v>单套建筑面积</v>
      </c>
      <c r="R42" s="1360" t="s">
        <v>61</v>
      </c>
      <c r="S42" s="1361">
        <f t="shared" si="12"/>
        <v>100</v>
      </c>
      <c r="T42" s="1360" t="s">
        <v>61</v>
      </c>
      <c r="U42" s="1361">
        <f t="shared" si="13"/>
        <v>100</v>
      </c>
      <c r="V42" s="1360" t="s">
        <v>61</v>
      </c>
      <c r="W42" s="1361">
        <f t="shared" si="14"/>
        <v>100</v>
      </c>
      <c r="X42" s="1362"/>
      <c r="Y42" s="3636"/>
      <c r="Z42" s="1363" t="str">
        <f t="shared" si="15"/>
        <v>单套建筑面积</v>
      </c>
      <c r="AA42" s="1355">
        <f t="shared" si="3"/>
        <v>1</v>
      </c>
      <c r="AB42" s="1355">
        <f t="shared" si="4"/>
        <v>1</v>
      </c>
      <c r="AC42" s="2334">
        <f t="shared" si="5"/>
        <v>1</v>
      </c>
    </row>
    <row r="43" spans="1:29" ht="15.75" thickBot="1">
      <c r="A43" s="161"/>
      <c r="B43" s="12" t="s">
        <v>1086</v>
      </c>
      <c r="C43" s="107" t="s">
        <v>3493</v>
      </c>
      <c r="D43" s="778">
        <v>100</v>
      </c>
      <c r="E43" s="107" t="s">
        <v>3493</v>
      </c>
      <c r="F43" s="804">
        <f>SUMIF(123:123,E43,124:124)-SUMIF(123:123,C43,124:124)+100</f>
        <v>100</v>
      </c>
      <c r="G43" s="107" t="s">
        <v>3493</v>
      </c>
      <c r="H43" s="778">
        <f>SUMIF(123:123,G43,124:124)-SUMIF(123:123,C43,124:124)+100</f>
        <v>100</v>
      </c>
      <c r="I43" s="107" t="s">
        <v>3493</v>
      </c>
      <c r="J43" s="778">
        <f>SUMIF(123:123,I43,124:124)-SUMIF(123:123,C43,124:124)+100</f>
        <v>100</v>
      </c>
      <c r="K43" s="955">
        <v>1</v>
      </c>
      <c r="L43" s="2298"/>
      <c r="M43" s="2293"/>
      <c r="N43" s="2293"/>
      <c r="O43" s="2293"/>
      <c r="P43" s="3634"/>
      <c r="Q43" s="2216" t="str">
        <f t="shared" si="11"/>
        <v>内部装修</v>
      </c>
      <c r="R43" s="1352" t="s">
        <v>61</v>
      </c>
      <c r="S43" s="1353">
        <f t="shared" si="12"/>
        <v>100</v>
      </c>
      <c r="T43" s="1352" t="s">
        <v>61</v>
      </c>
      <c r="U43" s="1353">
        <f t="shared" si="13"/>
        <v>100</v>
      </c>
      <c r="V43" s="1352" t="s">
        <v>61</v>
      </c>
      <c r="W43" s="1353">
        <f t="shared" si="14"/>
        <v>100</v>
      </c>
      <c r="X43" s="2218"/>
      <c r="Y43" s="3636"/>
      <c r="Z43" s="2217" t="str">
        <f t="shared" si="15"/>
        <v>内部装修</v>
      </c>
      <c r="AA43" s="1355">
        <f t="shared" si="3"/>
        <v>1</v>
      </c>
      <c r="AB43" s="1355">
        <f t="shared" si="4"/>
        <v>1</v>
      </c>
      <c r="AC43" s="2334">
        <f t="shared" si="5"/>
        <v>1</v>
      </c>
    </row>
    <row r="44" spans="1:29" ht="27" hidden="1">
      <c r="A44" s="161"/>
      <c r="B44" s="12" t="s">
        <v>80</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298"/>
      <c r="M44" s="2293"/>
      <c r="N44" s="2293"/>
      <c r="O44" s="2293"/>
      <c r="P44" s="3634"/>
      <c r="Q44" s="2216" t="str">
        <f t="shared" si="11"/>
        <v>内部装修维护情况</v>
      </c>
      <c r="R44" s="1352" t="s">
        <v>61</v>
      </c>
      <c r="S44" s="1353">
        <f t="shared" si="12"/>
        <v>100</v>
      </c>
      <c r="T44" s="1352" t="s">
        <v>61</v>
      </c>
      <c r="U44" s="1353">
        <f t="shared" si="13"/>
        <v>100</v>
      </c>
      <c r="V44" s="1352" t="s">
        <v>61</v>
      </c>
      <c r="W44" s="1353">
        <f t="shared" si="14"/>
        <v>100</v>
      </c>
      <c r="X44" s="2218"/>
      <c r="Y44" s="3636"/>
      <c r="Z44" s="2217" t="str">
        <f t="shared" si="15"/>
        <v>内部装修维护情况</v>
      </c>
      <c r="AA44" s="1355">
        <f t="shared" si="3"/>
        <v>1</v>
      </c>
      <c r="AB44" s="1355">
        <f t="shared" si="4"/>
        <v>1</v>
      </c>
      <c r="AC44" s="2334">
        <f t="shared" si="5"/>
        <v>1</v>
      </c>
    </row>
    <row r="45" spans="1:29" s="40" customFormat="1" ht="14.25" hidden="1">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4"/>
      <c r="M45" s="2256"/>
      <c r="N45" s="2256"/>
      <c r="O45" s="2256"/>
      <c r="P45" s="3634"/>
      <c r="Q45" s="2209">
        <f t="shared" si="11"/>
        <v>111</v>
      </c>
      <c r="R45" s="1342" t="s">
        <v>61</v>
      </c>
      <c r="S45" s="1343">
        <f t="shared" si="12"/>
        <v>100</v>
      </c>
      <c r="T45" s="1342" t="s">
        <v>61</v>
      </c>
      <c r="U45" s="1343">
        <f t="shared" si="13"/>
        <v>100</v>
      </c>
      <c r="V45" s="1342" t="s">
        <v>61</v>
      </c>
      <c r="W45" s="1343">
        <f t="shared" si="14"/>
        <v>100</v>
      </c>
      <c r="X45" s="287"/>
      <c r="Y45" s="3636"/>
      <c r="Z45" s="2208">
        <f t="shared" si="15"/>
        <v>111</v>
      </c>
      <c r="AA45" s="1344">
        <f t="shared" si="3"/>
        <v>1</v>
      </c>
      <c r="AB45" s="1344">
        <f t="shared" si="4"/>
        <v>1</v>
      </c>
      <c r="AC45" s="2333">
        <f t="shared" si="5"/>
        <v>1</v>
      </c>
    </row>
    <row r="46" spans="1:29" ht="14.25" hidden="1">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8"/>
      <c r="M46" s="2293"/>
      <c r="N46" s="2293"/>
      <c r="O46" s="2293"/>
      <c r="P46" s="3634"/>
      <c r="Q46" s="2216">
        <f t="shared" si="11"/>
        <v>111</v>
      </c>
      <c r="R46" s="1352" t="s">
        <v>61</v>
      </c>
      <c r="S46" s="1353">
        <f t="shared" si="12"/>
        <v>100</v>
      </c>
      <c r="T46" s="1352" t="s">
        <v>61</v>
      </c>
      <c r="U46" s="1353">
        <f t="shared" si="13"/>
        <v>100</v>
      </c>
      <c r="V46" s="1352" t="s">
        <v>61</v>
      </c>
      <c r="W46" s="1353">
        <f t="shared" si="14"/>
        <v>100</v>
      </c>
      <c r="X46" s="2218"/>
      <c r="Y46" s="3636"/>
      <c r="Z46" s="2217">
        <f t="shared" si="15"/>
        <v>111</v>
      </c>
      <c r="AA46" s="1355">
        <f t="shared" si="3"/>
        <v>1</v>
      </c>
      <c r="AB46" s="1355">
        <f t="shared" si="4"/>
        <v>1</v>
      </c>
      <c r="AC46" s="2334">
        <f t="shared" si="5"/>
        <v>1</v>
      </c>
    </row>
    <row r="47" spans="1:29" ht="15" hidden="1"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8"/>
      <c r="M47" s="2293"/>
      <c r="N47" s="2293"/>
      <c r="O47" s="2293"/>
      <c r="P47" s="3635"/>
      <c r="Q47" s="2216">
        <f t="shared" si="11"/>
        <v>111</v>
      </c>
      <c r="R47" s="1352" t="s">
        <v>61</v>
      </c>
      <c r="S47" s="1353">
        <f t="shared" si="12"/>
        <v>100</v>
      </c>
      <c r="T47" s="1352" t="s">
        <v>61</v>
      </c>
      <c r="U47" s="1353">
        <f t="shared" si="13"/>
        <v>100</v>
      </c>
      <c r="V47" s="1352" t="s">
        <v>61</v>
      </c>
      <c r="W47" s="1353">
        <f t="shared" si="14"/>
        <v>100</v>
      </c>
      <c r="X47" s="2218"/>
      <c r="Y47" s="3637"/>
      <c r="Z47" s="2217">
        <f t="shared" si="15"/>
        <v>111</v>
      </c>
      <c r="AA47" s="1355">
        <f t="shared" si="3"/>
        <v>1</v>
      </c>
      <c r="AB47" s="1355">
        <f t="shared" si="4"/>
        <v>1</v>
      </c>
      <c r="AC47" s="2334">
        <f t="shared" si="5"/>
        <v>1</v>
      </c>
    </row>
    <row r="48" spans="1:29" ht="15">
      <c r="A48" s="163" t="s">
        <v>1032</v>
      </c>
      <c r="B48" s="164"/>
      <c r="C48" s="2833" t="s">
        <v>23</v>
      </c>
      <c r="D48" s="2834"/>
      <c r="E48" s="2835">
        <v>49200</v>
      </c>
      <c r="F48" s="2836"/>
      <c r="G48" s="2837">
        <v>50000</v>
      </c>
      <c r="H48" s="2838"/>
      <c r="I48" s="2835">
        <v>49200</v>
      </c>
      <c r="J48" s="828"/>
      <c r="K48" s="1393"/>
      <c r="L48" s="2300"/>
      <c r="M48" s="2293"/>
      <c r="N48" s="2293"/>
      <c r="O48" s="2293"/>
      <c r="P48" s="3611" t="str">
        <f>A48</f>
        <v>成交单价（元/平方米）</v>
      </c>
      <c r="Q48" s="3629"/>
      <c r="R48" s="3630">
        <f>E48</f>
        <v>49200</v>
      </c>
      <c r="S48" s="3630"/>
      <c r="T48" s="3630">
        <f>G48</f>
        <v>50000</v>
      </c>
      <c r="U48" s="3630"/>
      <c r="V48" s="3630">
        <f>I48</f>
        <v>49200</v>
      </c>
      <c r="W48" s="3630"/>
      <c r="X48" s="156"/>
      <c r="Y48" s="1366"/>
      <c r="Z48" s="156"/>
      <c r="AA48" s="156"/>
      <c r="AB48" s="156"/>
      <c r="AC48" s="209"/>
    </row>
    <row r="49" spans="1:29" ht="15.75" thickBot="1">
      <c r="A49" s="165" t="s">
        <v>1033</v>
      </c>
      <c r="B49" s="166"/>
      <c r="C49" s="2839">
        <f>R50</f>
        <v>49158</v>
      </c>
      <c r="D49" s="2840"/>
      <c r="E49" s="2841">
        <f>R49</f>
        <v>48235</v>
      </c>
      <c r="F49" s="2841"/>
      <c r="G49" s="2839">
        <f>T49</f>
        <v>50020</v>
      </c>
      <c r="H49" s="2840"/>
      <c r="I49" s="2841">
        <f>V49</f>
        <v>49220</v>
      </c>
      <c r="J49" s="832"/>
      <c r="K49" s="1394"/>
      <c r="L49" s="2300"/>
      <c r="M49" s="2293"/>
      <c r="N49" s="2293"/>
      <c r="O49" s="2293"/>
      <c r="P49" s="3611" t="str">
        <f>A49</f>
        <v>比较价值（元/平方米）</v>
      </c>
      <c r="Q49" s="3629"/>
      <c r="R49" s="3630">
        <f>IF(F1="售价",ROUND(PRODUCT(R48,AA7:AA47),0),ROUND(PRODUCT(R48,AA7:AA47),1))</f>
        <v>48235</v>
      </c>
      <c r="S49" s="3630"/>
      <c r="T49" s="3630">
        <f>IF(F1="售价",ROUND(PRODUCT(T48,AB7:AB47),0),ROUND(PRODUCT(T48,AB7:AB47),1))</f>
        <v>50020</v>
      </c>
      <c r="U49" s="3630"/>
      <c r="V49" s="3630">
        <f>IF(F1="售价",ROUND(PRODUCT(V48,AC7:AC47),0),ROUND(PRODUCT(V48,AC7:AC47),1))</f>
        <v>49220</v>
      </c>
      <c r="W49" s="3630"/>
      <c r="X49" s="156"/>
      <c r="Y49" s="156"/>
      <c r="Z49" s="156"/>
      <c r="AA49" s="156"/>
      <c r="AB49" s="156"/>
      <c r="AC49" s="209"/>
    </row>
    <row r="50" spans="1:29" ht="15.75" thickBot="1">
      <c r="A50" s="115" t="s">
        <v>3016</v>
      </c>
      <c r="B50" s="116"/>
      <c r="C50" s="2843">
        <f>R50</f>
        <v>49158</v>
      </c>
      <c r="D50" s="2843"/>
      <c r="E50" s="2843"/>
      <c r="F50" s="2843"/>
      <c r="G50" s="2843"/>
      <c r="H50" s="2843"/>
      <c r="I50" s="2843"/>
      <c r="J50" s="837"/>
      <c r="K50" s="1395"/>
      <c r="L50" s="2300"/>
      <c r="M50" s="2293"/>
      <c r="N50" s="2293"/>
      <c r="O50" s="2293"/>
      <c r="P50" s="3652" t="str">
        <f>A50</f>
        <v>估价对象XX用房的比较价值（楼面单价，元/平方米）</v>
      </c>
      <c r="Q50" s="3653"/>
      <c r="R50" s="3654">
        <f>IF(F1="售价",ROUND(AVERAGE(R49:V49),0),ROUND(AVERAGE(R49:V49),1))</f>
        <v>49158</v>
      </c>
      <c r="S50" s="3654"/>
      <c r="T50" s="3654"/>
      <c r="U50" s="3654"/>
      <c r="V50" s="3654"/>
      <c r="W50" s="3654"/>
      <c r="X50" s="2174"/>
      <c r="Y50" s="2174"/>
      <c r="Z50" s="2174"/>
      <c r="AA50" s="2174"/>
      <c r="AB50" s="2174"/>
      <c r="AC50" s="2175"/>
    </row>
    <row r="51" spans="1:29">
      <c r="A51" s="2301"/>
      <c r="B51" s="2301"/>
      <c r="C51" s="2301"/>
      <c r="D51" s="2301"/>
      <c r="E51" s="2301"/>
      <c r="F51" s="2301"/>
      <c r="G51" s="2310"/>
      <c r="H51" s="2301"/>
      <c r="I51" s="2301"/>
      <c r="J51" s="2301"/>
      <c r="K51" s="2302"/>
      <c r="L51" s="2303"/>
      <c r="M51" s="2301"/>
      <c r="N51" s="2301"/>
      <c r="O51" s="2301"/>
    </row>
    <row r="52" spans="1:29">
      <c r="A52" s="2301"/>
      <c r="B52" s="2301"/>
      <c r="C52" s="2301"/>
      <c r="D52" s="2301"/>
      <c r="E52" s="2301"/>
      <c r="F52" s="2301"/>
      <c r="G52" s="2301"/>
      <c r="H52" s="2301"/>
      <c r="I52" s="2301"/>
      <c r="J52" s="2301"/>
      <c r="K52" s="2302"/>
      <c r="L52" s="2303"/>
      <c r="M52" s="2301"/>
      <c r="N52" s="2301"/>
      <c r="O52" s="2301"/>
    </row>
    <row r="53" spans="1:29" ht="13.5" customHeight="1">
      <c r="A53" s="2301"/>
      <c r="B53" s="2301"/>
      <c r="C53" s="840" t="s">
        <v>1002</v>
      </c>
      <c r="D53" s="841"/>
      <c r="E53" s="842">
        <f>IF(E48&lt;E49,E49/E48-1,E48/E49-1)</f>
        <v>2.0006219550119164E-2</v>
      </c>
      <c r="F53" s="843" t="str">
        <f>IF(OR(E53&gt;=0.3,E53&lt;=-0.3),"超过30%","")</f>
        <v/>
      </c>
      <c r="G53" s="842">
        <f>IF(G48&lt;G49,G49/G48-1,G48/G49-1)</f>
        <v>3.9999999999995595E-4</v>
      </c>
      <c r="H53" s="843" t="str">
        <f>IF(OR(G53&gt;=0.3,G53&lt;=-0.3),"超过30%","")</f>
        <v/>
      </c>
      <c r="I53" s="842">
        <f>IF(I48&lt;I49,I49/I48-1,I48/I49-1)</f>
        <v>4.0650406504072478E-4</v>
      </c>
      <c r="J53" s="843" t="str">
        <f>IF(OR(I53&gt;=0.3,I53&lt;=-0.3),"超过30%","")</f>
        <v/>
      </c>
      <c r="K53" s="2302"/>
      <c r="L53" s="2303"/>
      <c r="M53" s="2301"/>
      <c r="N53" s="2301"/>
      <c r="O53" s="2301"/>
    </row>
    <row r="54" spans="1:29" ht="13.5" customHeight="1">
      <c r="A54" s="2301"/>
      <c r="B54" s="2301"/>
      <c r="C54" s="840" t="s">
        <v>1003</v>
      </c>
      <c r="D54" s="844"/>
      <c r="E54" s="842">
        <f>IF(E49&lt;G49,G49/E49-1,E49/G49-1)</f>
        <v>3.7006323209287872E-2</v>
      </c>
      <c r="F54" s="843" t="str">
        <f>IF(OR(E54&gt;=0.2,E54&lt;=-0.2),"超过20%","")</f>
        <v/>
      </c>
      <c r="G54" s="842">
        <f>IF(G49&lt;I49,I49/G49-1,G49/I49-1)</f>
        <v>1.6253555465258085E-2</v>
      </c>
      <c r="H54" s="843" t="str">
        <f>IF(OR(G54&gt;=0.2,G54&lt;=-0.2),"超过20%","")</f>
        <v/>
      </c>
      <c r="I54" s="842">
        <f>IF(I49&lt;E49,E49/I49-1,I49/E49-1)</f>
        <v>2.0420856224732997E-2</v>
      </c>
      <c r="J54" s="843" t="str">
        <f>IF(OR(I54&gt;=0.2,I54&lt;=-0.2),"超过20%","")</f>
        <v/>
      </c>
      <c r="K54" s="2302"/>
      <c r="L54" s="2303"/>
      <c r="M54" s="2301"/>
      <c r="N54" s="2301"/>
      <c r="O54" s="2301"/>
    </row>
    <row r="55" spans="1:29" s="119" customFormat="1" ht="13.5" customHeight="1">
      <c r="A55" s="2306"/>
      <c r="B55" s="2306"/>
      <c r="C55" s="840" t="s">
        <v>1004</v>
      </c>
      <c r="D55" s="844"/>
      <c r="E55" s="842">
        <f>IF(E48&lt;G48,G48/E48-1,E48/G48-1)</f>
        <v>1.6260162601626105E-2</v>
      </c>
      <c r="F55" s="843" t="str">
        <f>IF(OR(E55&gt;=0.3,E55&lt;=-0.3),"超过30%","")</f>
        <v/>
      </c>
      <c r="G55" s="842">
        <f>IF(G48&lt;I48,I48/G48-1,G48/I48-1)</f>
        <v>1.6260162601626105E-2</v>
      </c>
      <c r="H55" s="843" t="str">
        <f>IF(OR(G55&gt;=0.3,G55&lt;=-0.3),"超过30%","")</f>
        <v/>
      </c>
      <c r="I55" s="842">
        <f>IF(I48&lt;E48,E48/I48-1,I48/E48-1)</f>
        <v>0</v>
      </c>
      <c r="J55" s="843" t="str">
        <f>IF(OR(I55&gt;=0.3,I55&lt;=-0.3),"超过30%","")</f>
        <v/>
      </c>
      <c r="K55" s="2304"/>
      <c r="L55" s="2305"/>
      <c r="M55" s="2306"/>
      <c r="N55" s="2306"/>
      <c r="O55" s="2306"/>
      <c r="P55" s="2322"/>
    </row>
    <row r="56" spans="1:29" s="119" customFormat="1">
      <c r="A56" s="2306"/>
      <c r="B56" s="2311"/>
      <c r="C56" s="2312"/>
      <c r="D56" s="2306"/>
      <c r="E56" s="2306"/>
      <c r="F56" s="2306"/>
      <c r="G56" s="2306"/>
      <c r="H56" s="2306"/>
      <c r="I56" s="2306"/>
      <c r="J56" s="2306"/>
      <c r="K56" s="2304"/>
      <c r="L56" s="2305"/>
      <c r="M56" s="2306"/>
      <c r="N56" s="2306"/>
      <c r="O56" s="2306"/>
      <c r="P56" s="2322"/>
    </row>
    <row r="57" spans="1:29">
      <c r="A57" s="2301"/>
      <c r="B57" s="2311"/>
      <c r="C57" s="2312"/>
      <c r="D57" s="2301"/>
      <c r="E57" s="2301"/>
      <c r="F57" s="2301"/>
      <c r="G57" s="2301"/>
      <c r="H57" s="2301"/>
      <c r="I57" s="2301"/>
      <c r="J57" s="2301"/>
      <c r="K57" s="2302"/>
      <c r="L57" s="2303"/>
      <c r="M57" s="2301"/>
      <c r="N57" s="2301"/>
      <c r="O57" s="2301"/>
    </row>
    <row r="58" spans="1:29" ht="21" thickBot="1">
      <c r="A58" s="1372" t="s">
        <v>1034</v>
      </c>
      <c r="B58" s="1365"/>
      <c r="C58" s="1373"/>
      <c r="D58" s="1373"/>
      <c r="E58" s="1373"/>
      <c r="F58" s="1374"/>
      <c r="G58" s="1374"/>
      <c r="H58" s="1373"/>
      <c r="I58" s="1373"/>
      <c r="J58" s="1373"/>
      <c r="K58" s="1375"/>
      <c r="L58" s="2308"/>
      <c r="M58" s="2309"/>
      <c r="N58" s="2309"/>
      <c r="O58" s="2309"/>
      <c r="P58" s="2323"/>
      <c r="Q58" s="121"/>
    </row>
    <row r="59" spans="1:29" s="851" customFormat="1" ht="15">
      <c r="A59" s="848" t="s">
        <v>2792</v>
      </c>
      <c r="B59" s="849"/>
      <c r="C59" s="3042" t="str">
        <f>YEAR(C7)&amp;"-"&amp;MONTH(C7)</f>
        <v>2017-8</v>
      </c>
      <c r="D59" s="3043">
        <f>EDATE(C59,-1)</f>
        <v>42917</v>
      </c>
      <c r="E59" s="3043">
        <f>EDATE(D59,-1)</f>
        <v>42887</v>
      </c>
      <c r="F59" s="3043">
        <f t="shared" ref="F59:O59" si="16">EDATE(E59,-1)</f>
        <v>42856</v>
      </c>
      <c r="G59" s="3043">
        <f t="shared" si="16"/>
        <v>42826</v>
      </c>
      <c r="H59" s="3043">
        <f t="shared" si="16"/>
        <v>42795</v>
      </c>
      <c r="I59" s="3043">
        <f t="shared" si="16"/>
        <v>42767</v>
      </c>
      <c r="J59" s="3043">
        <f t="shared" si="16"/>
        <v>42736</v>
      </c>
      <c r="K59" s="3043">
        <f t="shared" si="16"/>
        <v>42705</v>
      </c>
      <c r="L59" s="3043">
        <f t="shared" si="16"/>
        <v>42675</v>
      </c>
      <c r="M59" s="3043">
        <f t="shared" si="16"/>
        <v>42644</v>
      </c>
      <c r="N59" s="3043">
        <f t="shared" si="16"/>
        <v>42614</v>
      </c>
      <c r="O59" s="3043">
        <f t="shared" si="16"/>
        <v>42583</v>
      </c>
      <c r="P59" s="3037"/>
    </row>
    <row r="60" spans="1:29" s="40" customFormat="1" ht="14.25">
      <c r="A60" s="1045"/>
      <c r="B60" s="1046"/>
      <c r="C60" s="3040">
        <v>100</v>
      </c>
      <c r="D60" s="855"/>
      <c r="E60" s="855"/>
      <c r="F60" s="855"/>
      <c r="G60" s="855"/>
      <c r="H60" s="855"/>
      <c r="I60" s="855"/>
      <c r="J60" s="855"/>
      <c r="K60" s="855"/>
      <c r="L60" s="855"/>
      <c r="M60" s="856"/>
      <c r="N60" s="855"/>
      <c r="O60" s="856"/>
      <c r="P60" s="2324"/>
    </row>
    <row r="61" spans="1:29" s="40" customFormat="1" ht="15" thickBot="1">
      <c r="A61" s="1047" t="s">
        <v>1035</v>
      </c>
      <c r="B61" s="1048"/>
      <c r="C61" s="860"/>
      <c r="D61" s="861"/>
      <c r="E61" s="861"/>
      <c r="F61" s="861"/>
      <c r="G61" s="861"/>
      <c r="H61" s="861"/>
      <c r="I61" s="861"/>
      <c r="J61" s="861"/>
      <c r="K61" s="861"/>
      <c r="L61" s="861"/>
      <c r="M61" s="862"/>
      <c r="N61" s="861"/>
      <c r="O61" s="862"/>
      <c r="P61" s="2324"/>
      <c r="Q61" s="121"/>
    </row>
    <row r="62" spans="1:29" s="40" customFormat="1">
      <c r="A62" s="1049" t="s">
        <v>1036</v>
      </c>
      <c r="B62" s="1046"/>
      <c r="C62" s="1050" t="s">
        <v>1037</v>
      </c>
      <c r="D62" s="140"/>
      <c r="E62" s="140"/>
      <c r="F62" s="140"/>
      <c r="G62" s="140"/>
      <c r="H62" s="140"/>
      <c r="I62" s="140"/>
      <c r="J62" s="140"/>
      <c r="K62" s="140"/>
      <c r="L62" s="141"/>
      <c r="M62" s="1051"/>
      <c r="N62" s="1388"/>
      <c r="O62" s="1388"/>
      <c r="P62" s="2325"/>
      <c r="Q62" s="121"/>
    </row>
    <row r="63" spans="1:29" s="40" customFormat="1" ht="15" thickBot="1">
      <c r="A63" s="1049"/>
      <c r="B63" s="1046"/>
      <c r="C63" s="854">
        <v>100</v>
      </c>
      <c r="D63" s="855"/>
      <c r="E63" s="855"/>
      <c r="F63" s="855"/>
      <c r="G63" s="855"/>
      <c r="H63" s="855"/>
      <c r="I63" s="855"/>
      <c r="J63" s="855"/>
      <c r="K63" s="855"/>
      <c r="L63" s="855"/>
      <c r="M63" s="857"/>
      <c r="N63" s="1388"/>
      <c r="O63" s="1388"/>
      <c r="P63" s="2324"/>
      <c r="Q63" s="121"/>
    </row>
    <row r="64" spans="1:29">
      <c r="A64" s="172" t="s">
        <v>1038</v>
      </c>
      <c r="B64" s="286" t="s">
        <v>1039</v>
      </c>
      <c r="C64" s="176" t="str">
        <f>C9</f>
        <v>办公</v>
      </c>
      <c r="D64" s="122"/>
      <c r="E64" s="122"/>
      <c r="F64" s="122"/>
      <c r="G64" s="122"/>
      <c r="H64" s="122"/>
      <c r="I64" s="122"/>
      <c r="J64" s="122"/>
      <c r="K64" s="123"/>
      <c r="L64" s="124"/>
      <c r="M64" s="125"/>
      <c r="N64" s="1389"/>
      <c r="O64" s="1389"/>
      <c r="P64" s="2326"/>
      <c r="Q64" s="121"/>
    </row>
    <row r="65" spans="1:17" ht="15" thickBot="1">
      <c r="A65" s="173"/>
      <c r="B65" s="1053"/>
      <c r="C65" s="879">
        <v>100</v>
      </c>
      <c r="D65" s="879"/>
      <c r="E65" s="879"/>
      <c r="F65" s="879"/>
      <c r="G65" s="879"/>
      <c r="H65" s="879"/>
      <c r="I65" s="879"/>
      <c r="J65" s="879"/>
      <c r="K65" s="879"/>
      <c r="L65" s="879"/>
      <c r="M65" s="880"/>
      <c r="N65" s="1390"/>
      <c r="O65" s="1390"/>
      <c r="P65" s="2326"/>
      <c r="Q65" s="121"/>
    </row>
    <row r="66" spans="1:17" ht="27.75" thickTop="1">
      <c r="A66" s="173"/>
      <c r="B66" s="1054" t="s">
        <v>1040</v>
      </c>
      <c r="C66" s="882" t="s">
        <v>1005</v>
      </c>
      <c r="D66" s="882" t="s">
        <v>1006</v>
      </c>
      <c r="E66" s="882" t="s">
        <v>1007</v>
      </c>
      <c r="F66" s="882" t="s">
        <v>1008</v>
      </c>
      <c r="G66" s="882" t="s">
        <v>1009</v>
      </c>
      <c r="H66" s="882" t="s">
        <v>1010</v>
      </c>
      <c r="I66" s="882" t="s">
        <v>1011</v>
      </c>
      <c r="J66" s="882"/>
      <c r="K66" s="883"/>
      <c r="L66" s="884"/>
      <c r="M66" s="885"/>
      <c r="N66" s="1389"/>
      <c r="O66" s="1389"/>
      <c r="P66" s="2326"/>
      <c r="Q66" s="121"/>
    </row>
    <row r="67" spans="1:17" ht="15" thickBot="1">
      <c r="A67" s="173"/>
      <c r="B67" s="1055"/>
      <c r="C67" s="887" t="s">
        <v>134</v>
      </c>
      <c r="D67" s="887" t="s">
        <v>135</v>
      </c>
      <c r="E67" s="887">
        <v>100</v>
      </c>
      <c r="F67" s="887">
        <f>E67-$K10</f>
        <v>99</v>
      </c>
      <c r="G67" s="887">
        <f>F67-$K10</f>
        <v>98</v>
      </c>
      <c r="H67" s="887">
        <f>G67-$K10</f>
        <v>97</v>
      </c>
      <c r="I67" s="887">
        <f>H67-$K10</f>
        <v>96</v>
      </c>
      <c r="J67" s="887"/>
      <c r="K67" s="887"/>
      <c r="L67" s="887"/>
      <c r="M67" s="888"/>
      <c r="N67" s="1390"/>
      <c r="O67" s="1390"/>
      <c r="P67" s="2326"/>
      <c r="Q67" s="121"/>
    </row>
    <row r="68" spans="1:17" ht="15" thickTop="1">
      <c r="A68" s="173"/>
      <c r="B68" s="1056" t="s">
        <v>1041</v>
      </c>
      <c r="C68" s="890" t="str">
        <f>C69&amp;"（含）"&amp;"-"&amp;D69</f>
        <v>1（含）-2</v>
      </c>
      <c r="D68" s="890" t="str">
        <f t="shared" ref="D68:L68" si="17">D69&amp;"（含）"&amp;"-"&amp;E69</f>
        <v>2（含）-3</v>
      </c>
      <c r="E68" s="890" t="str">
        <f t="shared" si="17"/>
        <v>3（含）-4</v>
      </c>
      <c r="F68" s="890" t="str">
        <f t="shared" si="17"/>
        <v>4（含）-5</v>
      </c>
      <c r="G68" s="890" t="str">
        <f t="shared" si="17"/>
        <v>5（含）-6</v>
      </c>
      <c r="H68" s="890" t="str">
        <f t="shared" si="17"/>
        <v>6（含）-7</v>
      </c>
      <c r="I68" s="890" t="str">
        <f t="shared" si="17"/>
        <v>7（含）-</v>
      </c>
      <c r="J68" s="890" t="str">
        <f t="shared" si="17"/>
        <v>（含）-</v>
      </c>
      <c r="K68" s="890" t="str">
        <f t="shared" si="17"/>
        <v>（含）-</v>
      </c>
      <c r="L68" s="890" t="str">
        <f t="shared" si="17"/>
        <v>（含）-</v>
      </c>
      <c r="M68" s="791" t="str">
        <f>M69&amp;"（含）"&amp;"-"&amp;P69</f>
        <v>（含）-</v>
      </c>
      <c r="N68" s="1390"/>
      <c r="O68" s="1390"/>
      <c r="P68" s="2326"/>
      <c r="Q68" s="121"/>
    </row>
    <row r="69" spans="1:17" ht="14.25">
      <c r="A69" s="173"/>
      <c r="B69" s="1057"/>
      <c r="C69" s="892">
        <v>1</v>
      </c>
      <c r="D69" s="892">
        <v>2</v>
      </c>
      <c r="E69" s="892">
        <v>3</v>
      </c>
      <c r="F69" s="892">
        <v>4</v>
      </c>
      <c r="G69" s="892">
        <v>5</v>
      </c>
      <c r="H69" s="892">
        <v>6</v>
      </c>
      <c r="I69" s="892">
        <v>7</v>
      </c>
      <c r="J69" s="892"/>
      <c r="K69" s="893"/>
      <c r="L69" s="894"/>
      <c r="M69" s="895"/>
      <c r="N69" s="1389"/>
      <c r="O69" s="1389"/>
      <c r="P69" s="2326"/>
      <c r="Q69" s="121"/>
    </row>
    <row r="70" spans="1:17" ht="15" thickBot="1">
      <c r="A70" s="173"/>
      <c r="B70" s="1053"/>
      <c r="C70" s="887">
        <v>100</v>
      </c>
      <c r="D70" s="887">
        <f t="shared" ref="D70:M70" si="18">C70-$K11</f>
        <v>98</v>
      </c>
      <c r="E70" s="887">
        <f t="shared" si="18"/>
        <v>96</v>
      </c>
      <c r="F70" s="887">
        <f t="shared" si="18"/>
        <v>94</v>
      </c>
      <c r="G70" s="887">
        <f t="shared" si="18"/>
        <v>92</v>
      </c>
      <c r="H70" s="887">
        <f t="shared" si="18"/>
        <v>90</v>
      </c>
      <c r="I70" s="887">
        <f t="shared" si="18"/>
        <v>88</v>
      </c>
      <c r="J70" s="887">
        <f t="shared" si="18"/>
        <v>86</v>
      </c>
      <c r="K70" s="887">
        <f t="shared" si="18"/>
        <v>84</v>
      </c>
      <c r="L70" s="887">
        <f t="shared" si="18"/>
        <v>82</v>
      </c>
      <c r="M70" s="888">
        <f t="shared" si="18"/>
        <v>80</v>
      </c>
      <c r="N70" s="1390"/>
      <c r="O70" s="1390"/>
      <c r="P70" s="2326"/>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27"/>
      <c r="Q71" s="1063"/>
    </row>
    <row r="72" spans="1:17" s="1039" customFormat="1" ht="15" thickBot="1">
      <c r="A72" s="1058"/>
      <c r="B72" s="1055"/>
      <c r="C72" s="903"/>
      <c r="D72" s="879"/>
      <c r="E72" s="879"/>
      <c r="F72" s="879"/>
      <c r="G72" s="879"/>
      <c r="H72" s="879"/>
      <c r="I72" s="879"/>
      <c r="J72" s="879"/>
      <c r="K72" s="879"/>
      <c r="L72" s="879"/>
      <c r="M72" s="880"/>
      <c r="N72" s="1390"/>
      <c r="O72" s="1390"/>
      <c r="P72" s="2327"/>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28"/>
      <c r="Q73" s="1065"/>
    </row>
    <row r="74" spans="1:17" s="1039" customFormat="1" ht="15" thickBot="1">
      <c r="A74" s="1058"/>
      <c r="B74" s="1055"/>
      <c r="C74" s="903"/>
      <c r="D74" s="903"/>
      <c r="E74" s="903"/>
      <c r="F74" s="903"/>
      <c r="G74" s="903"/>
      <c r="H74" s="905"/>
      <c r="I74" s="905"/>
      <c r="J74" s="905"/>
      <c r="K74" s="905"/>
      <c r="L74" s="905"/>
      <c r="M74" s="906"/>
      <c r="N74" s="1391"/>
      <c r="O74" s="1391"/>
      <c r="P74" s="2327"/>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29"/>
      <c r="Q75" s="1063"/>
    </row>
    <row r="76" spans="1:17" s="1039" customFormat="1" ht="15" thickBot="1">
      <c r="A76" s="1070"/>
      <c r="B76" s="1071"/>
      <c r="C76" s="913"/>
      <c r="D76" s="913"/>
      <c r="E76" s="913"/>
      <c r="F76" s="913"/>
      <c r="G76" s="913"/>
      <c r="H76" s="914"/>
      <c r="I76" s="914"/>
      <c r="J76" s="914"/>
      <c r="K76" s="914"/>
      <c r="L76" s="914"/>
      <c r="M76" s="915"/>
      <c r="N76" s="1391"/>
      <c r="O76" s="1391"/>
      <c r="P76" s="2327"/>
      <c r="Q76" s="1063"/>
    </row>
    <row r="77" spans="1:17" ht="14.25">
      <c r="A77" s="172" t="s">
        <v>1042</v>
      </c>
      <c r="B77" s="286" t="s">
        <v>1087</v>
      </c>
      <c r="C77" s="916" t="s">
        <v>1012</v>
      </c>
      <c r="D77" s="916" t="s">
        <v>1013</v>
      </c>
      <c r="E77" s="916" t="s">
        <v>1014</v>
      </c>
      <c r="F77" s="916" t="s">
        <v>1015</v>
      </c>
      <c r="G77" s="916" t="s">
        <v>1016</v>
      </c>
      <c r="H77" s="872"/>
      <c r="I77" s="872"/>
      <c r="J77" s="872"/>
      <c r="K77" s="917"/>
      <c r="L77" s="918"/>
      <c r="M77" s="919"/>
      <c r="N77" s="1389"/>
      <c r="O77" s="1389"/>
      <c r="P77" s="2330"/>
      <c r="Q77" s="121"/>
    </row>
    <row r="78" spans="1:17" ht="15" thickBot="1">
      <c r="A78" s="173"/>
      <c r="B78" s="1055"/>
      <c r="C78" s="887">
        <v>100</v>
      </c>
      <c r="D78" s="887">
        <f>C78-$K15</f>
        <v>98</v>
      </c>
      <c r="E78" s="887">
        <f>D78-$K15</f>
        <v>96</v>
      </c>
      <c r="F78" s="887">
        <f>E78-$K15</f>
        <v>94</v>
      </c>
      <c r="G78" s="887">
        <f>F78-$K15</f>
        <v>92</v>
      </c>
      <c r="H78" s="887"/>
      <c r="I78" s="887"/>
      <c r="J78" s="887"/>
      <c r="K78" s="887"/>
      <c r="L78" s="887"/>
      <c r="M78" s="888"/>
      <c r="N78" s="1390"/>
      <c r="O78" s="1390"/>
      <c r="P78" s="2326"/>
      <c r="Q78" s="121"/>
    </row>
    <row r="79" spans="1:17" ht="15" thickTop="1">
      <c r="A79" s="173"/>
      <c r="B79" s="1054" t="s">
        <v>1049</v>
      </c>
      <c r="C79" s="921" t="s">
        <v>1012</v>
      </c>
      <c r="D79" s="921" t="s">
        <v>1013</v>
      </c>
      <c r="E79" s="921" t="s">
        <v>1014</v>
      </c>
      <c r="F79" s="921" t="s">
        <v>1096</v>
      </c>
      <c r="G79" s="921" t="s">
        <v>1016</v>
      </c>
      <c r="H79" s="882"/>
      <c r="I79" s="882"/>
      <c r="J79" s="882"/>
      <c r="K79" s="883"/>
      <c r="L79" s="884"/>
      <c r="M79" s="885"/>
      <c r="N79" s="1389"/>
      <c r="O79" s="1389"/>
      <c r="P79" s="2326"/>
      <c r="Q79" s="121"/>
    </row>
    <row r="80" spans="1:17" ht="15" thickBot="1">
      <c r="A80" s="173"/>
      <c r="B80" s="1055"/>
      <c r="C80" s="887">
        <v>100</v>
      </c>
      <c r="D80" s="887">
        <f>C80-$K17</f>
        <v>98</v>
      </c>
      <c r="E80" s="887">
        <f>D80-$K17</f>
        <v>96</v>
      </c>
      <c r="F80" s="887">
        <f>E80-$K17</f>
        <v>94</v>
      </c>
      <c r="G80" s="887">
        <f>F80-$K17</f>
        <v>92</v>
      </c>
      <c r="H80" s="887"/>
      <c r="I80" s="887"/>
      <c r="J80" s="887"/>
      <c r="K80" s="887"/>
      <c r="L80" s="887"/>
      <c r="M80" s="888"/>
      <c r="N80" s="1390"/>
      <c r="O80" s="1390"/>
      <c r="P80" s="2326"/>
      <c r="Q80" s="121"/>
    </row>
    <row r="81" spans="1:17" ht="15" thickTop="1">
      <c r="A81" s="173"/>
      <c r="B81" s="1054" t="s">
        <v>31</v>
      </c>
      <c r="C81" s="921" t="s">
        <v>1012</v>
      </c>
      <c r="D81" s="921" t="s">
        <v>1013</v>
      </c>
      <c r="E81" s="921" t="s">
        <v>1014</v>
      </c>
      <c r="F81" s="921" t="s">
        <v>1015</v>
      </c>
      <c r="G81" s="921" t="s">
        <v>1016</v>
      </c>
      <c r="H81" s="882"/>
      <c r="I81" s="882"/>
      <c r="J81" s="882"/>
      <c r="K81" s="883"/>
      <c r="L81" s="884"/>
      <c r="M81" s="885"/>
      <c r="N81" s="1389"/>
      <c r="O81" s="1389"/>
      <c r="P81" s="2326"/>
      <c r="Q81" s="121"/>
    </row>
    <row r="82" spans="1:17" ht="15" thickBot="1">
      <c r="A82" s="173"/>
      <c r="B82" s="1055"/>
      <c r="C82" s="887">
        <v>100</v>
      </c>
      <c r="D82" s="887">
        <f>C82-$K19</f>
        <v>98</v>
      </c>
      <c r="E82" s="887">
        <f>D82-$K19</f>
        <v>96</v>
      </c>
      <c r="F82" s="887">
        <f>E82-$K19</f>
        <v>94</v>
      </c>
      <c r="G82" s="887">
        <f>F82-$K19</f>
        <v>92</v>
      </c>
      <c r="H82" s="887"/>
      <c r="I82" s="887"/>
      <c r="J82" s="887"/>
      <c r="K82" s="887"/>
      <c r="L82" s="887"/>
      <c r="M82" s="888"/>
      <c r="N82" s="1390"/>
      <c r="O82" s="1390"/>
      <c r="P82" s="2326"/>
      <c r="Q82" s="121"/>
    </row>
    <row r="83" spans="1:17" ht="15" thickTop="1">
      <c r="A83" s="173"/>
      <c r="B83" s="1056" t="s">
        <v>2661</v>
      </c>
      <c r="C83" s="213" t="s">
        <v>2654</v>
      </c>
      <c r="D83" s="213" t="s">
        <v>2655</v>
      </c>
      <c r="E83" s="213" t="s">
        <v>2656</v>
      </c>
      <c r="F83" s="213" t="s">
        <v>2657</v>
      </c>
      <c r="G83" s="213" t="s">
        <v>2658</v>
      </c>
      <c r="H83" s="882"/>
      <c r="I83" s="882"/>
      <c r="J83" s="882"/>
      <c r="K83" s="882"/>
      <c r="L83" s="882"/>
      <c r="M83" s="2762"/>
      <c r="N83" s="1390"/>
      <c r="O83" s="1390"/>
      <c r="P83" s="2326"/>
      <c r="Q83" s="121"/>
    </row>
    <row r="84" spans="1:17" ht="15" thickBot="1">
      <c r="A84" s="173"/>
      <c r="B84" s="1056"/>
      <c r="C84" s="887">
        <v>100</v>
      </c>
      <c r="D84" s="887">
        <f>C84-$K21</f>
        <v>98</v>
      </c>
      <c r="E84" s="887">
        <f>D84-$K21</f>
        <v>96</v>
      </c>
      <c r="F84" s="887">
        <f>E84-$K21</f>
        <v>94</v>
      </c>
      <c r="G84" s="887">
        <f>F84-$K21</f>
        <v>92</v>
      </c>
      <c r="H84" s="1003"/>
      <c r="I84" s="1003"/>
      <c r="J84" s="1003"/>
      <c r="K84" s="1003"/>
      <c r="L84" s="1003"/>
      <c r="M84" s="793"/>
      <c r="N84" s="1390"/>
      <c r="O84" s="1390"/>
      <c r="P84" s="2326"/>
      <c r="Q84" s="121"/>
    </row>
    <row r="85" spans="1:17" ht="15" thickTop="1">
      <c r="A85" s="173"/>
      <c r="B85" s="1054" t="s">
        <v>1088</v>
      </c>
      <c r="C85" s="921" t="s">
        <v>1012</v>
      </c>
      <c r="D85" s="921" t="s">
        <v>1013</v>
      </c>
      <c r="E85" s="921" t="s">
        <v>1014</v>
      </c>
      <c r="F85" s="921" t="s">
        <v>1015</v>
      </c>
      <c r="G85" s="921" t="s">
        <v>1016</v>
      </c>
      <c r="H85" s="882"/>
      <c r="I85" s="882"/>
      <c r="J85" s="882"/>
      <c r="K85" s="883"/>
      <c r="L85" s="884"/>
      <c r="M85" s="885"/>
      <c r="N85" s="1389"/>
      <c r="O85" s="1389"/>
      <c r="P85" s="2326"/>
      <c r="Q85" s="121"/>
    </row>
    <row r="86" spans="1:17" ht="15" thickBot="1">
      <c r="A86" s="173"/>
      <c r="B86" s="1055"/>
      <c r="C86" s="887">
        <v>100</v>
      </c>
      <c r="D86" s="887">
        <f>C86-$K23</f>
        <v>98</v>
      </c>
      <c r="E86" s="887">
        <f>D86-$K23</f>
        <v>96</v>
      </c>
      <c r="F86" s="887">
        <f>E86-$K23</f>
        <v>94</v>
      </c>
      <c r="G86" s="887">
        <f>F86-$K23</f>
        <v>92</v>
      </c>
      <c r="H86" s="887"/>
      <c r="I86" s="887"/>
      <c r="J86" s="887"/>
      <c r="K86" s="887"/>
      <c r="L86" s="887"/>
      <c r="M86" s="888"/>
      <c r="N86" s="1390"/>
      <c r="O86" s="1390"/>
      <c r="P86" s="2326"/>
      <c r="Q86" s="121"/>
    </row>
    <row r="87" spans="1:17" s="40" customFormat="1" ht="27.75" thickTop="1">
      <c r="A87" s="1072"/>
      <c r="B87" s="1054" t="s">
        <v>1089</v>
      </c>
      <c r="C87" s="139" t="s">
        <v>3460</v>
      </c>
      <c r="D87" s="139" t="s">
        <v>3461</v>
      </c>
      <c r="E87" s="139" t="s">
        <v>3462</v>
      </c>
      <c r="F87" s="139" t="s">
        <v>3464</v>
      </c>
      <c r="G87" s="139" t="s">
        <v>3465</v>
      </c>
      <c r="H87" s="139"/>
      <c r="I87" s="139"/>
      <c r="J87" s="139"/>
      <c r="K87" s="139"/>
      <c r="L87" s="1384"/>
      <c r="M87" s="1385"/>
      <c r="N87" s="1388"/>
      <c r="O87" s="1388"/>
      <c r="P87" s="2326"/>
      <c r="Q87" s="121"/>
    </row>
    <row r="88" spans="1:17" s="40" customFormat="1" ht="15" thickBot="1">
      <c r="A88" s="1072"/>
      <c r="B88" s="1055"/>
      <c r="C88" s="925">
        <v>100</v>
      </c>
      <c r="D88" s="887">
        <f t="shared" ref="D88:M88" si="19">C88-$K25</f>
        <v>98</v>
      </c>
      <c r="E88" s="887">
        <f t="shared" si="19"/>
        <v>96</v>
      </c>
      <c r="F88" s="887">
        <f t="shared" si="19"/>
        <v>94</v>
      </c>
      <c r="G88" s="887">
        <f t="shared" si="19"/>
        <v>92</v>
      </c>
      <c r="H88" s="887">
        <f t="shared" si="19"/>
        <v>90</v>
      </c>
      <c r="I88" s="887">
        <f t="shared" si="19"/>
        <v>88</v>
      </c>
      <c r="J88" s="887">
        <f t="shared" si="19"/>
        <v>86</v>
      </c>
      <c r="K88" s="887">
        <f t="shared" si="19"/>
        <v>84</v>
      </c>
      <c r="L88" s="887">
        <f t="shared" si="19"/>
        <v>82</v>
      </c>
      <c r="M88" s="887">
        <f t="shared" si="19"/>
        <v>80</v>
      </c>
      <c r="N88" s="1390"/>
      <c r="O88" s="1390"/>
      <c r="P88" s="2326"/>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6"/>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6"/>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27"/>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27"/>
      <c r="Q92" s="1063"/>
    </row>
    <row r="93" spans="1:17" ht="14.25" thickTop="1">
      <c r="A93" s="173"/>
      <c r="B93" s="1054">
        <f>B29</f>
        <v>111</v>
      </c>
      <c r="C93" s="139"/>
      <c r="D93" s="139"/>
      <c r="E93" s="139"/>
      <c r="F93" s="139"/>
      <c r="G93" s="139"/>
      <c r="H93" s="139"/>
      <c r="I93" s="139"/>
      <c r="J93" s="139"/>
      <c r="K93" s="139"/>
      <c r="L93" s="1384"/>
      <c r="M93" s="1385"/>
      <c r="N93" s="1389"/>
      <c r="O93" s="1389"/>
      <c r="P93" s="2326"/>
      <c r="Q93" s="121"/>
    </row>
    <row r="94" spans="1:17" ht="15" thickBot="1">
      <c r="A94" s="173"/>
      <c r="B94" s="1055"/>
      <c r="C94" s="903"/>
      <c r="D94" s="879"/>
      <c r="E94" s="879"/>
      <c r="F94" s="879"/>
      <c r="G94" s="879"/>
      <c r="H94" s="879"/>
      <c r="I94" s="879"/>
      <c r="J94" s="879"/>
      <c r="K94" s="879"/>
      <c r="L94" s="879"/>
      <c r="M94" s="880"/>
      <c r="N94" s="1390"/>
      <c r="O94" s="1390"/>
      <c r="P94" s="2326"/>
      <c r="Q94" s="121"/>
    </row>
    <row r="95" spans="1:17" ht="14.25" thickTop="1">
      <c r="A95" s="173"/>
      <c r="B95" s="1054">
        <f>B30</f>
        <v>111</v>
      </c>
      <c r="C95" s="139"/>
      <c r="D95" s="139"/>
      <c r="E95" s="139"/>
      <c r="F95" s="139"/>
      <c r="G95" s="131"/>
      <c r="H95" s="131"/>
      <c r="I95" s="131"/>
      <c r="J95" s="131"/>
      <c r="K95" s="132"/>
      <c r="L95" s="133"/>
      <c r="M95" s="134"/>
      <c r="N95" s="1389"/>
      <c r="O95" s="1389"/>
      <c r="P95" s="2326"/>
      <c r="Q95" s="121"/>
    </row>
    <row r="96" spans="1:17" ht="15" thickBot="1">
      <c r="A96" s="173"/>
      <c r="B96" s="1055"/>
      <c r="C96" s="903"/>
      <c r="D96" s="903"/>
      <c r="E96" s="903"/>
      <c r="F96" s="903"/>
      <c r="G96" s="879"/>
      <c r="H96" s="879"/>
      <c r="I96" s="879"/>
      <c r="J96" s="879"/>
      <c r="K96" s="879"/>
      <c r="L96" s="879"/>
      <c r="M96" s="880"/>
      <c r="N96" s="1390"/>
      <c r="O96" s="1390"/>
      <c r="P96" s="2326"/>
      <c r="Q96" s="121"/>
    </row>
    <row r="97" spans="1:17" ht="14.25" thickTop="1">
      <c r="A97" s="173"/>
      <c r="B97" s="1054">
        <f>B31</f>
        <v>111</v>
      </c>
      <c r="C97" s="139"/>
      <c r="D97" s="139"/>
      <c r="E97" s="139"/>
      <c r="F97" s="139"/>
      <c r="G97" s="131"/>
      <c r="H97" s="131"/>
      <c r="I97" s="131"/>
      <c r="J97" s="131"/>
      <c r="K97" s="132"/>
      <c r="L97" s="133"/>
      <c r="M97" s="134"/>
      <c r="N97" s="1389"/>
      <c r="O97" s="1389"/>
      <c r="P97" s="2326"/>
      <c r="Q97" s="121"/>
    </row>
    <row r="98" spans="1:17" ht="15" thickBot="1">
      <c r="A98" s="173"/>
      <c r="B98" s="1055"/>
      <c r="C98" s="903"/>
      <c r="D98" s="879"/>
      <c r="E98" s="879"/>
      <c r="F98" s="879"/>
      <c r="G98" s="879"/>
      <c r="H98" s="879"/>
      <c r="I98" s="879"/>
      <c r="J98" s="879"/>
      <c r="K98" s="879"/>
      <c r="L98" s="879"/>
      <c r="M98" s="880"/>
      <c r="N98" s="1390"/>
      <c r="O98" s="1390"/>
      <c r="P98" s="2326"/>
      <c r="Q98" s="121"/>
    </row>
    <row r="99" spans="1:17" ht="14.25" thickTop="1">
      <c r="A99" s="173"/>
      <c r="B99" s="1056">
        <f>B32</f>
        <v>111</v>
      </c>
      <c r="C99" s="140"/>
      <c r="D99" s="140"/>
      <c r="E99" s="140"/>
      <c r="F99" s="140"/>
      <c r="G99" s="135"/>
      <c r="H99" s="135"/>
      <c r="I99" s="135"/>
      <c r="J99" s="135"/>
      <c r="K99" s="136"/>
      <c r="L99" s="137"/>
      <c r="M99" s="138"/>
      <c r="N99" s="1389"/>
      <c r="O99" s="1389"/>
      <c r="P99" s="2326"/>
      <c r="Q99" s="121"/>
    </row>
    <row r="100" spans="1:17" ht="15" thickBot="1">
      <c r="A100" s="174"/>
      <c r="B100" s="1071"/>
      <c r="C100" s="913"/>
      <c r="D100" s="913"/>
      <c r="E100" s="913"/>
      <c r="F100" s="913"/>
      <c r="G100" s="934"/>
      <c r="H100" s="934"/>
      <c r="I100" s="934"/>
      <c r="J100" s="934"/>
      <c r="K100" s="934"/>
      <c r="L100" s="934"/>
      <c r="M100" s="935"/>
      <c r="N100" s="1390"/>
      <c r="O100" s="1390"/>
      <c r="P100" s="2326"/>
      <c r="Q100" s="121"/>
    </row>
    <row r="101" spans="1:17">
      <c r="A101" s="172" t="s">
        <v>1052</v>
      </c>
      <c r="B101" s="286" t="s">
        <v>1090</v>
      </c>
      <c r="C101" s="122" t="s">
        <v>3467</v>
      </c>
      <c r="D101" s="122" t="s">
        <v>3468</v>
      </c>
      <c r="E101" s="122"/>
      <c r="F101" s="122"/>
      <c r="G101" s="122"/>
      <c r="H101" s="122"/>
      <c r="I101" s="122"/>
      <c r="J101" s="122"/>
      <c r="K101" s="123"/>
      <c r="L101" s="124"/>
      <c r="M101" s="125"/>
      <c r="N101" s="1389"/>
      <c r="O101" s="1389"/>
      <c r="P101" s="2326"/>
      <c r="Q101" s="121"/>
    </row>
    <row r="102" spans="1:17" ht="15" thickBot="1">
      <c r="A102" s="173"/>
      <c r="B102" s="1055"/>
      <c r="C102" s="887">
        <v>100</v>
      </c>
      <c r="D102" s="887">
        <f t="shared" ref="D102:M102" si="22">C102-$K33</f>
        <v>95</v>
      </c>
      <c r="E102" s="887">
        <f t="shared" si="22"/>
        <v>90</v>
      </c>
      <c r="F102" s="887">
        <f t="shared" si="22"/>
        <v>85</v>
      </c>
      <c r="G102" s="887">
        <f t="shared" si="22"/>
        <v>80</v>
      </c>
      <c r="H102" s="887">
        <f t="shared" si="22"/>
        <v>75</v>
      </c>
      <c r="I102" s="887">
        <f t="shared" si="22"/>
        <v>70</v>
      </c>
      <c r="J102" s="887">
        <f t="shared" si="22"/>
        <v>65</v>
      </c>
      <c r="K102" s="887">
        <f t="shared" si="22"/>
        <v>60</v>
      </c>
      <c r="L102" s="887">
        <f t="shared" si="22"/>
        <v>55</v>
      </c>
      <c r="M102" s="888">
        <f t="shared" si="22"/>
        <v>50</v>
      </c>
      <c r="N102" s="1390"/>
      <c r="O102" s="1390"/>
      <c r="P102" s="2326"/>
      <c r="Q102" s="121"/>
    </row>
    <row r="103" spans="1:17" ht="29.25" thickTop="1">
      <c r="A103" s="173"/>
      <c r="B103" s="1054" t="s">
        <v>1054</v>
      </c>
      <c r="C103" s="921" t="str">
        <f>C104&amp;"(含)"&amp;"-"&amp;D104</f>
        <v>0(含)-100000</v>
      </c>
      <c r="D103" s="921" t="str">
        <f t="shared" ref="D103:L103" si="23">D104&amp;"(含)"&amp;"-"&amp;E104</f>
        <v>100000(含)-200000</v>
      </c>
      <c r="E103" s="921" t="str">
        <f t="shared" si="23"/>
        <v>200000(含)-300000</v>
      </c>
      <c r="F103" s="921" t="str">
        <f t="shared" si="23"/>
        <v>300000(含)-400000</v>
      </c>
      <c r="G103" s="921" t="str">
        <f t="shared" si="23"/>
        <v>400000(含)-500000</v>
      </c>
      <c r="H103" s="921" t="str">
        <f t="shared" si="23"/>
        <v>500000(含)-</v>
      </c>
      <c r="I103" s="921" t="str">
        <f t="shared" si="23"/>
        <v>(含)-</v>
      </c>
      <c r="J103" s="921" t="str">
        <f t="shared" si="23"/>
        <v>(含)-</v>
      </c>
      <c r="K103" s="921" t="str">
        <f t="shared" si="23"/>
        <v>(含)-</v>
      </c>
      <c r="L103" s="921" t="str">
        <f t="shared" si="23"/>
        <v>(含)-</v>
      </c>
      <c r="M103" s="965" t="str">
        <f>M104&amp;"(含)"&amp;"-"&amp;P104</f>
        <v>(含)-</v>
      </c>
      <c r="N103" s="1388"/>
      <c r="O103" s="1388"/>
      <c r="P103" s="2326"/>
      <c r="Q103" s="121"/>
    </row>
    <row r="104" spans="1:17" s="1039" customFormat="1" ht="14.25">
      <c r="A104" s="1073"/>
      <c r="B104" s="1074"/>
      <c r="C104" s="938">
        <v>0</v>
      </c>
      <c r="D104" s="938">
        <v>100000</v>
      </c>
      <c r="E104" s="938">
        <v>200000</v>
      </c>
      <c r="F104" s="938">
        <v>300000</v>
      </c>
      <c r="G104" s="938">
        <v>400000</v>
      </c>
      <c r="H104" s="938">
        <v>500000</v>
      </c>
      <c r="I104" s="938"/>
      <c r="J104" s="939"/>
      <c r="K104" s="939"/>
      <c r="L104" s="940"/>
      <c r="M104" s="941"/>
      <c r="N104" s="1391"/>
      <c r="O104" s="1391"/>
      <c r="P104" s="2327"/>
      <c r="Q104" s="1063"/>
    </row>
    <row r="105" spans="1:17" s="1039" customFormat="1" ht="15" thickBot="1">
      <c r="A105" s="1058"/>
      <c r="B105" s="1055"/>
      <c r="C105" s="903">
        <v>100</v>
      </c>
      <c r="D105" s="879">
        <v>101</v>
      </c>
      <c r="E105" s="879">
        <v>102</v>
      </c>
      <c r="F105" s="879">
        <v>103</v>
      </c>
      <c r="G105" s="879">
        <v>104</v>
      </c>
      <c r="H105" s="879">
        <v>105</v>
      </c>
      <c r="I105" s="879"/>
      <c r="J105" s="879"/>
      <c r="K105" s="879"/>
      <c r="L105" s="879"/>
      <c r="M105" s="880"/>
      <c r="N105" s="1390"/>
      <c r="O105" s="1390"/>
      <c r="P105" s="2327"/>
      <c r="Q105" s="1063"/>
    </row>
    <row r="106" spans="1:17" ht="14.25" thickTop="1">
      <c r="A106" s="175"/>
      <c r="B106" s="1054" t="s">
        <v>1055</v>
      </c>
      <c r="C106" s="139" t="s">
        <v>3469</v>
      </c>
      <c r="D106" s="139" t="s">
        <v>3470</v>
      </c>
      <c r="E106" s="131"/>
      <c r="F106" s="131"/>
      <c r="G106" s="131"/>
      <c r="H106" s="131"/>
      <c r="I106" s="131"/>
      <c r="J106" s="131"/>
      <c r="K106" s="132"/>
      <c r="L106" s="133"/>
      <c r="M106" s="134"/>
      <c r="N106" s="1389"/>
      <c r="O106" s="1389"/>
      <c r="P106" s="2326"/>
      <c r="Q106" s="121"/>
    </row>
    <row r="107" spans="1:17" ht="15" thickBot="1">
      <c r="A107" s="173"/>
      <c r="B107" s="1055"/>
      <c r="C107" s="887">
        <v>100</v>
      </c>
      <c r="D107" s="887">
        <f t="shared" ref="D107:M107" si="24">C107-$K35</f>
        <v>98</v>
      </c>
      <c r="E107" s="887">
        <f t="shared" si="24"/>
        <v>96</v>
      </c>
      <c r="F107" s="887">
        <f t="shared" si="24"/>
        <v>94</v>
      </c>
      <c r="G107" s="887">
        <f t="shared" si="24"/>
        <v>92</v>
      </c>
      <c r="H107" s="887">
        <f t="shared" si="24"/>
        <v>90</v>
      </c>
      <c r="I107" s="887">
        <f t="shared" si="24"/>
        <v>88</v>
      </c>
      <c r="J107" s="887">
        <f t="shared" si="24"/>
        <v>86</v>
      </c>
      <c r="K107" s="887">
        <f t="shared" si="24"/>
        <v>84</v>
      </c>
      <c r="L107" s="887">
        <f t="shared" si="24"/>
        <v>82</v>
      </c>
      <c r="M107" s="888">
        <f t="shared" si="24"/>
        <v>80</v>
      </c>
      <c r="N107" s="1390"/>
      <c r="O107" s="1390"/>
      <c r="P107" s="2326"/>
      <c r="Q107" s="121"/>
    </row>
    <row r="108" spans="1:17" ht="14.25" thickTop="1">
      <c r="A108" s="175"/>
      <c r="B108" s="1054" t="s">
        <v>1056</v>
      </c>
      <c r="C108" s="139" t="s">
        <v>3472</v>
      </c>
      <c r="D108" s="139" t="s">
        <v>3473</v>
      </c>
      <c r="E108" s="139" t="s">
        <v>3474</v>
      </c>
      <c r="F108" s="131" t="s">
        <v>3475</v>
      </c>
      <c r="G108" s="131"/>
      <c r="H108" s="131"/>
      <c r="I108" s="131"/>
      <c r="J108" s="131"/>
      <c r="K108" s="132"/>
      <c r="L108" s="133"/>
      <c r="M108" s="134"/>
      <c r="N108" s="1389"/>
      <c r="O108" s="1389"/>
      <c r="P108" s="2326"/>
      <c r="Q108" s="121"/>
    </row>
    <row r="109" spans="1:17" ht="15" thickBot="1">
      <c r="A109" s="173"/>
      <c r="B109" s="1055"/>
      <c r="C109" s="887">
        <v>100</v>
      </c>
      <c r="D109" s="887">
        <f t="shared" ref="D109:M109" si="25">C109-$K36</f>
        <v>98</v>
      </c>
      <c r="E109" s="887">
        <f t="shared" si="25"/>
        <v>96</v>
      </c>
      <c r="F109" s="887">
        <f t="shared" si="25"/>
        <v>94</v>
      </c>
      <c r="G109" s="887">
        <f t="shared" si="25"/>
        <v>92</v>
      </c>
      <c r="H109" s="887">
        <f t="shared" si="25"/>
        <v>90</v>
      </c>
      <c r="I109" s="887">
        <f t="shared" si="25"/>
        <v>88</v>
      </c>
      <c r="J109" s="887">
        <f t="shared" si="25"/>
        <v>86</v>
      </c>
      <c r="K109" s="887">
        <f t="shared" si="25"/>
        <v>84</v>
      </c>
      <c r="L109" s="887">
        <f t="shared" si="25"/>
        <v>82</v>
      </c>
      <c r="M109" s="888">
        <f t="shared" si="25"/>
        <v>80</v>
      </c>
      <c r="N109" s="1390"/>
      <c r="O109" s="1390"/>
      <c r="P109" s="2326"/>
      <c r="Q109" s="121"/>
    </row>
    <row r="110" spans="1:17" ht="15" thickTop="1">
      <c r="A110" s="175"/>
      <c r="B110" s="1054" t="s">
        <v>1057</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6"/>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6"/>
      <c r="Q111" s="121"/>
    </row>
    <row r="112" spans="1:17" ht="15" thickBot="1">
      <c r="A112" s="173"/>
      <c r="B112" s="1055"/>
      <c r="C112" s="925">
        <v>100</v>
      </c>
      <c r="D112" s="887">
        <f>C112+$K37</f>
        <v>101</v>
      </c>
      <c r="E112" s="887">
        <f t="shared" ref="E112:M112" si="26">D112+$K37</f>
        <v>102</v>
      </c>
      <c r="F112" s="887">
        <f t="shared" si="26"/>
        <v>103</v>
      </c>
      <c r="G112" s="887">
        <f t="shared" si="26"/>
        <v>104</v>
      </c>
      <c r="H112" s="887">
        <f t="shared" si="26"/>
        <v>105</v>
      </c>
      <c r="I112" s="887">
        <f t="shared" si="26"/>
        <v>106</v>
      </c>
      <c r="J112" s="887">
        <f t="shared" si="26"/>
        <v>107</v>
      </c>
      <c r="K112" s="887">
        <f t="shared" si="26"/>
        <v>108</v>
      </c>
      <c r="L112" s="887">
        <f t="shared" si="26"/>
        <v>109</v>
      </c>
      <c r="M112" s="887">
        <f t="shared" si="26"/>
        <v>110</v>
      </c>
      <c r="N112" s="1390"/>
      <c r="O112" s="1390"/>
      <c r="P112" s="2326"/>
      <c r="Q112" s="121"/>
    </row>
    <row r="113" spans="1:17" s="1039" customFormat="1" ht="14.25" thickTop="1">
      <c r="A113" s="1073"/>
      <c r="B113" s="1054" t="s">
        <v>1091</v>
      </c>
      <c r="C113" s="139" t="s">
        <v>3477</v>
      </c>
      <c r="D113" s="139" t="s">
        <v>3478</v>
      </c>
      <c r="E113" s="139" t="s">
        <v>3479</v>
      </c>
      <c r="F113" s="139"/>
      <c r="G113" s="139"/>
      <c r="H113" s="131"/>
      <c r="I113" s="131"/>
      <c r="J113" s="131"/>
      <c r="K113" s="132"/>
      <c r="L113" s="133"/>
      <c r="M113" s="134"/>
      <c r="N113" s="1391"/>
      <c r="O113" s="1391"/>
      <c r="P113" s="2327"/>
      <c r="Q113" s="1063"/>
    </row>
    <row r="114" spans="1:17" s="1039" customFormat="1" ht="15" thickBot="1">
      <c r="A114" s="1058"/>
      <c r="B114" s="1055"/>
      <c r="C114" s="887">
        <v>100</v>
      </c>
      <c r="D114" s="887">
        <f>C114-$K38</f>
        <v>98</v>
      </c>
      <c r="E114" s="887">
        <f t="shared" ref="E114:M114" si="27">D114-$K38</f>
        <v>96</v>
      </c>
      <c r="F114" s="887">
        <f t="shared" si="27"/>
        <v>94</v>
      </c>
      <c r="G114" s="887">
        <f t="shared" si="27"/>
        <v>92</v>
      </c>
      <c r="H114" s="887">
        <f t="shared" si="27"/>
        <v>90</v>
      </c>
      <c r="I114" s="887">
        <f t="shared" si="27"/>
        <v>88</v>
      </c>
      <c r="J114" s="887">
        <f t="shared" si="27"/>
        <v>86</v>
      </c>
      <c r="K114" s="887">
        <f t="shared" si="27"/>
        <v>84</v>
      </c>
      <c r="L114" s="887">
        <f t="shared" si="27"/>
        <v>82</v>
      </c>
      <c r="M114" s="887">
        <f t="shared" si="27"/>
        <v>80</v>
      </c>
      <c r="N114" s="1391"/>
      <c r="O114" s="1391"/>
      <c r="P114" s="2327"/>
      <c r="Q114" s="1063"/>
    </row>
    <row r="115" spans="1:17" ht="14.25" thickTop="1">
      <c r="A115" s="175"/>
      <c r="B115" s="1054" t="s">
        <v>1092</v>
      </c>
      <c r="C115" s="139" t="s">
        <v>3481</v>
      </c>
      <c r="D115" s="139" t="s">
        <v>3482</v>
      </c>
      <c r="E115" s="131"/>
      <c r="F115" s="131"/>
      <c r="G115" s="131"/>
      <c r="H115" s="131"/>
      <c r="I115" s="131"/>
      <c r="J115" s="131"/>
      <c r="K115" s="132"/>
      <c r="L115" s="133"/>
      <c r="M115" s="134"/>
      <c r="N115" s="1389"/>
      <c r="O115" s="1389"/>
      <c r="P115" s="2326"/>
      <c r="Q115" s="121"/>
    </row>
    <row r="116" spans="1:17" ht="15" thickBot="1">
      <c r="A116" s="173"/>
      <c r="B116" s="1055"/>
      <c r="C116" s="887">
        <v>100</v>
      </c>
      <c r="D116" s="887">
        <f t="shared" ref="D116:M116" si="28">C116-$K39</f>
        <v>98</v>
      </c>
      <c r="E116" s="887">
        <f t="shared" si="28"/>
        <v>96</v>
      </c>
      <c r="F116" s="887">
        <f t="shared" si="28"/>
        <v>94</v>
      </c>
      <c r="G116" s="887">
        <f t="shared" si="28"/>
        <v>92</v>
      </c>
      <c r="H116" s="887">
        <f t="shared" si="28"/>
        <v>90</v>
      </c>
      <c r="I116" s="887">
        <f t="shared" si="28"/>
        <v>88</v>
      </c>
      <c r="J116" s="887">
        <f t="shared" si="28"/>
        <v>86</v>
      </c>
      <c r="K116" s="887">
        <f t="shared" si="28"/>
        <v>84</v>
      </c>
      <c r="L116" s="887">
        <f t="shared" si="28"/>
        <v>82</v>
      </c>
      <c r="M116" s="888">
        <f t="shared" si="28"/>
        <v>80</v>
      </c>
      <c r="N116" s="1390"/>
      <c r="O116" s="1390"/>
      <c r="P116" s="2326"/>
      <c r="Q116" s="121"/>
    </row>
    <row r="117" spans="1:17" ht="14.25" thickTop="1">
      <c r="A117" s="175"/>
      <c r="B117" s="1054" t="s">
        <v>2636</v>
      </c>
      <c r="C117" s="139" t="s">
        <v>3483</v>
      </c>
      <c r="D117" s="139" t="s">
        <v>3484</v>
      </c>
      <c r="E117" s="139" t="s">
        <v>3485</v>
      </c>
      <c r="F117" s="139" t="s">
        <v>3486</v>
      </c>
      <c r="G117" s="139" t="s">
        <v>3487</v>
      </c>
      <c r="H117" s="131"/>
      <c r="I117" s="131"/>
      <c r="J117" s="131"/>
      <c r="K117" s="132"/>
      <c r="L117" s="133"/>
      <c r="M117" s="134"/>
      <c r="N117" s="1389"/>
      <c r="O117" s="1389"/>
      <c r="P117" s="2326"/>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6"/>
      <c r="Q118" s="121"/>
    </row>
    <row r="119" spans="1:17" ht="14.25" thickTop="1">
      <c r="A119" s="175"/>
      <c r="B119" s="211" t="s">
        <v>1059</v>
      </c>
      <c r="C119" s="131" t="s">
        <v>3489</v>
      </c>
      <c r="D119" s="131"/>
      <c r="E119" s="131"/>
      <c r="F119" s="131"/>
      <c r="G119" s="131"/>
      <c r="H119" s="131"/>
      <c r="I119" s="131"/>
      <c r="J119" s="131"/>
      <c r="K119" s="131"/>
      <c r="L119" s="198"/>
      <c r="M119" s="199"/>
      <c r="N119" s="1390"/>
      <c r="O119" s="1390"/>
      <c r="P119" s="2331"/>
      <c r="Q119" s="201"/>
    </row>
    <row r="120" spans="1:17" ht="15" thickBot="1">
      <c r="A120" s="173"/>
      <c r="B120" s="1055"/>
      <c r="C120" s="925">
        <v>100</v>
      </c>
      <c r="D120" s="887">
        <f>C120-$K41</f>
        <v>98</v>
      </c>
      <c r="E120" s="887">
        <f t="shared" ref="E120:M120" si="29">D120-$K41</f>
        <v>96</v>
      </c>
      <c r="F120" s="887">
        <f t="shared" si="29"/>
        <v>94</v>
      </c>
      <c r="G120" s="887">
        <f t="shared" si="29"/>
        <v>92</v>
      </c>
      <c r="H120" s="887">
        <f t="shared" si="29"/>
        <v>90</v>
      </c>
      <c r="I120" s="887">
        <f t="shared" si="29"/>
        <v>88</v>
      </c>
      <c r="J120" s="887">
        <f t="shared" si="29"/>
        <v>86</v>
      </c>
      <c r="K120" s="887">
        <f t="shared" si="29"/>
        <v>84</v>
      </c>
      <c r="L120" s="887">
        <f t="shared" si="29"/>
        <v>82</v>
      </c>
      <c r="M120" s="887">
        <f t="shared" si="29"/>
        <v>80</v>
      </c>
      <c r="N120" s="1390"/>
      <c r="O120" s="1390"/>
      <c r="P120" s="2326"/>
      <c r="Q120" s="121"/>
    </row>
    <row r="121" spans="1:17" s="1039" customFormat="1" ht="15" thickTop="1">
      <c r="A121" s="1073"/>
      <c r="B121" s="1054" t="s">
        <v>1060</v>
      </c>
      <c r="C121" s="897"/>
      <c r="D121" s="897"/>
      <c r="E121" s="897"/>
      <c r="F121" s="926"/>
      <c r="G121" s="898"/>
      <c r="H121" s="898"/>
      <c r="I121" s="898"/>
      <c r="J121" s="898"/>
      <c r="K121" s="898"/>
      <c r="L121" s="899"/>
      <c r="M121" s="900"/>
      <c r="N121" s="1391"/>
      <c r="O121" s="1391"/>
      <c r="P121" s="2327"/>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27"/>
      <c r="Q122" s="1063"/>
    </row>
    <row r="123" spans="1:17" ht="14.25" thickTop="1">
      <c r="A123" s="175"/>
      <c r="B123" s="1054" t="s">
        <v>1062</v>
      </c>
      <c r="C123" s="139" t="s">
        <v>3472</v>
      </c>
      <c r="D123" s="139" t="s">
        <v>3473</v>
      </c>
      <c r="E123" s="139" t="s">
        <v>3474</v>
      </c>
      <c r="F123" s="131" t="s">
        <v>3475</v>
      </c>
      <c r="G123" s="131"/>
      <c r="H123" s="131"/>
      <c r="I123" s="131"/>
      <c r="J123" s="131"/>
      <c r="K123" s="132"/>
      <c r="L123" s="133"/>
      <c r="M123" s="134"/>
      <c r="N123" s="1389"/>
      <c r="O123" s="1389"/>
      <c r="P123" s="2326"/>
      <c r="Q123" s="121"/>
    </row>
    <row r="124" spans="1:17" ht="15" thickBot="1">
      <c r="A124" s="173"/>
      <c r="B124" s="1055"/>
      <c r="C124" s="887">
        <v>100</v>
      </c>
      <c r="D124" s="887">
        <f t="shared" ref="D124:M124" si="30">C124-$K43</f>
        <v>99</v>
      </c>
      <c r="E124" s="887">
        <f t="shared" si="30"/>
        <v>98</v>
      </c>
      <c r="F124" s="887">
        <f t="shared" si="30"/>
        <v>97</v>
      </c>
      <c r="G124" s="887">
        <f t="shared" si="30"/>
        <v>96</v>
      </c>
      <c r="H124" s="887">
        <f t="shared" si="30"/>
        <v>95</v>
      </c>
      <c r="I124" s="887">
        <f t="shared" si="30"/>
        <v>94</v>
      </c>
      <c r="J124" s="887">
        <f t="shared" si="30"/>
        <v>93</v>
      </c>
      <c r="K124" s="887">
        <f t="shared" si="30"/>
        <v>92</v>
      </c>
      <c r="L124" s="887">
        <f t="shared" si="30"/>
        <v>91</v>
      </c>
      <c r="M124" s="888">
        <f t="shared" si="30"/>
        <v>90</v>
      </c>
      <c r="N124" s="1390"/>
      <c r="O124" s="1390"/>
      <c r="P124" s="2326"/>
      <c r="Q124" s="121"/>
    </row>
    <row r="125" spans="1:17" ht="27.75" thickTop="1">
      <c r="A125" s="175"/>
      <c r="B125" s="1054" t="s">
        <v>1063</v>
      </c>
      <c r="C125" s="921" t="s">
        <v>1012</v>
      </c>
      <c r="D125" s="921" t="s">
        <v>1013</v>
      </c>
      <c r="E125" s="921" t="s">
        <v>1014</v>
      </c>
      <c r="F125" s="921" t="s">
        <v>1015</v>
      </c>
      <c r="G125" s="921" t="s">
        <v>1016</v>
      </c>
      <c r="H125" s="882"/>
      <c r="I125" s="882"/>
      <c r="J125" s="882"/>
      <c r="K125" s="883"/>
      <c r="L125" s="884"/>
      <c r="M125" s="885"/>
      <c r="N125" s="1389"/>
      <c r="O125" s="1389"/>
      <c r="P125" s="2327"/>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6"/>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27"/>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27"/>
      <c r="Q128" s="1063"/>
    </row>
    <row r="129" spans="1:17" ht="14.25" thickTop="1">
      <c r="A129" s="175"/>
      <c r="B129" s="1054">
        <f>B46</f>
        <v>111</v>
      </c>
      <c r="C129" s="139"/>
      <c r="D129" s="139"/>
      <c r="E129" s="139"/>
      <c r="F129" s="139"/>
      <c r="G129" s="131"/>
      <c r="H129" s="131"/>
      <c r="I129" s="131"/>
      <c r="J129" s="131"/>
      <c r="K129" s="132"/>
      <c r="L129" s="133"/>
      <c r="M129" s="134"/>
      <c r="N129" s="1389"/>
      <c r="O129" s="1389"/>
      <c r="P129" s="2326"/>
      <c r="Q129" s="121"/>
    </row>
    <row r="130" spans="1:17" ht="15" thickBot="1">
      <c r="A130" s="173"/>
      <c r="B130" s="1055"/>
      <c r="C130" s="903"/>
      <c r="D130" s="903"/>
      <c r="E130" s="903"/>
      <c r="F130" s="903"/>
      <c r="G130" s="879"/>
      <c r="H130" s="879"/>
      <c r="I130" s="879"/>
      <c r="J130" s="879"/>
      <c r="K130" s="879"/>
      <c r="L130" s="879"/>
      <c r="M130" s="880"/>
      <c r="N130" s="1390"/>
      <c r="O130" s="1390"/>
      <c r="P130" s="2326"/>
      <c r="Q130" s="121"/>
    </row>
    <row r="131" spans="1:17" ht="14.25" thickTop="1">
      <c r="A131" s="175"/>
      <c r="B131" s="1056">
        <f>B47</f>
        <v>111</v>
      </c>
      <c r="C131" s="140"/>
      <c r="D131" s="140"/>
      <c r="E131" s="140"/>
      <c r="F131" s="140"/>
      <c r="G131" s="135"/>
      <c r="H131" s="135"/>
      <c r="I131" s="135"/>
      <c r="J131" s="135"/>
      <c r="K131" s="140"/>
      <c r="L131" s="141"/>
      <c r="M131" s="138"/>
      <c r="N131" s="1389"/>
      <c r="O131" s="1389"/>
      <c r="P131" s="2326"/>
      <c r="Q131" s="121"/>
    </row>
    <row r="132" spans="1:17" ht="15" thickBot="1">
      <c r="A132" s="174"/>
      <c r="B132" s="1071"/>
      <c r="C132" s="913"/>
      <c r="D132" s="913"/>
      <c r="E132" s="913"/>
      <c r="F132" s="913"/>
      <c r="G132" s="934"/>
      <c r="H132" s="934"/>
      <c r="I132" s="934"/>
      <c r="J132" s="934"/>
      <c r="K132" s="934"/>
      <c r="L132" s="934"/>
      <c r="M132" s="935"/>
      <c r="N132" s="1390"/>
      <c r="O132" s="1390"/>
      <c r="P132" s="2326"/>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7" sqref="I7"/>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1097</v>
      </c>
      <c r="B1" s="3119" t="s">
        <v>1098</v>
      </c>
      <c r="C1" s="3113" t="s">
        <v>1099</v>
      </c>
      <c r="D1" s="3104"/>
      <c r="E1" s="3109"/>
      <c r="F1" s="3106"/>
      <c r="G1" s="3108" t="s">
        <v>1100</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1101</v>
      </c>
      <c r="B2" s="2844" t="e">
        <f ca="1">IF(C2="——",ROUND(C43*D3/10000,0),ROUND(C43*D3/10000,0)-D2)</f>
        <v>#DIV/0!</v>
      </c>
      <c r="C2" s="3098"/>
      <c r="D2" s="2339" t="e">
        <f ca="1">SUMIF(INDIRECT("'"&amp;F2&amp;"'"&amp;"!A:A"),"承租人权益价值",INDIRECT("'"&amp;F2&amp;"'"&amp;"!c:c"))</f>
        <v>#REF!</v>
      </c>
      <c r="E2" s="3099" t="s">
        <v>864</v>
      </c>
      <c r="F2" s="3100"/>
      <c r="G2" s="2315"/>
      <c r="H2" s="2315"/>
      <c r="I2" s="2315"/>
      <c r="J2" s="2315"/>
      <c r="K2" s="2315"/>
      <c r="L2" s="2316"/>
      <c r="M2" s="2317"/>
      <c r="N2" s="2317"/>
      <c r="O2" s="2317"/>
      <c r="P2" s="1334"/>
      <c r="Q2" s="1334"/>
      <c r="R2" s="1334"/>
      <c r="S2" s="1334"/>
      <c r="T2" s="1334"/>
      <c r="U2" s="1334"/>
      <c r="V2" s="1334"/>
      <c r="W2" s="1334"/>
      <c r="X2" s="1334"/>
      <c r="Y2" s="1334"/>
      <c r="Z2" s="1334"/>
      <c r="AA2" s="1334"/>
      <c r="AB2" s="1334"/>
      <c r="AC2" s="1392"/>
    </row>
    <row r="3" spans="1:29" s="90" customFormat="1" ht="28.5" customHeight="1" thickBot="1">
      <c r="A3" s="87" t="s">
        <v>1102</v>
      </c>
      <c r="B3" s="952" t="e">
        <f ca="1">IF(C2="——",C43,ROUND(B2*10000/D3,0))</f>
        <v>#DIV/0!</v>
      </c>
      <c r="C3" s="142" t="s">
        <v>1103</v>
      </c>
      <c r="D3" s="742">
        <f>IF(D1="",'数据-汇总表'!E3,SUMIF('数据-汇总表'!$C19:$C33,D1,'数据-汇总表'!$E19:$E33))</f>
        <v>66965.320000000065</v>
      </c>
      <c r="E3" s="2315"/>
      <c r="F3" s="2314"/>
      <c r="G3" s="2315"/>
      <c r="H3" s="2315"/>
      <c r="I3" s="2315"/>
      <c r="J3" s="2315"/>
      <c r="K3" s="2318"/>
      <c r="L3" s="2316"/>
      <c r="M3" s="2317"/>
      <c r="N3" s="2317"/>
      <c r="O3" s="2317"/>
      <c r="P3" s="1334"/>
      <c r="Q3" s="1334"/>
      <c r="R3" s="1334"/>
      <c r="S3" s="1334"/>
      <c r="T3" s="1334"/>
      <c r="U3" s="1334"/>
      <c r="V3" s="1334"/>
      <c r="W3" s="1334"/>
      <c r="X3" s="1334"/>
      <c r="Y3" s="1334"/>
      <c r="Z3" s="1334"/>
      <c r="AA3" s="1334"/>
      <c r="AB3" s="1410"/>
      <c r="AC3" s="1392"/>
    </row>
    <row r="4" spans="1:29">
      <c r="A4" s="143" t="s">
        <v>1104</v>
      </c>
      <c r="B4" s="144"/>
      <c r="C4" s="3612" t="s">
        <v>1105</v>
      </c>
      <c r="D4" s="3613"/>
      <c r="E4" s="3614" t="s">
        <v>1106</v>
      </c>
      <c r="F4" s="3615"/>
      <c r="G4" s="3612" t="s">
        <v>1107</v>
      </c>
      <c r="H4" s="3613"/>
      <c r="I4" s="3612" t="s">
        <v>1108</v>
      </c>
      <c r="J4" s="3613"/>
      <c r="K4" s="187" t="s">
        <v>1109</v>
      </c>
      <c r="L4" s="2292"/>
      <c r="M4" s="2293"/>
      <c r="N4" s="2293"/>
      <c r="O4" s="2293"/>
      <c r="P4" s="3616" t="s">
        <v>1104</v>
      </c>
      <c r="Q4" s="3617"/>
      <c r="R4" s="3599" t="s">
        <v>1106</v>
      </c>
      <c r="S4" s="3600"/>
      <c r="T4" s="3599" t="s">
        <v>1107</v>
      </c>
      <c r="U4" s="3600"/>
      <c r="V4" s="3624" t="s">
        <v>1108</v>
      </c>
      <c r="W4" s="3624"/>
      <c r="X4" s="1340"/>
      <c r="Y4" s="3599" t="s">
        <v>1104</v>
      </c>
      <c r="Z4" s="3600"/>
      <c r="AA4" s="3594" t="s">
        <v>1106</v>
      </c>
      <c r="AB4" s="3595" t="s">
        <v>1107</v>
      </c>
      <c r="AC4" s="3594" t="s">
        <v>1108</v>
      </c>
    </row>
    <row r="5" spans="1:29">
      <c r="A5" s="146"/>
      <c r="B5" s="147"/>
      <c r="C5" s="3605" t="s">
        <v>1110</v>
      </c>
      <c r="D5" s="3606"/>
      <c r="E5" s="3603" t="s">
        <v>1111</v>
      </c>
      <c r="F5" s="3604"/>
      <c r="G5" s="3605" t="s">
        <v>1112</v>
      </c>
      <c r="H5" s="3606"/>
      <c r="I5" s="3605" t="s">
        <v>1113</v>
      </c>
      <c r="J5" s="3606"/>
      <c r="K5" s="187"/>
      <c r="L5" s="2292"/>
      <c r="M5" s="2293"/>
      <c r="N5" s="2293"/>
      <c r="O5" s="2293"/>
      <c r="P5" s="3618"/>
      <c r="Q5" s="3619"/>
      <c r="R5" s="3601"/>
      <c r="S5" s="3602"/>
      <c r="T5" s="3601"/>
      <c r="U5" s="3602"/>
      <c r="V5" s="3624"/>
      <c r="W5" s="3624"/>
      <c r="X5" s="1340"/>
      <c r="Y5" s="3601"/>
      <c r="Z5" s="3602"/>
      <c r="AA5" s="3595"/>
      <c r="AB5" s="3595"/>
      <c r="AC5" s="3595"/>
    </row>
    <row r="6" spans="1:29" ht="14.25" thickBot="1">
      <c r="A6" s="148"/>
      <c r="B6" s="149"/>
      <c r="C6" s="3607" t="s">
        <v>1114</v>
      </c>
      <c r="D6" s="3608"/>
      <c r="E6" s="3609" t="s">
        <v>1114</v>
      </c>
      <c r="F6" s="3610"/>
      <c r="G6" s="3607" t="s">
        <v>1114</v>
      </c>
      <c r="H6" s="3608"/>
      <c r="I6" s="3607" t="s">
        <v>1114</v>
      </c>
      <c r="J6" s="3608"/>
      <c r="K6" s="187" t="s">
        <v>1115</v>
      </c>
      <c r="L6" s="2292"/>
      <c r="M6" s="2293"/>
      <c r="N6" s="2293"/>
      <c r="O6" s="2293"/>
      <c r="P6" s="3620"/>
      <c r="Q6" s="3621"/>
      <c r="R6" s="3601"/>
      <c r="S6" s="3602"/>
      <c r="T6" s="3622"/>
      <c r="U6" s="3623"/>
      <c r="V6" s="3624"/>
      <c r="W6" s="3624"/>
      <c r="X6" s="1340"/>
      <c r="Y6" s="3622"/>
      <c r="Z6" s="3623"/>
      <c r="AA6" s="3596"/>
      <c r="AB6" s="3596"/>
      <c r="AC6" s="3596"/>
    </row>
    <row r="7" spans="1:29" s="40" customFormat="1" ht="15" thickBot="1">
      <c r="A7" s="1014" t="s">
        <v>1116</v>
      </c>
      <c r="B7" s="1015"/>
      <c r="C7" s="753">
        <f>'数据-取费表'!B2</f>
        <v>42956</v>
      </c>
      <c r="D7" s="754">
        <v>100</v>
      </c>
      <c r="E7" s="1017"/>
      <c r="F7" s="756">
        <f>SUMIF(52:52,YEAR(E7)&amp;"-"&amp;MONTH(E7),53:53)</f>
        <v>0</v>
      </c>
      <c r="G7" s="1017"/>
      <c r="H7" s="754">
        <f>SUMIF(52:52,YEAR(G7)&amp;"-"&amp;MONTH(G7),53:53)</f>
        <v>0</v>
      </c>
      <c r="I7" s="1017"/>
      <c r="J7" s="754">
        <f>SUMIF(52:52,YEAR(I7)&amp;"-"&amp;MONTH(I7),53:53)</f>
        <v>0</v>
      </c>
      <c r="K7" s="1019"/>
      <c r="L7" s="2294"/>
      <c r="M7" s="2256"/>
      <c r="N7" s="2256"/>
      <c r="O7" s="2256"/>
      <c r="P7" s="3597" t="s">
        <v>1116</v>
      </c>
      <c r="Q7" s="3625"/>
      <c r="R7" s="1342" t="s">
        <v>61</v>
      </c>
      <c r="S7" s="1343">
        <f t="shared" ref="S7:S15" si="0">F7</f>
        <v>0</v>
      </c>
      <c r="T7" s="1342" t="s">
        <v>61</v>
      </c>
      <c r="U7" s="1343">
        <f t="shared" ref="U7:U15" si="1">H7</f>
        <v>0</v>
      </c>
      <c r="V7" s="1342" t="s">
        <v>61</v>
      </c>
      <c r="W7" s="1343">
        <f t="shared" ref="W7:W15" si="2">J7</f>
        <v>0</v>
      </c>
      <c r="X7" s="287"/>
      <c r="Y7" s="3597" t="s">
        <v>1116</v>
      </c>
      <c r="Z7" s="3598"/>
      <c r="AA7" s="1344" t="e">
        <f>D7/F7</f>
        <v>#DIV/0!</v>
      </c>
      <c r="AB7" s="1344" t="e">
        <f>D7/H7</f>
        <v>#DIV/0!</v>
      </c>
      <c r="AC7" s="1344" t="e">
        <f>D7/J7</f>
        <v>#DIV/0!</v>
      </c>
    </row>
    <row r="8" spans="1:29" s="40" customFormat="1" ht="15" thickBot="1">
      <c r="A8" s="1014" t="s">
        <v>1117</v>
      </c>
      <c r="B8" s="1015"/>
      <c r="C8" s="1020" t="s">
        <v>151</v>
      </c>
      <c r="D8" s="754">
        <v>100</v>
      </c>
      <c r="E8" s="1020"/>
      <c r="F8" s="756">
        <f>SUMIF(55:55,E8,56:56)-SUMIF(55:55,C8,56:56)+100</f>
        <v>0</v>
      </c>
      <c r="G8" s="1020"/>
      <c r="H8" s="754">
        <f>SUMIF(55:55,G8,56:56)-SUMIF(55:55,C8,56:56)+100</f>
        <v>0</v>
      </c>
      <c r="I8" s="1020"/>
      <c r="J8" s="754">
        <f>SUMIF(55:55,I8,56:56)-SUMIF(55:55,C8,56:56)+100</f>
        <v>0</v>
      </c>
      <c r="K8" s="1019"/>
      <c r="L8" s="2294"/>
      <c r="M8" s="2256"/>
      <c r="N8" s="2256"/>
      <c r="O8" s="2256"/>
      <c r="P8" s="3597" t="s">
        <v>1017</v>
      </c>
      <c r="Q8" s="3598"/>
      <c r="R8" s="1342" t="s">
        <v>61</v>
      </c>
      <c r="S8" s="1343">
        <f t="shared" si="0"/>
        <v>0</v>
      </c>
      <c r="T8" s="1342" t="s">
        <v>61</v>
      </c>
      <c r="U8" s="1343">
        <f t="shared" si="1"/>
        <v>0</v>
      </c>
      <c r="V8" s="1342" t="s">
        <v>61</v>
      </c>
      <c r="W8" s="1343">
        <f t="shared" si="2"/>
        <v>0</v>
      </c>
      <c r="X8" s="287"/>
      <c r="Y8" s="3597" t="s">
        <v>1017</v>
      </c>
      <c r="Z8" s="3598"/>
      <c r="AA8" s="1344" t="e">
        <f t="shared" ref="AA8:AA40" si="3">D8/F8</f>
        <v>#DIV/0!</v>
      </c>
      <c r="AB8" s="1344" t="e">
        <f t="shared" ref="AB8:AB40" si="4">D8/H8</f>
        <v>#DIV/0!</v>
      </c>
      <c r="AC8" s="1344" t="e">
        <f t="shared" ref="AC8:AC40" si="5">D8/J8</f>
        <v>#DIV/0!</v>
      </c>
    </row>
    <row r="9" spans="1:29" s="40" customFormat="1" ht="14.25">
      <c r="A9" s="1021" t="s">
        <v>1018</v>
      </c>
      <c r="B9" s="62" t="s">
        <v>1019</v>
      </c>
      <c r="C9" s="1346"/>
      <c r="D9" s="425">
        <v>100</v>
      </c>
      <c r="E9" s="1348"/>
      <c r="F9" s="425">
        <f>SUMIF(57:57,E9,58:58)-SUMIF(57:57,C9,58:58)+100</f>
        <v>100</v>
      </c>
      <c r="G9" s="1347"/>
      <c r="H9" s="425">
        <f>SUMIF(57:57,G9,58:58)-SUMIF(57:57,C9,58:58)+100</f>
        <v>100</v>
      </c>
      <c r="I9" s="1347"/>
      <c r="J9" s="425">
        <f>SUMIF(57:57,I9,58:58)-SUMIF(57:57,C9,58:58)+100</f>
        <v>100</v>
      </c>
      <c r="K9" s="1019"/>
      <c r="L9" s="2294"/>
      <c r="M9" s="2256"/>
      <c r="N9" s="2256"/>
      <c r="O9" s="2335"/>
      <c r="P9" s="3629" t="s">
        <v>63</v>
      </c>
      <c r="Q9" s="7" t="str">
        <f t="shared" ref="Q9:Q15" si="6">B9</f>
        <v>用途</v>
      </c>
      <c r="R9" s="1342" t="s">
        <v>61</v>
      </c>
      <c r="S9" s="1343">
        <f t="shared" si="0"/>
        <v>100</v>
      </c>
      <c r="T9" s="1342" t="s">
        <v>61</v>
      </c>
      <c r="U9" s="1343">
        <f t="shared" si="1"/>
        <v>100</v>
      </c>
      <c r="V9" s="1342" t="s">
        <v>61</v>
      </c>
      <c r="W9" s="1343">
        <f t="shared" si="2"/>
        <v>100</v>
      </c>
      <c r="X9" s="287"/>
      <c r="Y9" s="3435" t="s">
        <v>63</v>
      </c>
      <c r="Z9" s="288" t="str">
        <f t="shared" ref="Z9:Z15" si="7">Q9</f>
        <v>用途</v>
      </c>
      <c r="AA9" s="1344">
        <f t="shared" si="3"/>
        <v>1</v>
      </c>
      <c r="AB9" s="1344">
        <f t="shared" si="4"/>
        <v>1</v>
      </c>
      <c r="AC9" s="1344">
        <f t="shared" si="5"/>
        <v>1</v>
      </c>
    </row>
    <row r="10" spans="1:29" s="92" customFormat="1" ht="27">
      <c r="A10" s="150"/>
      <c r="B10" s="12" t="s">
        <v>102</v>
      </c>
      <c r="C10" s="1349"/>
      <c r="D10" s="426">
        <v>100</v>
      </c>
      <c r="E10" s="1349"/>
      <c r="F10" s="426">
        <f>SUMIF(59:59,E10,60:60)-SUMIF(59:59,C10,60:60)+100</f>
        <v>100</v>
      </c>
      <c r="G10" s="1350"/>
      <c r="H10" s="426">
        <f>SUMIF(59:59,G10,60:60)-SUMIF(59:59,C10,60:60)+100</f>
        <v>100</v>
      </c>
      <c r="I10" s="1349"/>
      <c r="J10" s="426">
        <f>SUMIF(59:59,I10,60:60)-SUMIF(59:59,C10,60:60)+100</f>
        <v>100</v>
      </c>
      <c r="K10" s="955"/>
      <c r="L10" s="2295"/>
      <c r="M10" s="2296"/>
      <c r="N10" s="2296"/>
      <c r="O10" s="2336"/>
      <c r="P10" s="3629"/>
      <c r="Q10" s="7" t="str">
        <f t="shared" si="6"/>
        <v>土地使用年限（年）</v>
      </c>
      <c r="R10" s="1342" t="s">
        <v>61</v>
      </c>
      <c r="S10" s="1343">
        <f t="shared" si="0"/>
        <v>100</v>
      </c>
      <c r="T10" s="1342" t="s">
        <v>61</v>
      </c>
      <c r="U10" s="1343">
        <f t="shared" si="1"/>
        <v>100</v>
      </c>
      <c r="V10" s="1342" t="s">
        <v>61</v>
      </c>
      <c r="W10" s="1343">
        <f t="shared" si="2"/>
        <v>100</v>
      </c>
      <c r="X10" s="287"/>
      <c r="Y10" s="3435"/>
      <c r="Z10" s="288" t="str">
        <f t="shared" si="7"/>
        <v>土地使用年限（年）</v>
      </c>
      <c r="AA10" s="1344">
        <f t="shared" si="3"/>
        <v>1</v>
      </c>
      <c r="AB10" s="1344">
        <f t="shared" si="4"/>
        <v>1</v>
      </c>
      <c r="AC10" s="1344">
        <f t="shared" si="5"/>
        <v>1</v>
      </c>
    </row>
    <row r="11" spans="1:29" ht="15">
      <c r="A11" s="151"/>
      <c r="B11" s="12" t="s">
        <v>89</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7"/>
      <c r="M11" s="2293"/>
      <c r="N11" s="2293"/>
      <c r="O11" s="2337"/>
      <c r="P11" s="3629"/>
      <c r="Q11" s="7" t="str">
        <f t="shared" si="6"/>
        <v>容积率</v>
      </c>
      <c r="R11" s="1342" t="s">
        <v>61</v>
      </c>
      <c r="S11" s="1343" t="e">
        <f t="shared" si="0"/>
        <v>#N/A</v>
      </c>
      <c r="T11" s="1342" t="s">
        <v>61</v>
      </c>
      <c r="U11" s="1343" t="e">
        <f t="shared" si="1"/>
        <v>#N/A</v>
      </c>
      <c r="V11" s="1342" t="s">
        <v>61</v>
      </c>
      <c r="W11" s="1343" t="e">
        <f t="shared" si="2"/>
        <v>#N/A</v>
      </c>
      <c r="X11" s="287"/>
      <c r="Y11" s="3435"/>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4"/>
      <c r="M12" s="2256"/>
      <c r="N12" s="2256"/>
      <c r="O12" s="2335"/>
      <c r="P12" s="3629"/>
      <c r="Q12" s="7">
        <f t="shared" si="6"/>
        <v>111</v>
      </c>
      <c r="R12" s="1342" t="s">
        <v>61</v>
      </c>
      <c r="S12" s="1343">
        <f t="shared" si="0"/>
        <v>100</v>
      </c>
      <c r="T12" s="1342" t="s">
        <v>61</v>
      </c>
      <c r="U12" s="1343">
        <f t="shared" si="1"/>
        <v>100</v>
      </c>
      <c r="V12" s="1342" t="s">
        <v>61</v>
      </c>
      <c r="W12" s="1343">
        <f t="shared" si="2"/>
        <v>100</v>
      </c>
      <c r="X12" s="287"/>
      <c r="Y12" s="3435"/>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298"/>
      <c r="M13" s="2293"/>
      <c r="N13" s="2293"/>
      <c r="O13" s="2337"/>
      <c r="P13" s="3629"/>
      <c r="Q13" s="7">
        <f t="shared" si="6"/>
        <v>111</v>
      </c>
      <c r="R13" s="1342" t="s">
        <v>61</v>
      </c>
      <c r="S13" s="1343">
        <f t="shared" si="0"/>
        <v>100</v>
      </c>
      <c r="T13" s="1342" t="s">
        <v>61</v>
      </c>
      <c r="U13" s="1343">
        <f t="shared" si="1"/>
        <v>100</v>
      </c>
      <c r="V13" s="1342" t="s">
        <v>61</v>
      </c>
      <c r="W13" s="1343">
        <f t="shared" si="2"/>
        <v>100</v>
      </c>
      <c r="X13" s="287"/>
      <c r="Y13" s="3435"/>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298"/>
      <c r="M14" s="2293"/>
      <c r="N14" s="2293"/>
      <c r="O14" s="2337"/>
      <c r="P14" s="3629"/>
      <c r="Q14" s="7">
        <f t="shared" si="6"/>
        <v>111</v>
      </c>
      <c r="R14" s="1342" t="s">
        <v>61</v>
      </c>
      <c r="S14" s="1343">
        <f t="shared" si="0"/>
        <v>100</v>
      </c>
      <c r="T14" s="1342" t="s">
        <v>61</v>
      </c>
      <c r="U14" s="1343">
        <f t="shared" si="1"/>
        <v>100</v>
      </c>
      <c r="V14" s="1342" t="s">
        <v>61</v>
      </c>
      <c r="W14" s="1343">
        <f t="shared" si="2"/>
        <v>100</v>
      </c>
      <c r="X14" s="287"/>
      <c r="Y14" s="3435"/>
      <c r="Z14" s="288">
        <f t="shared" si="7"/>
        <v>111</v>
      </c>
      <c r="AA14" s="1344">
        <f t="shared" si="3"/>
        <v>1</v>
      </c>
      <c r="AB14" s="1344">
        <f t="shared" si="4"/>
        <v>1</v>
      </c>
      <c r="AC14" s="1344">
        <f t="shared" si="5"/>
        <v>1</v>
      </c>
    </row>
    <row r="15" spans="1:29" ht="67.5">
      <c r="A15" s="155" t="s">
        <v>65</v>
      </c>
      <c r="B15" s="58" t="s">
        <v>147</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298"/>
      <c r="M15" s="2293"/>
      <c r="N15" s="2293"/>
      <c r="O15" s="2337"/>
      <c r="P15" s="3631" t="s">
        <v>65</v>
      </c>
      <c r="Q15" s="1351" t="str">
        <f t="shared" si="6"/>
        <v>产业集聚程度</v>
      </c>
      <c r="R15" s="1352" t="s">
        <v>61</v>
      </c>
      <c r="S15" s="1353">
        <f t="shared" si="0"/>
        <v>100</v>
      </c>
      <c r="T15" s="1352" t="s">
        <v>61</v>
      </c>
      <c r="U15" s="1353">
        <f t="shared" si="1"/>
        <v>100</v>
      </c>
      <c r="V15" s="1352" t="s">
        <v>61</v>
      </c>
      <c r="W15" s="1353">
        <f t="shared" si="2"/>
        <v>100</v>
      </c>
      <c r="X15" s="1340"/>
      <c r="Y15" s="3631" t="s">
        <v>65</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298"/>
      <c r="M16" s="2293"/>
      <c r="N16" s="2293"/>
      <c r="O16" s="2337"/>
      <c r="P16" s="3632"/>
      <c r="Q16" s="1351"/>
      <c r="R16" s="1352"/>
      <c r="S16" s="1353"/>
      <c r="T16" s="1352"/>
      <c r="U16" s="1353"/>
      <c r="V16" s="1352"/>
      <c r="W16" s="1353"/>
      <c r="X16" s="1340"/>
      <c r="Y16" s="3632"/>
      <c r="Z16" s="1354"/>
      <c r="AA16" s="1355">
        <v>1</v>
      </c>
      <c r="AB16" s="1355">
        <v>1</v>
      </c>
      <c r="AC16" s="1355">
        <v>1</v>
      </c>
    </row>
    <row r="17" spans="1:29" ht="94.5">
      <c r="A17" s="151"/>
      <c r="B17" s="1356" t="s">
        <v>68</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298"/>
      <c r="M17" s="2293"/>
      <c r="N17" s="2293"/>
      <c r="O17" s="2337"/>
      <c r="P17" s="3632"/>
      <c r="Q17" s="1351" t="str">
        <f>B17</f>
        <v>交通便捷度</v>
      </c>
      <c r="R17" s="1352" t="s">
        <v>61</v>
      </c>
      <c r="S17" s="1353">
        <f>F17</f>
        <v>100</v>
      </c>
      <c r="T17" s="1352" t="s">
        <v>61</v>
      </c>
      <c r="U17" s="1353">
        <f>H17</f>
        <v>100</v>
      </c>
      <c r="V17" s="1352" t="s">
        <v>61</v>
      </c>
      <c r="W17" s="1353">
        <f>J17</f>
        <v>100</v>
      </c>
      <c r="X17" s="1340"/>
      <c r="Y17" s="3632"/>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8"/>
      <c r="M18" s="2293"/>
      <c r="N18" s="2293"/>
      <c r="O18" s="2337"/>
      <c r="P18" s="3632"/>
      <c r="Q18" s="1351"/>
      <c r="R18" s="1352"/>
      <c r="S18" s="1353"/>
      <c r="T18" s="1352"/>
      <c r="U18" s="1353"/>
      <c r="V18" s="1352"/>
      <c r="W18" s="1353"/>
      <c r="X18" s="1340"/>
      <c r="Y18" s="3632"/>
      <c r="Z18" s="1354"/>
      <c r="AA18" s="1355">
        <v>1</v>
      </c>
      <c r="AB18" s="1355">
        <v>1</v>
      </c>
      <c r="AC18" s="1355">
        <v>1</v>
      </c>
    </row>
    <row r="19" spans="1:29" ht="40.5">
      <c r="A19" s="151"/>
      <c r="B19" s="1356" t="s">
        <v>2659</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298"/>
      <c r="M19" s="2293"/>
      <c r="N19" s="2293"/>
      <c r="O19" s="2337"/>
      <c r="P19" s="3632"/>
      <c r="Q19" s="1351" t="str">
        <f>B19</f>
        <v>公共配套设施</v>
      </c>
      <c r="R19" s="1352" t="s">
        <v>61</v>
      </c>
      <c r="S19" s="1353">
        <f>F19</f>
        <v>100</v>
      </c>
      <c r="T19" s="1352" t="s">
        <v>61</v>
      </c>
      <c r="U19" s="1353">
        <f>H19</f>
        <v>100</v>
      </c>
      <c r="V19" s="1352" t="s">
        <v>61</v>
      </c>
      <c r="W19" s="1353">
        <f>J19</f>
        <v>100</v>
      </c>
      <c r="X19" s="1340"/>
      <c r="Y19" s="3632"/>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8"/>
      <c r="M20" s="2293"/>
      <c r="N20" s="2293"/>
      <c r="O20" s="2337"/>
      <c r="P20" s="3632"/>
      <c r="Q20" s="1351"/>
      <c r="R20" s="1352"/>
      <c r="S20" s="1353"/>
      <c r="T20" s="1352"/>
      <c r="U20" s="1353"/>
      <c r="V20" s="1352"/>
      <c r="W20" s="1353"/>
      <c r="X20" s="1340"/>
      <c r="Y20" s="3632"/>
      <c r="Z20" s="1354"/>
      <c r="AA20" s="1355">
        <v>1</v>
      </c>
      <c r="AB20" s="1355">
        <v>1</v>
      </c>
      <c r="AC20" s="1355">
        <v>1</v>
      </c>
    </row>
    <row r="21" spans="1:29" ht="40.5">
      <c r="A21" s="151"/>
      <c r="B21" s="1412" t="s">
        <v>2662</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298"/>
      <c r="M21" s="2293"/>
      <c r="N21" s="2293"/>
      <c r="O21" s="2337"/>
      <c r="P21" s="3632"/>
      <c r="Q21" s="2743" t="str">
        <f>B21</f>
        <v>基础设施水平</v>
      </c>
      <c r="R21" s="1352" t="s">
        <v>61</v>
      </c>
      <c r="S21" s="1353">
        <f>F21</f>
        <v>100</v>
      </c>
      <c r="T21" s="1352" t="s">
        <v>61</v>
      </c>
      <c r="U21" s="1353">
        <f>H21</f>
        <v>100</v>
      </c>
      <c r="V21" s="1352" t="s">
        <v>61</v>
      </c>
      <c r="W21" s="1353">
        <f>J21</f>
        <v>100</v>
      </c>
      <c r="X21" s="2745"/>
      <c r="Y21" s="3632"/>
      <c r="Z21" s="2744"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3"/>
      <c r="L22" s="2298"/>
      <c r="M22" s="2293"/>
      <c r="N22" s="2293"/>
      <c r="O22" s="2337"/>
      <c r="P22" s="3632"/>
      <c r="Q22" s="2743"/>
      <c r="R22" s="1352"/>
      <c r="S22" s="1353"/>
      <c r="T22" s="1352"/>
      <c r="U22" s="1353"/>
      <c r="V22" s="1352"/>
      <c r="W22" s="1353"/>
      <c r="X22" s="2745"/>
      <c r="Y22" s="3632"/>
      <c r="Z22" s="2744"/>
      <c r="AA22" s="1355">
        <v>1</v>
      </c>
      <c r="AB22" s="1355">
        <v>1</v>
      </c>
      <c r="AC22" s="1355">
        <v>1</v>
      </c>
    </row>
    <row r="23" spans="1:29" ht="81">
      <c r="A23" s="151"/>
      <c r="B23" s="1356" t="s">
        <v>139</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298"/>
      <c r="M23" s="2293"/>
      <c r="N23" s="2293"/>
      <c r="O23" s="2337"/>
      <c r="P23" s="3632"/>
      <c r="Q23" s="1351" t="str">
        <f>B23</f>
        <v>环境质量</v>
      </c>
      <c r="R23" s="1352" t="s">
        <v>61</v>
      </c>
      <c r="S23" s="1353">
        <f>F23</f>
        <v>100</v>
      </c>
      <c r="T23" s="1352" t="s">
        <v>61</v>
      </c>
      <c r="U23" s="1353">
        <f>H23</f>
        <v>100</v>
      </c>
      <c r="V23" s="1352" t="s">
        <v>61</v>
      </c>
      <c r="W23" s="1353">
        <f>J23</f>
        <v>100</v>
      </c>
      <c r="X23" s="1340"/>
      <c r="Y23" s="3632"/>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298"/>
      <c r="M24" s="2293"/>
      <c r="N24" s="2293"/>
      <c r="O24" s="2337"/>
      <c r="P24" s="3632"/>
      <c r="Q24" s="1351"/>
      <c r="R24" s="1352"/>
      <c r="S24" s="1353"/>
      <c r="T24" s="1352"/>
      <c r="U24" s="1353"/>
      <c r="V24" s="1352"/>
      <c r="W24" s="1353"/>
      <c r="X24" s="1340"/>
      <c r="Y24" s="3632"/>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298"/>
      <c r="M25" s="2293"/>
      <c r="N25" s="2293"/>
      <c r="O25" s="2337"/>
      <c r="P25" s="3632"/>
      <c r="Q25" s="1351">
        <f>B25</f>
        <v>111</v>
      </c>
      <c r="R25" s="1352" t="s">
        <v>61</v>
      </c>
      <c r="S25" s="1353">
        <f>F25</f>
        <v>100</v>
      </c>
      <c r="T25" s="1352" t="s">
        <v>61</v>
      </c>
      <c r="U25" s="1353">
        <f>H25</f>
        <v>100</v>
      </c>
      <c r="V25" s="1352" t="s">
        <v>61</v>
      </c>
      <c r="W25" s="1353">
        <f>J25</f>
        <v>100</v>
      </c>
      <c r="X25" s="1340"/>
      <c r="Y25" s="3632"/>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298"/>
      <c r="M26" s="2293"/>
      <c r="N26" s="2293"/>
      <c r="O26" s="2337"/>
      <c r="P26" s="3632"/>
      <c r="Q26" s="1351">
        <f t="shared" ref="Q26:Q40" si="11">B26</f>
        <v>111</v>
      </c>
      <c r="R26" s="1352" t="s">
        <v>61</v>
      </c>
      <c r="S26" s="1353">
        <f>F26</f>
        <v>100</v>
      </c>
      <c r="T26" s="1352" t="s">
        <v>61</v>
      </c>
      <c r="U26" s="1353">
        <f>H26</f>
        <v>100</v>
      </c>
      <c r="V26" s="1352" t="s">
        <v>61</v>
      </c>
      <c r="W26" s="1353">
        <f>J26</f>
        <v>100</v>
      </c>
      <c r="X26" s="1340"/>
      <c r="Y26" s="3632"/>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4"/>
      <c r="M27" s="2256"/>
      <c r="N27" s="2256"/>
      <c r="O27" s="2335"/>
      <c r="P27" s="3632"/>
      <c r="Q27" s="7">
        <f t="shared" si="11"/>
        <v>111</v>
      </c>
      <c r="R27" s="1342" t="s">
        <v>61</v>
      </c>
      <c r="S27" s="1343">
        <f>F27</f>
        <v>100</v>
      </c>
      <c r="T27" s="1342" t="s">
        <v>61</v>
      </c>
      <c r="U27" s="1343">
        <f>H27</f>
        <v>100</v>
      </c>
      <c r="V27" s="1342" t="s">
        <v>61</v>
      </c>
      <c r="W27" s="1343">
        <f>J27</f>
        <v>100</v>
      </c>
      <c r="X27" s="287"/>
      <c r="Y27" s="3632"/>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298"/>
      <c r="M28" s="2293"/>
      <c r="N28" s="2293"/>
      <c r="O28" s="2337"/>
      <c r="P28" s="3632"/>
      <c r="Q28" s="1351">
        <f t="shared" si="11"/>
        <v>111</v>
      </c>
      <c r="R28" s="1352" t="s">
        <v>61</v>
      </c>
      <c r="S28" s="1353">
        <f t="shared" ref="S28:S40" si="12">F28</f>
        <v>100</v>
      </c>
      <c r="T28" s="1352" t="s">
        <v>61</v>
      </c>
      <c r="U28" s="1353">
        <f t="shared" ref="U28:U40" si="13">H28</f>
        <v>100</v>
      </c>
      <c r="V28" s="1352" t="s">
        <v>61</v>
      </c>
      <c r="W28" s="1353">
        <f t="shared" ref="W28:W40" si="14">J28</f>
        <v>100</v>
      </c>
      <c r="X28" s="1340"/>
      <c r="Y28" s="3632"/>
      <c r="Z28" s="1354">
        <f t="shared" ref="Z28:Z40" si="15">Q28</f>
        <v>111</v>
      </c>
      <c r="AA28" s="1355">
        <f t="shared" si="3"/>
        <v>1</v>
      </c>
      <c r="AB28" s="1355">
        <f t="shared" si="4"/>
        <v>1</v>
      </c>
      <c r="AC28" s="1355">
        <f t="shared" si="5"/>
        <v>1</v>
      </c>
    </row>
    <row r="29" spans="1:29" ht="15">
      <c r="A29" s="160" t="s">
        <v>66</v>
      </c>
      <c r="B29" s="62" t="s">
        <v>142</v>
      </c>
      <c r="C29" s="197"/>
      <c r="D29" s="810">
        <v>100</v>
      </c>
      <c r="E29" s="197"/>
      <c r="F29" s="804">
        <f>SUMIF(88:88,E29,89:89)-SUMIF(88:88,C29,89:89)+100</f>
        <v>100</v>
      </c>
      <c r="G29" s="197"/>
      <c r="H29" s="778">
        <f>SUMIF(88:88,G29,89:89)-SUMIF(88:88,C29,89:89)+100</f>
        <v>100</v>
      </c>
      <c r="I29" s="197"/>
      <c r="J29" s="810">
        <f>SUMIF(88:88,I29,89:89)-SUMIF(88:88,C29,89:89)+100</f>
        <v>100</v>
      </c>
      <c r="K29" s="955"/>
      <c r="L29" s="2298"/>
      <c r="M29" s="2293"/>
      <c r="N29" s="2293"/>
      <c r="O29" s="2337"/>
      <c r="P29" s="3655" t="s">
        <v>1118</v>
      </c>
      <c r="Q29" s="1351" t="str">
        <f t="shared" si="11"/>
        <v>建筑类型</v>
      </c>
      <c r="R29" s="1352" t="s">
        <v>61</v>
      </c>
      <c r="S29" s="1353">
        <f t="shared" si="12"/>
        <v>100</v>
      </c>
      <c r="T29" s="1352" t="s">
        <v>61</v>
      </c>
      <c r="U29" s="1353">
        <f t="shared" si="13"/>
        <v>100</v>
      </c>
      <c r="V29" s="1352" t="s">
        <v>61</v>
      </c>
      <c r="W29" s="1353">
        <f t="shared" si="14"/>
        <v>100</v>
      </c>
      <c r="X29" s="1340"/>
      <c r="Y29" s="3636" t="s">
        <v>1118</v>
      </c>
      <c r="Z29" s="1354" t="str">
        <f t="shared" si="15"/>
        <v>建筑类型</v>
      </c>
      <c r="AA29" s="1355">
        <f t="shared" si="3"/>
        <v>1</v>
      </c>
      <c r="AB29" s="1355">
        <f t="shared" si="4"/>
        <v>1</v>
      </c>
      <c r="AC29" s="1355">
        <f t="shared" si="5"/>
        <v>1</v>
      </c>
    </row>
    <row r="30" spans="1:29" s="1039" customFormat="1" ht="14.25">
      <c r="A30" s="1043"/>
      <c r="B30" s="12" t="s">
        <v>72</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7"/>
      <c r="M30" s="2299"/>
      <c r="N30" s="2299"/>
      <c r="O30" s="2338"/>
      <c r="P30" s="3636"/>
      <c r="Q30" s="1359" t="str">
        <f t="shared" si="11"/>
        <v>项目建筑规模</v>
      </c>
      <c r="R30" s="1360" t="s">
        <v>61</v>
      </c>
      <c r="S30" s="1361" t="e">
        <f t="shared" si="12"/>
        <v>#N/A</v>
      </c>
      <c r="T30" s="1360" t="s">
        <v>61</v>
      </c>
      <c r="U30" s="1361" t="e">
        <f t="shared" si="13"/>
        <v>#N/A</v>
      </c>
      <c r="V30" s="1360" t="s">
        <v>61</v>
      </c>
      <c r="W30" s="1361" t="e">
        <f t="shared" si="14"/>
        <v>#N/A</v>
      </c>
      <c r="X30" s="1362"/>
      <c r="Y30" s="3636"/>
      <c r="Z30" s="1363" t="str">
        <f t="shared" si="15"/>
        <v>项目建筑规模</v>
      </c>
      <c r="AA30" s="1355" t="e">
        <f t="shared" si="3"/>
        <v>#N/A</v>
      </c>
      <c r="AB30" s="1355" t="e">
        <f t="shared" si="4"/>
        <v>#N/A</v>
      </c>
      <c r="AC30" s="1355" t="e">
        <f t="shared" si="5"/>
        <v>#N/A</v>
      </c>
    </row>
    <row r="31" spans="1:29" ht="15">
      <c r="A31" s="161"/>
      <c r="B31" s="12" t="s">
        <v>73</v>
      </c>
      <c r="C31" s="107"/>
      <c r="D31" s="778">
        <v>100</v>
      </c>
      <c r="E31" s="107"/>
      <c r="F31" s="804">
        <f>SUMIF(93:93,E31,94:94)-SUMIF(93:93,C31,94:94)+100</f>
        <v>100</v>
      </c>
      <c r="G31" s="107"/>
      <c r="H31" s="778">
        <f>SUMIF(93:93,G31,94:94)-SUMIF(93:93,C31,94:94)+100</f>
        <v>100</v>
      </c>
      <c r="I31" s="107"/>
      <c r="J31" s="778">
        <f>SUMIF(93:93,I31,94:94)-SUMIF(93:93,C31,94:94)+100</f>
        <v>100</v>
      </c>
      <c r="K31" s="955"/>
      <c r="L31" s="2298"/>
      <c r="M31" s="2293"/>
      <c r="N31" s="2293"/>
      <c r="O31" s="2337"/>
      <c r="P31" s="3636"/>
      <c r="Q31" s="1351" t="str">
        <f t="shared" si="11"/>
        <v>建筑结构</v>
      </c>
      <c r="R31" s="1352" t="s">
        <v>61</v>
      </c>
      <c r="S31" s="1353">
        <f t="shared" si="12"/>
        <v>100</v>
      </c>
      <c r="T31" s="1352" t="s">
        <v>61</v>
      </c>
      <c r="U31" s="1353">
        <f t="shared" si="13"/>
        <v>100</v>
      </c>
      <c r="V31" s="1352" t="s">
        <v>61</v>
      </c>
      <c r="W31" s="1353">
        <f t="shared" si="14"/>
        <v>100</v>
      </c>
      <c r="X31" s="1340"/>
      <c r="Y31" s="3636"/>
      <c r="Z31" s="1354" t="str">
        <f t="shared" si="15"/>
        <v>建筑结构</v>
      </c>
      <c r="AA31" s="1355">
        <f t="shared" si="3"/>
        <v>1</v>
      </c>
      <c r="AB31" s="1355">
        <f t="shared" si="4"/>
        <v>1</v>
      </c>
      <c r="AC31" s="1355">
        <f t="shared" si="5"/>
        <v>1</v>
      </c>
    </row>
    <row r="32" spans="1:29" ht="15">
      <c r="A32" s="161"/>
      <c r="B32" s="12" t="s">
        <v>1025</v>
      </c>
      <c r="C32" s="107"/>
      <c r="D32" s="778">
        <v>100</v>
      </c>
      <c r="E32" s="107"/>
      <c r="F32" s="804">
        <f>SUMIF(95:95,E32,96:96)-SUMIF(95:95,C32,96:96)+100</f>
        <v>100</v>
      </c>
      <c r="G32" s="107"/>
      <c r="H32" s="778">
        <f>SUMIF(95:95,G32,96:96)-SUMIF(95:95,C32,96:96)+100</f>
        <v>100</v>
      </c>
      <c r="I32" s="107"/>
      <c r="J32" s="778">
        <f>SUMIF(95:95,I32,96:96)-SUMIF(95:95,C32,96:96)+100</f>
        <v>100</v>
      </c>
      <c r="K32" s="955"/>
      <c r="L32" s="2298"/>
      <c r="M32" s="2293"/>
      <c r="N32" s="2293"/>
      <c r="O32" s="2337"/>
      <c r="P32" s="3636"/>
      <c r="Q32" s="1351" t="str">
        <f t="shared" si="11"/>
        <v>公共部分装修</v>
      </c>
      <c r="R32" s="1352" t="s">
        <v>61</v>
      </c>
      <c r="S32" s="1353">
        <f t="shared" si="12"/>
        <v>100</v>
      </c>
      <c r="T32" s="1352" t="s">
        <v>61</v>
      </c>
      <c r="U32" s="1353">
        <f t="shared" si="13"/>
        <v>100</v>
      </c>
      <c r="V32" s="1352" t="s">
        <v>61</v>
      </c>
      <c r="W32" s="1353">
        <f t="shared" si="14"/>
        <v>100</v>
      </c>
      <c r="X32" s="1340"/>
      <c r="Y32" s="3636"/>
      <c r="Z32" s="1354" t="str">
        <f t="shared" si="15"/>
        <v>公共部分装修</v>
      </c>
      <c r="AA32" s="1355">
        <f t="shared" si="3"/>
        <v>1</v>
      </c>
      <c r="AB32" s="1355">
        <f t="shared" si="4"/>
        <v>1</v>
      </c>
      <c r="AC32" s="1355">
        <f t="shared" si="5"/>
        <v>1</v>
      </c>
    </row>
    <row r="33" spans="1:29" ht="15">
      <c r="A33" s="161"/>
      <c r="B33" s="12" t="s">
        <v>1026</v>
      </c>
      <c r="C33" s="812"/>
      <c r="D33" s="778">
        <v>100</v>
      </c>
      <c r="E33" s="817"/>
      <c r="F33" s="804" t="e">
        <f>LOOKUP(E33,98:98,99:99)-LOOKUP(C33,98:98,99:99)+100</f>
        <v>#N/A</v>
      </c>
      <c r="G33" s="817"/>
      <c r="H33" s="804" t="e">
        <f>LOOKUP(G33,98:98,99:99)-LOOKUP(C33,98:98,99:99)+100</f>
        <v>#N/A</v>
      </c>
      <c r="I33" s="817"/>
      <c r="J33" s="778" t="e">
        <f>LOOKUP(I33,98:98,99:99)-LOOKUP(C33,98:98,99:99)+100</f>
        <v>#N/A</v>
      </c>
      <c r="K33" s="955"/>
      <c r="L33" s="2298"/>
      <c r="M33" s="2293"/>
      <c r="N33" s="2293"/>
      <c r="O33" s="2337"/>
      <c r="P33" s="3636"/>
      <c r="Q33" s="1351" t="str">
        <f t="shared" si="11"/>
        <v>成新度</v>
      </c>
      <c r="R33" s="1352" t="s">
        <v>61</v>
      </c>
      <c r="S33" s="1353" t="e">
        <f t="shared" si="12"/>
        <v>#N/A</v>
      </c>
      <c r="T33" s="1352" t="s">
        <v>61</v>
      </c>
      <c r="U33" s="1353" t="e">
        <f t="shared" si="13"/>
        <v>#N/A</v>
      </c>
      <c r="V33" s="1352" t="s">
        <v>61</v>
      </c>
      <c r="W33" s="1353" t="e">
        <f t="shared" si="14"/>
        <v>#N/A</v>
      </c>
      <c r="X33" s="1340"/>
      <c r="Y33" s="3636"/>
      <c r="Z33" s="1354" t="str">
        <f t="shared" si="15"/>
        <v>成新度</v>
      </c>
      <c r="AA33" s="1355" t="e">
        <f t="shared" si="3"/>
        <v>#N/A</v>
      </c>
      <c r="AB33" s="1355" t="e">
        <f t="shared" si="4"/>
        <v>#N/A</v>
      </c>
      <c r="AC33" s="1355" t="e">
        <f t="shared" si="5"/>
        <v>#N/A</v>
      </c>
    </row>
    <row r="34" spans="1:29" s="40" customFormat="1" ht="15">
      <c r="A34" s="1041"/>
      <c r="B34" s="12" t="s">
        <v>1119</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4"/>
      <c r="M34" s="2256"/>
      <c r="N34" s="2256"/>
      <c r="O34" s="2335"/>
      <c r="P34" s="3636"/>
      <c r="Q34" s="7" t="str">
        <f t="shared" si="11"/>
        <v>物业管理</v>
      </c>
      <c r="R34" s="1342" t="s">
        <v>61</v>
      </c>
      <c r="S34" s="1343">
        <f t="shared" si="12"/>
        <v>100</v>
      </c>
      <c r="T34" s="1342" t="s">
        <v>61</v>
      </c>
      <c r="U34" s="1343">
        <f t="shared" si="13"/>
        <v>100</v>
      </c>
      <c r="V34" s="1342" t="s">
        <v>61</v>
      </c>
      <c r="W34" s="1343">
        <f t="shared" si="14"/>
        <v>100</v>
      </c>
      <c r="X34" s="287"/>
      <c r="Y34" s="3636"/>
      <c r="Z34" s="288" t="str">
        <f t="shared" si="15"/>
        <v>物业管理</v>
      </c>
      <c r="AA34" s="1344">
        <f t="shared" si="3"/>
        <v>1</v>
      </c>
      <c r="AB34" s="1344">
        <f t="shared" si="4"/>
        <v>1</v>
      </c>
      <c r="AC34" s="1344">
        <f t="shared" si="5"/>
        <v>1</v>
      </c>
    </row>
    <row r="35" spans="1:29" ht="15">
      <c r="A35" s="161"/>
      <c r="B35" s="12" t="s">
        <v>2652</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298"/>
      <c r="M35" s="2293"/>
      <c r="N35" s="2293"/>
      <c r="O35" s="2337"/>
      <c r="P35" s="3636" t="s">
        <v>66</v>
      </c>
      <c r="Q35" s="1351" t="str">
        <f t="shared" si="11"/>
        <v>市政基础设施</v>
      </c>
      <c r="R35" s="1352" t="s">
        <v>61</v>
      </c>
      <c r="S35" s="1353">
        <f t="shared" si="12"/>
        <v>100</v>
      </c>
      <c r="T35" s="1352" t="s">
        <v>61</v>
      </c>
      <c r="U35" s="1353">
        <f t="shared" si="13"/>
        <v>100</v>
      </c>
      <c r="V35" s="1352" t="s">
        <v>61</v>
      </c>
      <c r="W35" s="1353">
        <f t="shared" si="14"/>
        <v>100</v>
      </c>
      <c r="X35" s="1340"/>
      <c r="Y35" s="3636" t="s">
        <v>66</v>
      </c>
      <c r="Z35" s="1354" t="str">
        <f t="shared" si="15"/>
        <v>市政基础设施</v>
      </c>
      <c r="AA35" s="1355">
        <f t="shared" si="3"/>
        <v>1</v>
      </c>
      <c r="AB35" s="1355">
        <f t="shared" si="4"/>
        <v>1</v>
      </c>
      <c r="AC35" s="1355">
        <f t="shared" si="5"/>
        <v>1</v>
      </c>
    </row>
    <row r="36" spans="1:29" ht="15">
      <c r="A36" s="161"/>
      <c r="B36" s="12" t="s">
        <v>133</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298"/>
      <c r="M36" s="2293"/>
      <c r="N36" s="2293"/>
      <c r="O36" s="2337"/>
      <c r="P36" s="3636"/>
      <c r="Q36" s="1351" t="str">
        <f t="shared" si="11"/>
        <v>内部装修</v>
      </c>
      <c r="R36" s="1352" t="s">
        <v>61</v>
      </c>
      <c r="S36" s="1353">
        <f t="shared" si="12"/>
        <v>100</v>
      </c>
      <c r="T36" s="1352" t="s">
        <v>61</v>
      </c>
      <c r="U36" s="1353">
        <f t="shared" si="13"/>
        <v>100</v>
      </c>
      <c r="V36" s="1352" t="s">
        <v>61</v>
      </c>
      <c r="W36" s="1353">
        <f t="shared" si="14"/>
        <v>100</v>
      </c>
      <c r="X36" s="1340"/>
      <c r="Y36" s="3636"/>
      <c r="Z36" s="1354" t="str">
        <f t="shared" si="15"/>
        <v>内部装修</v>
      </c>
      <c r="AA36" s="1355">
        <f t="shared" si="3"/>
        <v>1</v>
      </c>
      <c r="AB36" s="1355">
        <f t="shared" si="4"/>
        <v>1</v>
      </c>
      <c r="AC36" s="1355">
        <f t="shared" si="5"/>
        <v>1</v>
      </c>
    </row>
    <row r="37" spans="1:29" ht="15">
      <c r="A37" s="161"/>
      <c r="B37" s="12" t="s">
        <v>1120</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298"/>
      <c r="M37" s="2293"/>
      <c r="N37" s="2293"/>
      <c r="O37" s="2337"/>
      <c r="P37" s="3636"/>
      <c r="Q37" s="1351" t="str">
        <f t="shared" si="11"/>
        <v>内部装修状况</v>
      </c>
      <c r="R37" s="1352" t="s">
        <v>61</v>
      </c>
      <c r="S37" s="1353">
        <f t="shared" si="12"/>
        <v>100</v>
      </c>
      <c r="T37" s="1352" t="s">
        <v>61</v>
      </c>
      <c r="U37" s="1353">
        <f t="shared" si="13"/>
        <v>100</v>
      </c>
      <c r="V37" s="1352" t="s">
        <v>61</v>
      </c>
      <c r="W37" s="1353">
        <f t="shared" si="14"/>
        <v>100</v>
      </c>
      <c r="X37" s="1340"/>
      <c r="Y37" s="3636"/>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297"/>
      <c r="M38" s="2299"/>
      <c r="N38" s="2299"/>
      <c r="O38" s="2338"/>
      <c r="P38" s="3636"/>
      <c r="Q38" s="1359">
        <f t="shared" si="11"/>
        <v>111</v>
      </c>
      <c r="R38" s="1360" t="s">
        <v>61</v>
      </c>
      <c r="S38" s="1361">
        <f t="shared" si="12"/>
        <v>100</v>
      </c>
      <c r="T38" s="1360" t="s">
        <v>61</v>
      </c>
      <c r="U38" s="1361">
        <f t="shared" si="13"/>
        <v>100</v>
      </c>
      <c r="V38" s="1360" t="s">
        <v>61</v>
      </c>
      <c r="W38" s="1361">
        <f t="shared" si="14"/>
        <v>100</v>
      </c>
      <c r="X38" s="1362"/>
      <c r="Y38" s="3636"/>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298"/>
      <c r="M39" s="2293"/>
      <c r="N39" s="2293"/>
      <c r="O39" s="2337"/>
      <c r="P39" s="3636"/>
      <c r="Q39" s="1351">
        <f t="shared" si="11"/>
        <v>111</v>
      </c>
      <c r="R39" s="1352" t="s">
        <v>61</v>
      </c>
      <c r="S39" s="1353">
        <f t="shared" si="12"/>
        <v>100</v>
      </c>
      <c r="T39" s="1352" t="s">
        <v>61</v>
      </c>
      <c r="U39" s="1353">
        <f t="shared" si="13"/>
        <v>100</v>
      </c>
      <c r="V39" s="1352" t="s">
        <v>61</v>
      </c>
      <c r="W39" s="1353">
        <f t="shared" si="14"/>
        <v>100</v>
      </c>
      <c r="X39" s="1340"/>
      <c r="Y39" s="3636"/>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298"/>
      <c r="M40" s="2293"/>
      <c r="N40" s="2293"/>
      <c r="O40" s="2337"/>
      <c r="P40" s="3637"/>
      <c r="Q40" s="1351">
        <f t="shared" si="11"/>
        <v>111</v>
      </c>
      <c r="R40" s="1352" t="s">
        <v>61</v>
      </c>
      <c r="S40" s="1353">
        <f t="shared" si="12"/>
        <v>100</v>
      </c>
      <c r="T40" s="1352" t="s">
        <v>61</v>
      </c>
      <c r="U40" s="1353">
        <f t="shared" si="13"/>
        <v>100</v>
      </c>
      <c r="V40" s="1352" t="s">
        <v>61</v>
      </c>
      <c r="W40" s="1353">
        <f t="shared" si="14"/>
        <v>100</v>
      </c>
      <c r="X40" s="1340"/>
      <c r="Y40" s="3637"/>
      <c r="Z40" s="1354">
        <f t="shared" si="15"/>
        <v>111</v>
      </c>
      <c r="AA40" s="1355">
        <f t="shared" si="3"/>
        <v>1</v>
      </c>
      <c r="AB40" s="1355">
        <f t="shared" si="4"/>
        <v>1</v>
      </c>
      <c r="AC40" s="1355">
        <f t="shared" si="5"/>
        <v>1</v>
      </c>
    </row>
    <row r="41" spans="1:29" ht="15">
      <c r="A41" s="163" t="s">
        <v>98</v>
      </c>
      <c r="B41" s="164"/>
      <c r="C41" s="2833" t="s">
        <v>23</v>
      </c>
      <c r="D41" s="2834"/>
      <c r="E41" s="2835"/>
      <c r="F41" s="2836"/>
      <c r="G41" s="2837"/>
      <c r="H41" s="2838"/>
      <c r="I41" s="2835"/>
      <c r="J41" s="2838"/>
      <c r="K41" s="1393"/>
      <c r="L41" s="2300"/>
      <c r="M41" s="2301"/>
      <c r="N41" s="2293"/>
      <c r="O41" s="2301"/>
      <c r="P41" s="3629" t="str">
        <f>A41</f>
        <v>成交单价（元/平方米）</v>
      </c>
      <c r="Q41" s="3629"/>
      <c r="R41" s="3630">
        <f>E41</f>
        <v>0</v>
      </c>
      <c r="S41" s="3630"/>
      <c r="T41" s="3630">
        <f>G41</f>
        <v>0</v>
      </c>
      <c r="U41" s="3630"/>
      <c r="V41" s="3630">
        <f>I41</f>
        <v>0</v>
      </c>
      <c r="W41" s="3630"/>
      <c r="X41" s="1365"/>
      <c r="Y41" s="1366"/>
      <c r="Z41" s="1365"/>
      <c r="AA41" s="1365"/>
      <c r="AB41" s="1365"/>
      <c r="AC41" s="1365"/>
    </row>
    <row r="42" spans="1:29" ht="15.75" thickBot="1">
      <c r="A42" s="165" t="s">
        <v>96</v>
      </c>
      <c r="B42" s="166"/>
      <c r="C42" s="2839" t="e">
        <f>R43</f>
        <v>#DIV/0!</v>
      </c>
      <c r="D42" s="2840"/>
      <c r="E42" s="2841" t="e">
        <f>R42</f>
        <v>#DIV/0!</v>
      </c>
      <c r="F42" s="2841"/>
      <c r="G42" s="2839" t="e">
        <f>T42</f>
        <v>#DIV/0!</v>
      </c>
      <c r="H42" s="2840"/>
      <c r="I42" s="2841" t="e">
        <f>V42</f>
        <v>#DIV/0!</v>
      </c>
      <c r="J42" s="2840"/>
      <c r="K42" s="1394"/>
      <c r="L42" s="2300"/>
      <c r="M42" s="2301"/>
      <c r="N42" s="2293"/>
      <c r="O42" s="2301"/>
      <c r="P42" s="3629" t="str">
        <f>A42</f>
        <v>比较价值（元/平方米）</v>
      </c>
      <c r="Q42" s="3629"/>
      <c r="R42" s="3630" t="e">
        <f>IF(F1="售价",ROUND(PRODUCT(R41,AA7:AA40),0),ROUND(PRODUCT(R41,AA7:AA40),1))</f>
        <v>#DIV/0!</v>
      </c>
      <c r="S42" s="3630"/>
      <c r="T42" s="3630" t="e">
        <f>IF(F1="售价",ROUND(PRODUCT(T41,AB7:AB40),0),ROUND(PRODUCT(T41,AB7:AB40),1))</f>
        <v>#DIV/0!</v>
      </c>
      <c r="U42" s="3630"/>
      <c r="V42" s="3630" t="e">
        <f>IF(F1="售价",ROUND(PRODUCT(V41,AC7:AC40),0),ROUND(PRODUCT(V41,AC7:AC40),1))</f>
        <v>#DIV/0!</v>
      </c>
      <c r="W42" s="3630"/>
      <c r="X42" s="1365"/>
      <c r="Y42" s="1365"/>
      <c r="Z42" s="1365"/>
      <c r="AA42" s="1365"/>
      <c r="AB42" s="1365"/>
      <c r="AC42" s="1365"/>
    </row>
    <row r="43" spans="1:29" ht="15.75" thickBot="1">
      <c r="A43" s="115" t="s">
        <v>3016</v>
      </c>
      <c r="B43" s="116"/>
      <c r="C43" s="2843" t="e">
        <f>R43</f>
        <v>#DIV/0!</v>
      </c>
      <c r="D43" s="2843"/>
      <c r="E43" s="2843"/>
      <c r="F43" s="2843"/>
      <c r="G43" s="2843"/>
      <c r="H43" s="2843"/>
      <c r="I43" s="2843"/>
      <c r="J43" s="2843"/>
      <c r="K43" s="1395"/>
      <c r="L43" s="2300"/>
      <c r="M43" s="2301"/>
      <c r="N43" s="2301"/>
      <c r="O43" s="2301"/>
      <c r="P43" s="3626" t="str">
        <f>A43</f>
        <v>估价对象XX用房的比较价值（楼面单价，元/平方米）</v>
      </c>
      <c r="Q43" s="3627"/>
      <c r="R43" s="3628" t="e">
        <f>IF(F1="售价",ROUND(AVERAGE(R42:V42),0),ROUND(AVERAGE(R42:V42),1))</f>
        <v>#DIV/0!</v>
      </c>
      <c r="S43" s="3628"/>
      <c r="T43" s="3628"/>
      <c r="U43" s="3628"/>
      <c r="V43" s="3628"/>
      <c r="W43" s="3628"/>
      <c r="X43" s="1365"/>
      <c r="Y43" s="1365"/>
      <c r="Z43" s="1365"/>
      <c r="AA43" s="1365"/>
      <c r="AB43" s="1365"/>
      <c r="AC43" s="1365"/>
    </row>
    <row r="44" spans="1:29">
      <c r="A44" s="2301"/>
      <c r="B44" s="2301"/>
      <c r="C44" s="2301"/>
      <c r="D44" s="2301"/>
      <c r="E44" s="2301"/>
      <c r="F44" s="2301"/>
      <c r="G44" s="2310"/>
      <c r="H44" s="2301"/>
      <c r="I44" s="2301"/>
      <c r="J44" s="2301"/>
      <c r="K44" s="2302"/>
      <c r="L44" s="2303"/>
      <c r="M44" s="2301"/>
      <c r="N44" s="2301"/>
      <c r="O44" s="2301"/>
    </row>
    <row r="45" spans="1:29">
      <c r="A45" s="2301"/>
      <c r="B45" s="2301"/>
      <c r="C45" s="2301"/>
      <c r="D45" s="2301"/>
      <c r="E45" s="2301"/>
      <c r="F45" s="2301"/>
      <c r="G45" s="2301"/>
      <c r="H45" s="2301"/>
      <c r="I45" s="2301"/>
      <c r="J45" s="2301"/>
      <c r="K45" s="2302"/>
      <c r="L45" s="2303"/>
      <c r="M45" s="2301"/>
      <c r="N45" s="2301"/>
      <c r="O45" s="2301"/>
    </row>
    <row r="46" spans="1:29" ht="13.5" customHeight="1">
      <c r="A46" s="2301"/>
      <c r="B46" s="2301"/>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2"/>
      <c r="L46" s="2303"/>
      <c r="M46" s="2301"/>
      <c r="N46" s="2301"/>
      <c r="O46" s="2301"/>
    </row>
    <row r="47" spans="1:29" ht="13.5" customHeight="1">
      <c r="A47" s="2301"/>
      <c r="B47" s="2301"/>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2"/>
      <c r="L47" s="2303"/>
      <c r="M47" s="2301"/>
      <c r="N47" s="2301"/>
      <c r="O47" s="2301"/>
    </row>
    <row r="48" spans="1:29" s="119" customFormat="1" ht="13.5" customHeight="1">
      <c r="A48" s="2306"/>
      <c r="B48" s="2306"/>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4"/>
      <c r="L48" s="2305"/>
      <c r="M48" s="2306"/>
      <c r="N48" s="2306"/>
      <c r="O48" s="2306"/>
    </row>
    <row r="49" spans="1:17" s="119" customFormat="1">
      <c r="A49" s="2306"/>
      <c r="B49" s="2311"/>
      <c r="C49" s="2312"/>
      <c r="D49" s="2306"/>
      <c r="E49" s="2306"/>
      <c r="F49" s="2306"/>
      <c r="G49" s="2306"/>
      <c r="H49" s="2306"/>
      <c r="I49" s="2306"/>
      <c r="J49" s="2306"/>
      <c r="K49" s="2304"/>
      <c r="L49" s="2305"/>
      <c r="M49" s="2306"/>
      <c r="N49" s="2306"/>
      <c r="O49" s="2306"/>
    </row>
    <row r="50" spans="1:17">
      <c r="A50" s="2301"/>
      <c r="B50" s="2311"/>
      <c r="C50" s="2312"/>
      <c r="D50" s="2301"/>
      <c r="E50" s="2301"/>
      <c r="F50" s="2301"/>
      <c r="G50" s="2301"/>
      <c r="H50" s="2301"/>
      <c r="I50" s="2301"/>
      <c r="J50" s="2301"/>
      <c r="K50" s="2302"/>
      <c r="L50" s="2303"/>
      <c r="M50" s="2301"/>
      <c r="N50" s="2301"/>
      <c r="O50" s="2301"/>
    </row>
    <row r="51" spans="1:17" ht="21" thickBot="1">
      <c r="A51" s="1372" t="s">
        <v>123</v>
      </c>
      <c r="B51" s="1365"/>
      <c r="C51" s="1373"/>
      <c r="D51" s="1373"/>
      <c r="E51" s="1373"/>
      <c r="F51" s="1374"/>
      <c r="G51" s="1374"/>
      <c r="H51" s="1373"/>
      <c r="I51" s="1373"/>
      <c r="J51" s="1373"/>
      <c r="K51" s="2307"/>
      <c r="L51" s="2308"/>
      <c r="M51" s="2309"/>
      <c r="N51" s="2309"/>
      <c r="O51" s="2309"/>
      <c r="P51" s="120"/>
      <c r="Q51" s="121"/>
    </row>
    <row r="52" spans="1:17" s="851" customFormat="1" ht="15">
      <c r="A52" s="848" t="s">
        <v>2792</v>
      </c>
      <c r="B52" s="849"/>
      <c r="C52" s="3042" t="str">
        <f>YEAR(C7)&amp;"-"&amp;MONTH(C7)</f>
        <v>2017-8</v>
      </c>
      <c r="D52" s="3043">
        <f>EDATE(C52,-1)</f>
        <v>42917</v>
      </c>
      <c r="E52" s="3043">
        <f t="shared" ref="E52:O52" si="16">EDATE(D52,-1)</f>
        <v>42887</v>
      </c>
      <c r="F52" s="3043">
        <f t="shared" si="16"/>
        <v>42856</v>
      </c>
      <c r="G52" s="3043">
        <f t="shared" si="16"/>
        <v>42826</v>
      </c>
      <c r="H52" s="3043">
        <f t="shared" si="16"/>
        <v>42795</v>
      </c>
      <c r="I52" s="3043">
        <f t="shared" si="16"/>
        <v>42767</v>
      </c>
      <c r="J52" s="3043">
        <f t="shared" si="16"/>
        <v>42736</v>
      </c>
      <c r="K52" s="3043">
        <f t="shared" si="16"/>
        <v>42705</v>
      </c>
      <c r="L52" s="3043">
        <f t="shared" si="16"/>
        <v>42675</v>
      </c>
      <c r="M52" s="3043">
        <f t="shared" si="16"/>
        <v>42644</v>
      </c>
      <c r="N52" s="3043">
        <f t="shared" si="16"/>
        <v>42614</v>
      </c>
      <c r="O52" s="3043">
        <f t="shared" si="16"/>
        <v>42583</v>
      </c>
      <c r="P52" s="850"/>
    </row>
    <row r="53" spans="1:17" s="40" customFormat="1" ht="14.25">
      <c r="A53" s="1045"/>
      <c r="B53" s="1046"/>
      <c r="C53" s="3040">
        <v>100</v>
      </c>
      <c r="D53" s="855"/>
      <c r="E53" s="855"/>
      <c r="F53" s="855"/>
      <c r="G53" s="855"/>
      <c r="H53" s="855"/>
      <c r="I53" s="855"/>
      <c r="J53" s="855"/>
      <c r="K53" s="855"/>
      <c r="L53" s="855"/>
      <c r="M53" s="856"/>
      <c r="N53" s="855"/>
      <c r="O53" s="857"/>
      <c r="P53" s="121"/>
    </row>
    <row r="54" spans="1:17" s="40" customFormat="1" ht="15" thickBot="1">
      <c r="A54" s="1047" t="s">
        <v>114</v>
      </c>
      <c r="B54" s="1048"/>
      <c r="C54" s="860"/>
      <c r="D54" s="861"/>
      <c r="E54" s="861"/>
      <c r="F54" s="861"/>
      <c r="G54" s="861"/>
      <c r="H54" s="861"/>
      <c r="I54" s="861"/>
      <c r="J54" s="861"/>
      <c r="K54" s="861"/>
      <c r="L54" s="861"/>
      <c r="M54" s="862"/>
      <c r="N54" s="861"/>
      <c r="O54" s="863"/>
      <c r="P54" s="121"/>
      <c r="Q54" s="121"/>
    </row>
    <row r="55" spans="1:17" s="40" customFormat="1">
      <c r="A55" s="1049" t="s">
        <v>62</v>
      </c>
      <c r="B55" s="1046"/>
      <c r="C55" s="1050" t="s">
        <v>112</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63</v>
      </c>
      <c r="B57" s="286" t="s">
        <v>64</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102</v>
      </c>
      <c r="C59" s="882" t="s">
        <v>1005</v>
      </c>
      <c r="D59" s="882" t="s">
        <v>1006</v>
      </c>
      <c r="E59" s="882" t="s">
        <v>1007</v>
      </c>
      <c r="F59" s="882" t="s">
        <v>1008</v>
      </c>
      <c r="G59" s="882" t="s">
        <v>1009</v>
      </c>
      <c r="H59" s="882" t="s">
        <v>1010</v>
      </c>
      <c r="I59" s="882" t="s">
        <v>1011</v>
      </c>
      <c r="J59" s="882"/>
      <c r="K59" s="883"/>
      <c r="L59" s="884"/>
      <c r="M59" s="885"/>
      <c r="N59" s="1389"/>
      <c r="O59" s="1389"/>
      <c r="P59" s="1"/>
      <c r="Q59" s="121"/>
    </row>
    <row r="60" spans="1:17" ht="15" thickBot="1">
      <c r="A60" s="173"/>
      <c r="B60" s="1055"/>
      <c r="C60" s="887" t="s">
        <v>134</v>
      </c>
      <c r="D60" s="887" t="s">
        <v>135</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89</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65</v>
      </c>
      <c r="B70" s="286" t="s">
        <v>155</v>
      </c>
      <c r="C70" s="916" t="s">
        <v>1012</v>
      </c>
      <c r="D70" s="916" t="s">
        <v>1013</v>
      </c>
      <c r="E70" s="916" t="s">
        <v>1014</v>
      </c>
      <c r="F70" s="916" t="s">
        <v>1015</v>
      </c>
      <c r="G70" s="916" t="s">
        <v>1016</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88</v>
      </c>
      <c r="C72" s="921" t="s">
        <v>1012</v>
      </c>
      <c r="D72" s="921" t="s">
        <v>1013</v>
      </c>
      <c r="E72" s="921" t="s">
        <v>1014</v>
      </c>
      <c r="F72" s="921" t="s">
        <v>1015</v>
      </c>
      <c r="G72" s="921" t="s">
        <v>1016</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2634</v>
      </c>
      <c r="C74" s="921" t="s">
        <v>1012</v>
      </c>
      <c r="D74" s="921" t="s">
        <v>1013</v>
      </c>
      <c r="E74" s="921" t="s">
        <v>1014</v>
      </c>
      <c r="F74" s="921" t="s">
        <v>1015</v>
      </c>
      <c r="G74" s="921" t="s">
        <v>1016</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2662</v>
      </c>
      <c r="C76" s="213" t="s">
        <v>2654</v>
      </c>
      <c r="D76" s="213" t="s">
        <v>2655</v>
      </c>
      <c r="E76" s="213" t="s">
        <v>2656</v>
      </c>
      <c r="F76" s="213" t="s">
        <v>2657</v>
      </c>
      <c r="G76" s="213" t="s">
        <v>2658</v>
      </c>
      <c r="H76" s="882"/>
      <c r="I76" s="882"/>
      <c r="J76" s="882"/>
      <c r="K76" s="882"/>
      <c r="L76" s="882"/>
      <c r="M76" s="2762"/>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145</v>
      </c>
      <c r="C78" s="921" t="s">
        <v>1012</v>
      </c>
      <c r="D78" s="921" t="s">
        <v>1013</v>
      </c>
      <c r="E78" s="921" t="s">
        <v>1014</v>
      </c>
      <c r="F78" s="921" t="s">
        <v>1015</v>
      </c>
      <c r="G78" s="921" t="s">
        <v>1016</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66</v>
      </c>
      <c r="B88" s="286" t="s">
        <v>119</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92</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91</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120</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108</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121</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2636</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122</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148</v>
      </c>
      <c r="C106" s="921" t="s">
        <v>1012</v>
      </c>
      <c r="D106" s="921" t="s">
        <v>1013</v>
      </c>
      <c r="E106" s="921" t="s">
        <v>1014</v>
      </c>
      <c r="F106" s="921" t="s">
        <v>1015</v>
      </c>
      <c r="G106" s="921" t="s">
        <v>1016</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7" sqref="I7"/>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19"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384</v>
      </c>
      <c r="B1" s="3122"/>
      <c r="C1" s="3123" t="s">
        <v>440</v>
      </c>
      <c r="D1" s="3124"/>
      <c r="E1" s="3125"/>
      <c r="F1" s="3106"/>
      <c r="G1" s="3126" t="s">
        <v>441</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442</v>
      </c>
      <c r="B2" s="2844" t="e">
        <f ca="1">IF(C2="——",IF(B37="元/平方米",ROUND(C39*D3/10000,0),ROUND(F3*C39/10000,0)),IF(B37="元/平方米",ROUND(C39*D3/10000,0),ROUND(F3*C39/10000,0))-D2)</f>
        <v>#DIV/0!</v>
      </c>
      <c r="C2" s="3098"/>
      <c r="D2" s="2339" t="e">
        <f ca="1">SUMIF(INDIRECT("'"&amp;F2&amp;"'"&amp;"!A:A"),"承租人权益价值",INDIRECT("'"&amp;F2&amp;"'"&amp;"!c:c"))</f>
        <v>#REF!</v>
      </c>
      <c r="E2" s="3099" t="s">
        <v>864</v>
      </c>
      <c r="F2" s="3100"/>
      <c r="G2" s="2340"/>
      <c r="H2" s="2340"/>
      <c r="I2" s="2340"/>
      <c r="J2" s="2340"/>
      <c r="K2" s="2342"/>
      <c r="L2" s="2343"/>
      <c r="M2" s="2344"/>
      <c r="N2" s="2344"/>
      <c r="O2" s="2344"/>
      <c r="P2" s="2845"/>
      <c r="Q2" s="1316"/>
      <c r="R2" s="1316"/>
      <c r="S2" s="1316"/>
      <c r="T2" s="1316"/>
      <c r="U2" s="1316"/>
      <c r="V2" s="1316"/>
      <c r="W2" s="1316"/>
      <c r="X2" s="1316"/>
      <c r="Y2" s="1316"/>
      <c r="Z2" s="1316"/>
      <c r="AA2" s="1316"/>
      <c r="AB2" s="1316"/>
      <c r="AC2" s="1317"/>
    </row>
    <row r="3" spans="1:29" s="741" customFormat="1" ht="28.5" customHeight="1" thickBot="1">
      <c r="A3" s="579" t="s">
        <v>443</v>
      </c>
      <c r="B3" s="952" t="e">
        <f ca="1">IF(AND(C2="——",B37="元/平方米"),C39,ROUND(B2*10000/D3,0))</f>
        <v>#DIV/0!</v>
      </c>
      <c r="C3" s="743" t="s">
        <v>444</v>
      </c>
      <c r="D3" s="742">
        <f>SUMIF('数据-汇总表'!$C19:$C33,D1,'数据-汇总表'!$E19:$E33)</f>
        <v>0</v>
      </c>
      <c r="E3" s="743" t="s">
        <v>2129</v>
      </c>
      <c r="F3" s="742">
        <f>SUMIF('数据-取费表'!A5:A15,D1,'数据-取费表'!AH5:AH15)</f>
        <v>0</v>
      </c>
      <c r="G3" s="2340"/>
      <c r="H3" s="2340"/>
      <c r="I3" s="2340"/>
      <c r="J3" s="2340"/>
      <c r="K3" s="2342"/>
      <c r="L3" s="2343"/>
      <c r="M3" s="2344"/>
      <c r="N3" s="2344"/>
      <c r="O3" s="2344"/>
      <c r="P3" s="2845"/>
      <c r="Q3" s="1316"/>
      <c r="R3" s="1316"/>
      <c r="S3" s="1316"/>
      <c r="T3" s="1316"/>
      <c r="U3" s="1316"/>
      <c r="V3" s="1316"/>
      <c r="W3" s="1316"/>
      <c r="X3" s="1316"/>
      <c r="Y3" s="1316"/>
      <c r="Z3" s="1316"/>
      <c r="AA3" s="1316"/>
      <c r="AB3" s="1409"/>
      <c r="AC3" s="1399"/>
    </row>
    <row r="4" spans="1:29" ht="15">
      <c r="A4" s="744" t="s">
        <v>445</v>
      </c>
      <c r="B4" s="745"/>
      <c r="C4" s="3674" t="s">
        <v>446</v>
      </c>
      <c r="D4" s="3675"/>
      <c r="E4" s="3676" t="s">
        <v>447</v>
      </c>
      <c r="F4" s="3677"/>
      <c r="G4" s="3674" t="s">
        <v>448</v>
      </c>
      <c r="H4" s="3675"/>
      <c r="I4" s="3674" t="s">
        <v>449</v>
      </c>
      <c r="J4" s="3675"/>
      <c r="K4" s="953" t="s">
        <v>450</v>
      </c>
      <c r="L4" s="2345"/>
      <c r="M4" s="2346"/>
      <c r="N4" s="2346"/>
      <c r="O4" s="2346"/>
      <c r="P4" s="3678" t="s">
        <v>451</v>
      </c>
      <c r="Q4" s="3679"/>
      <c r="R4" s="3661" t="s">
        <v>447</v>
      </c>
      <c r="S4" s="3662"/>
      <c r="T4" s="3661" t="s">
        <v>448</v>
      </c>
      <c r="U4" s="3662"/>
      <c r="V4" s="3686" t="s">
        <v>449</v>
      </c>
      <c r="W4" s="3686"/>
      <c r="X4" s="2830"/>
      <c r="Y4" s="3661" t="s">
        <v>451</v>
      </c>
      <c r="Z4" s="3662"/>
      <c r="AA4" s="3656" t="s">
        <v>447</v>
      </c>
      <c r="AB4" s="3657" t="s">
        <v>448</v>
      </c>
      <c r="AC4" s="3656" t="s">
        <v>449</v>
      </c>
    </row>
    <row r="5" spans="1:29" ht="15">
      <c r="A5" s="747"/>
      <c r="B5" s="748"/>
      <c r="C5" s="3667" t="s">
        <v>3017</v>
      </c>
      <c r="D5" s="3668"/>
      <c r="E5" s="3665" t="s">
        <v>3018</v>
      </c>
      <c r="F5" s="3666"/>
      <c r="G5" s="3667" t="s">
        <v>3019</v>
      </c>
      <c r="H5" s="3668"/>
      <c r="I5" s="3667" t="s">
        <v>3020</v>
      </c>
      <c r="J5" s="3668"/>
      <c r="K5" s="953"/>
      <c r="L5" s="2345"/>
      <c r="M5" s="2346"/>
      <c r="N5" s="2346"/>
      <c r="O5" s="2346"/>
      <c r="P5" s="3680"/>
      <c r="Q5" s="3681"/>
      <c r="R5" s="3663"/>
      <c r="S5" s="3664"/>
      <c r="T5" s="3663"/>
      <c r="U5" s="3664"/>
      <c r="V5" s="3686"/>
      <c r="W5" s="3686"/>
      <c r="X5" s="2830"/>
      <c r="Y5" s="3663"/>
      <c r="Z5" s="3664"/>
      <c r="AA5" s="3657"/>
      <c r="AB5" s="3657"/>
      <c r="AC5" s="3657"/>
    </row>
    <row r="6" spans="1:29" ht="15.75" thickBot="1">
      <c r="A6" s="749"/>
      <c r="B6" s="750"/>
      <c r="C6" s="3669" t="s">
        <v>3021</v>
      </c>
      <c r="D6" s="3670"/>
      <c r="E6" s="3671" t="s">
        <v>3021</v>
      </c>
      <c r="F6" s="3672"/>
      <c r="G6" s="3669" t="s">
        <v>3021</v>
      </c>
      <c r="H6" s="3670"/>
      <c r="I6" s="3669" t="s">
        <v>3021</v>
      </c>
      <c r="J6" s="3670"/>
      <c r="K6" s="953" t="s">
        <v>393</v>
      </c>
      <c r="L6" s="2345"/>
      <c r="M6" s="2346"/>
      <c r="N6" s="2346"/>
      <c r="O6" s="2346"/>
      <c r="P6" s="3682"/>
      <c r="Q6" s="3683"/>
      <c r="R6" s="3663"/>
      <c r="S6" s="3664"/>
      <c r="T6" s="3684"/>
      <c r="U6" s="3685"/>
      <c r="V6" s="3686"/>
      <c r="W6" s="3686"/>
      <c r="X6" s="2830"/>
      <c r="Y6" s="3684"/>
      <c r="Z6" s="3685"/>
      <c r="AA6" s="3658"/>
      <c r="AB6" s="3658"/>
      <c r="AC6" s="3658"/>
    </row>
    <row r="7" spans="1:29" s="407" customFormat="1" ht="15.75" thickBot="1">
      <c r="A7" s="751" t="s">
        <v>394</v>
      </c>
      <c r="B7" s="752"/>
      <c r="C7" s="753">
        <f>'数据-取费表'!B2</f>
        <v>42956</v>
      </c>
      <c r="D7" s="754">
        <v>100</v>
      </c>
      <c r="E7" s="755"/>
      <c r="F7" s="756">
        <f>SUMIF(48:48,YEAR(E7)&amp;"-"&amp;MONTH(E7),49:49)</f>
        <v>0</v>
      </c>
      <c r="G7" s="755"/>
      <c r="H7" s="754">
        <f>SUMIF(48:48,YEAR(G7)&amp;"-"&amp;MONTH(G7),49:49)</f>
        <v>0</v>
      </c>
      <c r="I7" s="755"/>
      <c r="J7" s="754">
        <f>SUMIF(48:48,YEAR(I7)&amp;"-"&amp;MONTH(I7),49:49)</f>
        <v>0</v>
      </c>
      <c r="K7" s="954"/>
      <c r="L7" s="2347"/>
      <c r="M7" s="2348"/>
      <c r="N7" s="2348"/>
      <c r="O7" s="2348"/>
      <c r="P7" s="3659" t="s">
        <v>395</v>
      </c>
      <c r="Q7" s="3687"/>
      <c r="R7" s="1319" t="s">
        <v>61</v>
      </c>
      <c r="S7" s="1320">
        <f t="shared" ref="S7:S14" si="0">F7</f>
        <v>0</v>
      </c>
      <c r="T7" s="1319" t="s">
        <v>61</v>
      </c>
      <c r="U7" s="1320">
        <f t="shared" ref="U7:U14" si="1">H7</f>
        <v>0</v>
      </c>
      <c r="V7" s="1319" t="s">
        <v>61</v>
      </c>
      <c r="W7" s="1320">
        <f t="shared" ref="W7:W14" si="2">J7</f>
        <v>0</v>
      </c>
      <c r="X7" s="1321"/>
      <c r="Y7" s="3659" t="s">
        <v>395</v>
      </c>
      <c r="Z7" s="3660"/>
      <c r="AA7" s="1322" t="e">
        <f>D7/F7</f>
        <v>#DIV/0!</v>
      </c>
      <c r="AB7" s="1322" t="e">
        <f>D7/H7</f>
        <v>#DIV/0!</v>
      </c>
      <c r="AC7" s="1322" t="e">
        <f>D7/J7</f>
        <v>#DIV/0!</v>
      </c>
    </row>
    <row r="8" spans="1:29" s="407" customFormat="1" ht="15.75" thickBot="1">
      <c r="A8" s="751" t="s">
        <v>396</v>
      </c>
      <c r="B8" s="752"/>
      <c r="C8" s="757" t="s">
        <v>413</v>
      </c>
      <c r="D8" s="754">
        <v>100</v>
      </c>
      <c r="E8" s="757"/>
      <c r="F8" s="756">
        <f>SUMIF(51:51,E8,52:52)-SUMIF(51:51,C8,52:52)+100</f>
        <v>0</v>
      </c>
      <c r="G8" s="757"/>
      <c r="H8" s="754">
        <f>SUMIF(51:51,G8,52:52)-SUMIF(51:51,C8,52:52)+100</f>
        <v>0</v>
      </c>
      <c r="I8" s="757"/>
      <c r="J8" s="754">
        <f>SUMIF(51:51,I8,52:52)-SUMIF(51:51,C8,52:52)+100</f>
        <v>0</v>
      </c>
      <c r="K8" s="954"/>
      <c r="L8" s="2347"/>
      <c r="M8" s="2348"/>
      <c r="N8" s="2348"/>
      <c r="O8" s="2348"/>
      <c r="P8" s="3659" t="s">
        <v>431</v>
      </c>
      <c r="Q8" s="3660"/>
      <c r="R8" s="1319" t="s">
        <v>61</v>
      </c>
      <c r="S8" s="1320">
        <f t="shared" si="0"/>
        <v>0</v>
      </c>
      <c r="T8" s="1319" t="s">
        <v>61</v>
      </c>
      <c r="U8" s="1320">
        <f t="shared" si="1"/>
        <v>0</v>
      </c>
      <c r="V8" s="1319" t="s">
        <v>61</v>
      </c>
      <c r="W8" s="1320">
        <f t="shared" si="2"/>
        <v>0</v>
      </c>
      <c r="X8" s="1321"/>
      <c r="Y8" s="3659" t="s">
        <v>431</v>
      </c>
      <c r="Z8" s="3660"/>
      <c r="AA8" s="1322" t="e">
        <f t="shared" ref="AA8:AA36" si="3">D8/F8</f>
        <v>#DIV/0!</v>
      </c>
      <c r="AB8" s="1322" t="e">
        <f t="shared" ref="AB8:AB36" si="4">D8/H8</f>
        <v>#DIV/0!</v>
      </c>
      <c r="AC8" s="1322" t="e">
        <f t="shared" ref="AC8:AC36" si="5">D8/J8</f>
        <v>#DIV/0!</v>
      </c>
    </row>
    <row r="9" spans="1:29" s="407" customFormat="1">
      <c r="A9" s="358" t="s">
        <v>397</v>
      </c>
      <c r="B9" s="983" t="s">
        <v>415</v>
      </c>
      <c r="C9" s="759"/>
      <c r="D9" s="425">
        <v>100</v>
      </c>
      <c r="E9" s="762"/>
      <c r="F9" s="425">
        <f>SUMIF(53:53,E9,54:54)-SUMIF(53:53,C9,54:54)+100</f>
        <v>100</v>
      </c>
      <c r="G9" s="760"/>
      <c r="H9" s="425">
        <f>SUMIF(53:53,G9,54:54)-SUMIF(53:53,C9,54:54)+100</f>
        <v>100</v>
      </c>
      <c r="I9" s="760"/>
      <c r="J9" s="425">
        <f>SUMIF(53:53,I9,54:54)-SUMIF(53:53,C9,54:54)+100</f>
        <v>100</v>
      </c>
      <c r="K9" s="954"/>
      <c r="L9" s="2347"/>
      <c r="M9" s="2348"/>
      <c r="N9" s="2348"/>
      <c r="O9" s="2348"/>
      <c r="P9" s="3673" t="s">
        <v>398</v>
      </c>
      <c r="Q9" s="2829" t="str">
        <f t="shared" ref="Q9:Q14" si="6">B9</f>
        <v>用途</v>
      </c>
      <c r="R9" s="1319" t="s">
        <v>61</v>
      </c>
      <c r="S9" s="1320">
        <f t="shared" si="0"/>
        <v>100</v>
      </c>
      <c r="T9" s="1319" t="s">
        <v>61</v>
      </c>
      <c r="U9" s="1320">
        <f t="shared" si="1"/>
        <v>100</v>
      </c>
      <c r="V9" s="1319" t="s">
        <v>61</v>
      </c>
      <c r="W9" s="1320">
        <f t="shared" si="2"/>
        <v>100</v>
      </c>
      <c r="X9" s="1321"/>
      <c r="Y9" s="3541" t="s">
        <v>399</v>
      </c>
      <c r="Z9" s="344" t="str">
        <f t="shared" ref="Z9:Z14" si="7">Q9</f>
        <v>用途</v>
      </c>
      <c r="AA9" s="1322">
        <f t="shared" si="3"/>
        <v>1</v>
      </c>
      <c r="AB9" s="1322">
        <f t="shared" si="4"/>
        <v>1</v>
      </c>
      <c r="AC9" s="1322">
        <f t="shared" si="5"/>
        <v>1</v>
      </c>
    </row>
    <row r="10" spans="1:29" s="770" customFormat="1" ht="27">
      <c r="A10" s="984"/>
      <c r="B10" s="985" t="s">
        <v>400</v>
      </c>
      <c r="C10" s="766"/>
      <c r="D10" s="426">
        <v>100</v>
      </c>
      <c r="E10" s="766"/>
      <c r="F10" s="426">
        <f>SUMIF(55:55,E10,56:56)-SUMIF(55:55,C10,56:56)+100</f>
        <v>100</v>
      </c>
      <c r="G10" s="767"/>
      <c r="H10" s="426">
        <f>SUMIF(55:55,G10,56:56)-SUMIF(55:55,C10,56:56)+100</f>
        <v>100</v>
      </c>
      <c r="I10" s="766"/>
      <c r="J10" s="426">
        <f>SUMIF(55:55,I10,56:56)-SUMIF(55:55,C10,56:56)+100</f>
        <v>100</v>
      </c>
      <c r="K10" s="955"/>
      <c r="L10" s="2350"/>
      <c r="M10" s="2351"/>
      <c r="N10" s="2351"/>
      <c r="O10" s="2351"/>
      <c r="P10" s="3673"/>
      <c r="Q10" s="2829" t="str">
        <f t="shared" si="6"/>
        <v>土地使用年限（年）</v>
      </c>
      <c r="R10" s="1319" t="s">
        <v>61</v>
      </c>
      <c r="S10" s="1320">
        <f t="shared" si="0"/>
        <v>100</v>
      </c>
      <c r="T10" s="1319" t="s">
        <v>61</v>
      </c>
      <c r="U10" s="1320">
        <f t="shared" si="1"/>
        <v>100</v>
      </c>
      <c r="V10" s="1319" t="s">
        <v>61</v>
      </c>
      <c r="W10" s="1320">
        <f t="shared" si="2"/>
        <v>100</v>
      </c>
      <c r="X10" s="1321"/>
      <c r="Y10" s="3541"/>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3"/>
      <c r="M11" s="2346"/>
      <c r="N11" s="2346"/>
      <c r="O11" s="2346"/>
      <c r="P11" s="3673"/>
      <c r="Q11" s="2829">
        <f t="shared" si="6"/>
        <v>111</v>
      </c>
      <c r="R11" s="1319" t="s">
        <v>61</v>
      </c>
      <c r="S11" s="1320">
        <f t="shared" si="0"/>
        <v>100</v>
      </c>
      <c r="T11" s="1319" t="s">
        <v>61</v>
      </c>
      <c r="U11" s="1320">
        <f t="shared" si="1"/>
        <v>100</v>
      </c>
      <c r="V11" s="1319" t="s">
        <v>61</v>
      </c>
      <c r="W11" s="1320">
        <f t="shared" si="2"/>
        <v>100</v>
      </c>
      <c r="X11" s="1321"/>
      <c r="Y11" s="3541"/>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7"/>
      <c r="M12" s="2348"/>
      <c r="N12" s="2348"/>
      <c r="O12" s="2348"/>
      <c r="P12" s="3673"/>
      <c r="Q12" s="2829">
        <f t="shared" si="6"/>
        <v>111</v>
      </c>
      <c r="R12" s="1319" t="s">
        <v>61</v>
      </c>
      <c r="S12" s="1320">
        <f t="shared" si="0"/>
        <v>100</v>
      </c>
      <c r="T12" s="1319" t="s">
        <v>61</v>
      </c>
      <c r="U12" s="1320">
        <f t="shared" si="1"/>
        <v>100</v>
      </c>
      <c r="V12" s="1319" t="s">
        <v>61</v>
      </c>
      <c r="W12" s="1320">
        <f t="shared" si="2"/>
        <v>100</v>
      </c>
      <c r="X12" s="1321"/>
      <c r="Y12" s="3541"/>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5"/>
      <c r="M13" s="2346"/>
      <c r="N13" s="2346"/>
      <c r="O13" s="2346"/>
      <c r="P13" s="3673"/>
      <c r="Q13" s="2829">
        <f t="shared" si="6"/>
        <v>111</v>
      </c>
      <c r="R13" s="1319" t="s">
        <v>61</v>
      </c>
      <c r="S13" s="1320">
        <f t="shared" si="0"/>
        <v>100</v>
      </c>
      <c r="T13" s="1319" t="s">
        <v>61</v>
      </c>
      <c r="U13" s="1320">
        <f t="shared" si="1"/>
        <v>100</v>
      </c>
      <c r="V13" s="1319" t="s">
        <v>61</v>
      </c>
      <c r="W13" s="1320">
        <f t="shared" si="2"/>
        <v>100</v>
      </c>
      <c r="X13" s="1321"/>
      <c r="Y13" s="3541"/>
      <c r="Z13" s="344">
        <f t="shared" si="7"/>
        <v>111</v>
      </c>
      <c r="AA13" s="1322">
        <f t="shared" si="3"/>
        <v>1</v>
      </c>
      <c r="AB13" s="1322">
        <f t="shared" si="4"/>
        <v>1</v>
      </c>
      <c r="AC13" s="1322">
        <f t="shared" si="5"/>
        <v>1</v>
      </c>
    </row>
    <row r="14" spans="1:29" ht="94.5">
      <c r="A14" s="744" t="s">
        <v>402</v>
      </c>
      <c r="B14" s="972" t="s">
        <v>452</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5"/>
      <c r="M14" s="2346"/>
      <c r="N14" s="2346"/>
      <c r="O14" s="2346"/>
      <c r="P14" s="3688" t="s">
        <v>403</v>
      </c>
      <c r="Q14" s="2831" t="str">
        <f t="shared" si="6"/>
        <v>交通便捷度</v>
      </c>
      <c r="R14" s="1324" t="s">
        <v>61</v>
      </c>
      <c r="S14" s="1325">
        <f t="shared" si="0"/>
        <v>100</v>
      </c>
      <c r="T14" s="1324" t="s">
        <v>61</v>
      </c>
      <c r="U14" s="1325">
        <f t="shared" si="1"/>
        <v>100</v>
      </c>
      <c r="V14" s="1324" t="s">
        <v>61</v>
      </c>
      <c r="W14" s="1325">
        <f t="shared" si="2"/>
        <v>100</v>
      </c>
      <c r="X14" s="2830"/>
      <c r="Y14" s="3688" t="s">
        <v>403</v>
      </c>
      <c r="Z14" s="2832"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5"/>
      <c r="M15" s="2346"/>
      <c r="N15" s="2346"/>
      <c r="O15" s="2346"/>
      <c r="P15" s="3689"/>
      <c r="Q15" s="2831"/>
      <c r="R15" s="1324"/>
      <c r="S15" s="1325"/>
      <c r="T15" s="1324"/>
      <c r="U15" s="1325"/>
      <c r="V15" s="1324"/>
      <c r="W15" s="1325"/>
      <c r="X15" s="2830"/>
      <c r="Y15" s="3689"/>
      <c r="Z15" s="2832"/>
      <c r="AA15" s="1327">
        <v>1</v>
      </c>
      <c r="AB15" s="1327">
        <v>1</v>
      </c>
      <c r="AC15" s="1327">
        <v>1</v>
      </c>
    </row>
    <row r="16" spans="1:29" ht="40.5">
      <c r="A16" s="747"/>
      <c r="B16" s="1034" t="s">
        <v>2663</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5"/>
      <c r="M16" s="2346"/>
      <c r="N16" s="2346"/>
      <c r="O16" s="2346"/>
      <c r="P16" s="3689"/>
      <c r="Q16" s="2831" t="str">
        <f>B16</f>
        <v>公共配套设施</v>
      </c>
      <c r="R16" s="1324" t="s">
        <v>61</v>
      </c>
      <c r="S16" s="1325">
        <f>F16</f>
        <v>100</v>
      </c>
      <c r="T16" s="1324" t="s">
        <v>61</v>
      </c>
      <c r="U16" s="1325">
        <f>H16</f>
        <v>100</v>
      </c>
      <c r="V16" s="1324" t="s">
        <v>61</v>
      </c>
      <c r="W16" s="1325">
        <f>J16</f>
        <v>100</v>
      </c>
      <c r="X16" s="2830"/>
      <c r="Y16" s="3689"/>
      <c r="Z16" s="2832"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5"/>
      <c r="M17" s="2346"/>
      <c r="N17" s="2346"/>
      <c r="O17" s="2346"/>
      <c r="P17" s="3689"/>
      <c r="Q17" s="2831"/>
      <c r="R17" s="1324"/>
      <c r="S17" s="1325"/>
      <c r="T17" s="1324"/>
      <c r="U17" s="1325"/>
      <c r="V17" s="1324"/>
      <c r="W17" s="1325"/>
      <c r="X17" s="2830"/>
      <c r="Y17" s="3689"/>
      <c r="Z17" s="2832"/>
      <c r="AA17" s="1327">
        <v>1</v>
      </c>
      <c r="AB17" s="1327">
        <v>1</v>
      </c>
      <c r="AC17" s="1327">
        <v>1</v>
      </c>
    </row>
    <row r="18" spans="1:29" ht="40.5">
      <c r="A18" s="747"/>
      <c r="B18" s="1036" t="s">
        <v>2662</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5"/>
      <c r="M18" s="2346"/>
      <c r="N18" s="2346"/>
      <c r="O18" s="2346"/>
      <c r="P18" s="3689"/>
      <c r="Q18" s="2831" t="str">
        <f>B18</f>
        <v>基础设施水平</v>
      </c>
      <c r="R18" s="1324" t="s">
        <v>61</v>
      </c>
      <c r="S18" s="1325">
        <f>F18</f>
        <v>100</v>
      </c>
      <c r="T18" s="1324" t="s">
        <v>61</v>
      </c>
      <c r="U18" s="1325">
        <f>H18</f>
        <v>100</v>
      </c>
      <c r="V18" s="1324" t="s">
        <v>61</v>
      </c>
      <c r="W18" s="1325">
        <f>J18</f>
        <v>100</v>
      </c>
      <c r="X18" s="2830"/>
      <c r="Y18" s="3689"/>
      <c r="Z18" s="2832"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4"/>
      <c r="L19" s="2355"/>
      <c r="M19" s="2346"/>
      <c r="N19" s="2346"/>
      <c r="O19" s="2346"/>
      <c r="P19" s="3689"/>
      <c r="Q19" s="2831"/>
      <c r="R19" s="1324"/>
      <c r="S19" s="1325"/>
      <c r="T19" s="1324"/>
      <c r="U19" s="1325"/>
      <c r="V19" s="1324"/>
      <c r="W19" s="1325"/>
      <c r="X19" s="2830"/>
      <c r="Y19" s="3689"/>
      <c r="Z19" s="2832"/>
      <c r="AA19" s="1327">
        <v>1</v>
      </c>
      <c r="AB19" s="1327">
        <v>1</v>
      </c>
      <c r="AC19" s="1327">
        <v>1</v>
      </c>
    </row>
    <row r="20" spans="1:29" ht="54">
      <c r="A20" s="747"/>
      <c r="B20" s="974" t="s">
        <v>453</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5"/>
      <c r="M20" s="2346"/>
      <c r="N20" s="2346"/>
      <c r="O20" s="2346"/>
      <c r="P20" s="3689"/>
      <c r="Q20" s="2831" t="str">
        <f>B20</f>
        <v>自然及人文环境</v>
      </c>
      <c r="R20" s="1324" t="s">
        <v>61</v>
      </c>
      <c r="S20" s="1325">
        <f>F20</f>
        <v>100</v>
      </c>
      <c r="T20" s="1324" t="s">
        <v>61</v>
      </c>
      <c r="U20" s="1325">
        <f>H20</f>
        <v>100</v>
      </c>
      <c r="V20" s="1324" t="s">
        <v>61</v>
      </c>
      <c r="W20" s="1325">
        <f>J20</f>
        <v>100</v>
      </c>
      <c r="X20" s="2830"/>
      <c r="Y20" s="3689"/>
      <c r="Z20" s="2832"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5"/>
      <c r="M21" s="2346"/>
      <c r="N21" s="2346"/>
      <c r="O21" s="2346"/>
      <c r="P21" s="3689"/>
      <c r="Q21" s="2831"/>
      <c r="R21" s="1324"/>
      <c r="S21" s="1325"/>
      <c r="T21" s="1324"/>
      <c r="U21" s="1325"/>
      <c r="V21" s="1324"/>
      <c r="W21" s="1325"/>
      <c r="X21" s="2830"/>
      <c r="Y21" s="3689"/>
      <c r="Z21" s="2832"/>
      <c r="AA21" s="1327">
        <v>1</v>
      </c>
      <c r="AB21" s="1327">
        <v>1</v>
      </c>
      <c r="AC21" s="1327">
        <v>1</v>
      </c>
    </row>
    <row r="22" spans="1:29" ht="15">
      <c r="A22" s="747"/>
      <c r="B22" s="974" t="s">
        <v>454</v>
      </c>
      <c r="C22" s="959"/>
      <c r="D22" s="793">
        <v>100</v>
      </c>
      <c r="E22" s="959"/>
      <c r="F22" s="804">
        <f>SUMIF(71:71,E22,72:72)-SUMIF(71:71,C22,72:72)+100</f>
        <v>100</v>
      </c>
      <c r="G22" s="959"/>
      <c r="H22" s="778">
        <f>SUMIF(71:71,G22,72:72)-SUMIF(71:71,C22,72:72)+100</f>
        <v>100</v>
      </c>
      <c r="I22" s="959"/>
      <c r="J22" s="778">
        <f>SUMIF(71:71,I22,72:72)-SUMIF(71:71,C22,72:72)+100</f>
        <v>100</v>
      </c>
      <c r="K22" s="955"/>
      <c r="L22" s="2355"/>
      <c r="M22" s="2346"/>
      <c r="N22" s="2346"/>
      <c r="O22" s="2346"/>
      <c r="P22" s="3689"/>
      <c r="Q22" s="2831" t="str">
        <f>B22</f>
        <v>楼层</v>
      </c>
      <c r="R22" s="1324" t="s">
        <v>61</v>
      </c>
      <c r="S22" s="1325">
        <f>F22</f>
        <v>100</v>
      </c>
      <c r="T22" s="1324" t="s">
        <v>61</v>
      </c>
      <c r="U22" s="1325">
        <f>H22</f>
        <v>100</v>
      </c>
      <c r="V22" s="1324" t="s">
        <v>61</v>
      </c>
      <c r="W22" s="1325">
        <f>J22</f>
        <v>100</v>
      </c>
      <c r="X22" s="2830"/>
      <c r="Y22" s="3689"/>
      <c r="Z22" s="2832"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5"/>
      <c r="M23" s="2346"/>
      <c r="N23" s="2346"/>
      <c r="O23" s="2346"/>
      <c r="P23" s="3689"/>
      <c r="Q23" s="2831">
        <f>B23</f>
        <v>111</v>
      </c>
      <c r="R23" s="1324" t="s">
        <v>61</v>
      </c>
      <c r="S23" s="1325">
        <f>F23</f>
        <v>100</v>
      </c>
      <c r="T23" s="1324" t="s">
        <v>61</v>
      </c>
      <c r="U23" s="1325">
        <f>H23</f>
        <v>100</v>
      </c>
      <c r="V23" s="1324" t="s">
        <v>61</v>
      </c>
      <c r="W23" s="1325">
        <f>J23</f>
        <v>100</v>
      </c>
      <c r="X23" s="2830"/>
      <c r="Y23" s="3689"/>
      <c r="Z23" s="2832">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5"/>
      <c r="M24" s="2346"/>
      <c r="N24" s="2346"/>
      <c r="O24" s="2346"/>
      <c r="P24" s="3689"/>
      <c r="Q24" s="2831">
        <f t="shared" ref="Q24:Q36" si="11">B24</f>
        <v>111</v>
      </c>
      <c r="R24" s="1324" t="s">
        <v>61</v>
      </c>
      <c r="S24" s="1325">
        <f>F24</f>
        <v>100</v>
      </c>
      <c r="T24" s="1324" t="s">
        <v>61</v>
      </c>
      <c r="U24" s="1325">
        <f>H24</f>
        <v>100</v>
      </c>
      <c r="V24" s="1324" t="s">
        <v>61</v>
      </c>
      <c r="W24" s="1325">
        <f>J24</f>
        <v>100</v>
      </c>
      <c r="X24" s="2830"/>
      <c r="Y24" s="3689"/>
      <c r="Z24" s="2832">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7"/>
      <c r="M25" s="2348"/>
      <c r="N25" s="2348"/>
      <c r="O25" s="2348"/>
      <c r="P25" s="3689"/>
      <c r="Q25" s="2829">
        <f t="shared" si="11"/>
        <v>111</v>
      </c>
      <c r="R25" s="1319" t="s">
        <v>61</v>
      </c>
      <c r="S25" s="1320">
        <f>F25</f>
        <v>100</v>
      </c>
      <c r="T25" s="1319" t="s">
        <v>61</v>
      </c>
      <c r="U25" s="1320">
        <f>H25</f>
        <v>100</v>
      </c>
      <c r="V25" s="1319" t="s">
        <v>61</v>
      </c>
      <c r="W25" s="1320">
        <f>J25</f>
        <v>100</v>
      </c>
      <c r="X25" s="1321"/>
      <c r="Y25" s="3689"/>
      <c r="Z25" s="344">
        <f>Q25</f>
        <v>111</v>
      </c>
      <c r="AA25" s="1327">
        <f>D25/F25</f>
        <v>1</v>
      </c>
      <c r="AB25" s="1327">
        <f>D25/H25</f>
        <v>1</v>
      </c>
      <c r="AC25" s="1327">
        <f>D25/J25</f>
        <v>1</v>
      </c>
    </row>
    <row r="26" spans="1:29" ht="15">
      <c r="A26" s="995" t="s">
        <v>404</v>
      </c>
      <c r="B26" s="360" t="s">
        <v>455</v>
      </c>
      <c r="C26" s="2765">
        <f>B1</f>
        <v>0</v>
      </c>
      <c r="D26" s="791">
        <v>100</v>
      </c>
      <c r="E26" s="790"/>
      <c r="F26" s="792">
        <f>SUMIF(79:79,E26,80:80)-SUMIF(79:79,C26,80:80)+100</f>
        <v>100</v>
      </c>
      <c r="G26" s="790"/>
      <c r="H26" s="791">
        <f>SUMIF(79:79,G26,80:80)-SUMIF(79:79,C26,80:80)+100</f>
        <v>100</v>
      </c>
      <c r="I26" s="790"/>
      <c r="J26" s="791">
        <f>SUMIF(79:79,I26,80:80)-SUMIF(79:79,C26,80:80)+100</f>
        <v>100</v>
      </c>
      <c r="K26" s="955"/>
      <c r="L26" s="2355"/>
      <c r="M26" s="2346"/>
      <c r="N26" s="2346"/>
      <c r="O26" s="2346"/>
      <c r="P26" s="3690" t="s">
        <v>405</v>
      </c>
      <c r="Q26" s="2831" t="str">
        <f t="shared" si="11"/>
        <v>配套类型</v>
      </c>
      <c r="R26" s="1324" t="s">
        <v>61</v>
      </c>
      <c r="S26" s="1325">
        <f t="shared" ref="S26:S36" si="12">F26</f>
        <v>100</v>
      </c>
      <c r="T26" s="1324" t="s">
        <v>61</v>
      </c>
      <c r="U26" s="1325">
        <f t="shared" ref="U26:U36" si="13">H26</f>
        <v>100</v>
      </c>
      <c r="V26" s="1324" t="s">
        <v>61</v>
      </c>
      <c r="W26" s="1325">
        <f t="shared" ref="W26:W36" si="14">J26</f>
        <v>100</v>
      </c>
      <c r="X26" s="2830"/>
      <c r="Y26" s="3691" t="s">
        <v>405</v>
      </c>
      <c r="Z26" s="2832" t="str">
        <f t="shared" ref="Z26:Z36" si="15">Q26</f>
        <v>配套类型</v>
      </c>
      <c r="AA26" s="1327">
        <f t="shared" si="3"/>
        <v>1</v>
      </c>
      <c r="AB26" s="1327">
        <f t="shared" si="4"/>
        <v>1</v>
      </c>
      <c r="AC26" s="1327">
        <f t="shared" si="5"/>
        <v>1</v>
      </c>
    </row>
    <row r="27" spans="1:29" s="814" customFormat="1" ht="15">
      <c r="A27" s="996"/>
      <c r="B27" s="997" t="s">
        <v>456</v>
      </c>
      <c r="C27" s="998"/>
      <c r="D27" s="426">
        <v>100</v>
      </c>
      <c r="E27" s="998"/>
      <c r="F27" s="804">
        <f>SUMIF(81:81,E27,82:82)-SUMIF(81:81,C27,82:82)+100</f>
        <v>100</v>
      </c>
      <c r="G27" s="998"/>
      <c r="H27" s="778">
        <f>SUMIF(81:81,G27,82:82)-SUMIF(81:81,C27,82:82)+100</f>
        <v>100</v>
      </c>
      <c r="I27" s="998"/>
      <c r="J27" s="778">
        <f>SUMIF(81:81,I27,82:82)-SUMIF(81:81,C27,82:82)+100</f>
        <v>100</v>
      </c>
      <c r="K27" s="956"/>
      <c r="L27" s="2353"/>
      <c r="M27" s="2356"/>
      <c r="N27" s="2356"/>
      <c r="O27" s="2356"/>
      <c r="P27" s="3691"/>
      <c r="Q27" s="1328" t="str">
        <f t="shared" si="11"/>
        <v>项目停车位配比</v>
      </c>
      <c r="R27" s="1329" t="s">
        <v>61</v>
      </c>
      <c r="S27" s="1330">
        <f t="shared" si="12"/>
        <v>100</v>
      </c>
      <c r="T27" s="1329" t="s">
        <v>61</v>
      </c>
      <c r="U27" s="1330">
        <f t="shared" si="13"/>
        <v>100</v>
      </c>
      <c r="V27" s="1329" t="s">
        <v>61</v>
      </c>
      <c r="W27" s="1330">
        <f t="shared" si="14"/>
        <v>100</v>
      </c>
      <c r="X27" s="1331"/>
      <c r="Y27" s="3691"/>
      <c r="Z27" s="1332" t="str">
        <f t="shared" si="15"/>
        <v>项目停车位配比</v>
      </c>
      <c r="AA27" s="1327">
        <f t="shared" si="3"/>
        <v>1</v>
      </c>
      <c r="AB27" s="1327">
        <f t="shared" si="4"/>
        <v>1</v>
      </c>
      <c r="AC27" s="1327">
        <f t="shared" si="5"/>
        <v>1</v>
      </c>
    </row>
    <row r="28" spans="1:29" ht="15">
      <c r="A28" s="999"/>
      <c r="B28" s="997" t="s">
        <v>457</v>
      </c>
      <c r="C28" s="803"/>
      <c r="D28" s="778">
        <v>100</v>
      </c>
      <c r="E28" s="803"/>
      <c r="F28" s="804">
        <f>SUMIF(83:83,E28,84:84)-SUMIF(83:83,C28,84:84)+100</f>
        <v>100</v>
      </c>
      <c r="G28" s="803"/>
      <c r="H28" s="778">
        <f>SUMIF(83:83,G28,84:84)-SUMIF(83:83,C28,84:84)+100</f>
        <v>100</v>
      </c>
      <c r="I28" s="803"/>
      <c r="J28" s="778">
        <f>SUMIF(83:83,I28,84:84)-SUMIF(83:83,C28,84:84)+100</f>
        <v>100</v>
      </c>
      <c r="K28" s="955"/>
      <c r="L28" s="2355"/>
      <c r="M28" s="2346"/>
      <c r="N28" s="2346"/>
      <c r="O28" s="2346"/>
      <c r="P28" s="3691"/>
      <c r="Q28" s="2831" t="str">
        <f t="shared" si="11"/>
        <v>公共部分装修</v>
      </c>
      <c r="R28" s="1324" t="s">
        <v>61</v>
      </c>
      <c r="S28" s="1325">
        <f t="shared" si="12"/>
        <v>100</v>
      </c>
      <c r="T28" s="1324" t="s">
        <v>61</v>
      </c>
      <c r="U28" s="1325">
        <f t="shared" si="13"/>
        <v>100</v>
      </c>
      <c r="V28" s="1324" t="s">
        <v>61</v>
      </c>
      <c r="W28" s="1325">
        <f t="shared" si="14"/>
        <v>100</v>
      </c>
      <c r="X28" s="2830"/>
      <c r="Y28" s="3691"/>
      <c r="Z28" s="2832" t="str">
        <f t="shared" si="15"/>
        <v>公共部分装修</v>
      </c>
      <c r="AA28" s="1327">
        <f t="shared" si="3"/>
        <v>1</v>
      </c>
      <c r="AB28" s="1327">
        <f t="shared" si="4"/>
        <v>1</v>
      </c>
      <c r="AC28" s="1327">
        <f t="shared" si="5"/>
        <v>1</v>
      </c>
    </row>
    <row r="29" spans="1:29" ht="15">
      <c r="A29" s="999"/>
      <c r="B29" s="997" t="s">
        <v>458</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5"/>
      <c r="M29" s="2346"/>
      <c r="N29" s="2346"/>
      <c r="O29" s="2346"/>
      <c r="P29" s="3691"/>
      <c r="Q29" s="2831" t="str">
        <f t="shared" si="11"/>
        <v>成新率</v>
      </c>
      <c r="R29" s="1324" t="s">
        <v>61</v>
      </c>
      <c r="S29" s="1325" t="e">
        <f t="shared" si="12"/>
        <v>#N/A</v>
      </c>
      <c r="T29" s="1324" t="s">
        <v>61</v>
      </c>
      <c r="U29" s="1325" t="e">
        <f t="shared" si="13"/>
        <v>#N/A</v>
      </c>
      <c r="V29" s="1324" t="s">
        <v>61</v>
      </c>
      <c r="W29" s="1325" t="e">
        <f t="shared" si="14"/>
        <v>#N/A</v>
      </c>
      <c r="X29" s="2830"/>
      <c r="Y29" s="3691"/>
      <c r="Z29" s="2832" t="str">
        <f t="shared" si="15"/>
        <v>成新率</v>
      </c>
      <c r="AA29" s="1327" t="e">
        <f t="shared" si="3"/>
        <v>#N/A</v>
      </c>
      <c r="AB29" s="1327" t="e">
        <f t="shared" si="4"/>
        <v>#N/A</v>
      </c>
      <c r="AC29" s="1327" t="e">
        <f t="shared" si="5"/>
        <v>#N/A</v>
      </c>
    </row>
    <row r="30" spans="1:29" ht="15">
      <c r="A30" s="999"/>
      <c r="B30" s="997" t="s">
        <v>459</v>
      </c>
      <c r="C30" s="1000"/>
      <c r="D30" s="778">
        <v>100</v>
      </c>
      <c r="E30" s="1000"/>
      <c r="F30" s="804">
        <f>SUMIF(88:88,E30,89:89)-SUMIF(88:88,C30,89:89)+100</f>
        <v>100</v>
      </c>
      <c r="G30" s="1000"/>
      <c r="H30" s="778">
        <f>SUMIF(88:88,E30,89:89)-SUMIF(88:88,C30,89:89)+100</f>
        <v>100</v>
      </c>
      <c r="I30" s="1000"/>
      <c r="J30" s="778">
        <f>SUMIF(88:88,E30,89:89)-SUMIF(88:88,C30,89:89)+100</f>
        <v>100</v>
      </c>
      <c r="K30" s="955"/>
      <c r="L30" s="2355"/>
      <c r="M30" s="2346"/>
      <c r="N30" s="2346"/>
      <c r="O30" s="2346"/>
      <c r="P30" s="3691"/>
      <c r="Q30" s="2831" t="str">
        <f t="shared" si="11"/>
        <v>物业等级</v>
      </c>
      <c r="R30" s="1324" t="s">
        <v>61</v>
      </c>
      <c r="S30" s="1325">
        <f t="shared" si="12"/>
        <v>100</v>
      </c>
      <c r="T30" s="1324" t="s">
        <v>61</v>
      </c>
      <c r="U30" s="1325">
        <f t="shared" si="13"/>
        <v>100</v>
      </c>
      <c r="V30" s="1324" t="s">
        <v>61</v>
      </c>
      <c r="W30" s="1325">
        <f t="shared" si="14"/>
        <v>100</v>
      </c>
      <c r="X30" s="2830"/>
      <c r="Y30" s="3691"/>
      <c r="Z30" s="2832" t="str">
        <f t="shared" si="15"/>
        <v>物业等级</v>
      </c>
      <c r="AA30" s="1327">
        <f t="shared" si="3"/>
        <v>1</v>
      </c>
      <c r="AB30" s="1327">
        <f t="shared" si="4"/>
        <v>1</v>
      </c>
      <c r="AC30" s="1327">
        <f t="shared" si="5"/>
        <v>1</v>
      </c>
    </row>
    <row r="31" spans="1:29" s="407" customFormat="1" ht="15">
      <c r="A31" s="1001"/>
      <c r="B31" s="997" t="s">
        <v>460</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7"/>
      <c r="M31" s="2348"/>
      <c r="N31" s="2348"/>
      <c r="O31" s="2348"/>
      <c r="P31" s="3691"/>
      <c r="Q31" s="2829" t="str">
        <f t="shared" si="11"/>
        <v>停车位面积</v>
      </c>
      <c r="R31" s="1319" t="s">
        <v>61</v>
      </c>
      <c r="S31" s="1320" t="e">
        <f t="shared" si="12"/>
        <v>#N/A</v>
      </c>
      <c r="T31" s="1319" t="s">
        <v>61</v>
      </c>
      <c r="U31" s="1320" t="e">
        <f t="shared" si="13"/>
        <v>#N/A</v>
      </c>
      <c r="V31" s="1319" t="s">
        <v>61</v>
      </c>
      <c r="W31" s="1320" t="e">
        <f t="shared" si="14"/>
        <v>#N/A</v>
      </c>
      <c r="X31" s="1321"/>
      <c r="Y31" s="3691"/>
      <c r="Z31" s="344" t="str">
        <f t="shared" si="15"/>
        <v>停车位面积</v>
      </c>
      <c r="AA31" s="1322" t="e">
        <f t="shared" si="3"/>
        <v>#N/A</v>
      </c>
      <c r="AB31" s="1322" t="e">
        <f t="shared" si="4"/>
        <v>#N/A</v>
      </c>
      <c r="AC31" s="1322" t="e">
        <f t="shared" si="5"/>
        <v>#N/A</v>
      </c>
    </row>
    <row r="32" spans="1:29" ht="15">
      <c r="A32" s="999"/>
      <c r="B32" s="997" t="s">
        <v>461</v>
      </c>
      <c r="C32" s="803"/>
      <c r="D32" s="778">
        <v>100</v>
      </c>
      <c r="E32" s="803"/>
      <c r="F32" s="804">
        <f>SUMIF(93:93,E32,94:94)-SUMIF(93:93,C32,94:94)+100</f>
        <v>100</v>
      </c>
      <c r="G32" s="803"/>
      <c r="H32" s="778">
        <f>SUMIF(93:93,G32,94:94)-SUMIF(93:93,C32,94:94)+100</f>
        <v>100</v>
      </c>
      <c r="I32" s="803"/>
      <c r="J32" s="778">
        <f>SUMIF(93:93,I32,94:94)-SUMIF(93:93,C32,94:94)+100</f>
        <v>100</v>
      </c>
      <c r="K32" s="955"/>
      <c r="L32" s="2355"/>
      <c r="M32" s="2346"/>
      <c r="N32" s="2346"/>
      <c r="O32" s="2346"/>
      <c r="P32" s="3691" t="s">
        <v>405</v>
      </c>
      <c r="Q32" s="2831" t="str">
        <f t="shared" si="11"/>
        <v>车位类型</v>
      </c>
      <c r="R32" s="1324" t="s">
        <v>61</v>
      </c>
      <c r="S32" s="1325">
        <f t="shared" si="12"/>
        <v>100</v>
      </c>
      <c r="T32" s="1324" t="s">
        <v>61</v>
      </c>
      <c r="U32" s="1325">
        <f t="shared" si="13"/>
        <v>100</v>
      </c>
      <c r="V32" s="1324" t="s">
        <v>61</v>
      </c>
      <c r="W32" s="1325">
        <f t="shared" si="14"/>
        <v>100</v>
      </c>
      <c r="X32" s="2830"/>
      <c r="Y32" s="3691" t="s">
        <v>405</v>
      </c>
      <c r="Z32" s="2832" t="str">
        <f t="shared" si="15"/>
        <v>车位类型</v>
      </c>
      <c r="AA32" s="1327">
        <f t="shared" si="3"/>
        <v>1</v>
      </c>
      <c r="AB32" s="1327">
        <f t="shared" si="4"/>
        <v>1</v>
      </c>
      <c r="AC32" s="1327">
        <f t="shared" si="5"/>
        <v>1</v>
      </c>
    </row>
    <row r="33" spans="1:29" ht="15">
      <c r="A33" s="999"/>
      <c r="B33" s="997" t="s">
        <v>462</v>
      </c>
      <c r="C33" s="803"/>
      <c r="D33" s="778">
        <v>100</v>
      </c>
      <c r="E33" s="803"/>
      <c r="F33" s="804">
        <f>SUMIF(95:95,E33,96:96)-SUMIF(95:95,C33,96:96)+100</f>
        <v>100</v>
      </c>
      <c r="G33" s="803"/>
      <c r="H33" s="778">
        <f>SUMIF(95:95,G33,96:96)-SUMIF(95:95,C33,96:96)+100</f>
        <v>100</v>
      </c>
      <c r="I33" s="803"/>
      <c r="J33" s="778">
        <f>SUMIF(95:95,I33,96:96)-SUMIF(95:95,C33,96:96)+100</f>
        <v>100</v>
      </c>
      <c r="K33" s="955"/>
      <c r="L33" s="2355"/>
      <c r="M33" s="2346"/>
      <c r="N33" s="2346"/>
      <c r="O33" s="2346"/>
      <c r="P33" s="3691"/>
      <c r="Q33" s="2831" t="str">
        <f t="shared" si="11"/>
        <v>是否直接入户</v>
      </c>
      <c r="R33" s="1324" t="s">
        <v>61</v>
      </c>
      <c r="S33" s="1325">
        <f t="shared" si="12"/>
        <v>100</v>
      </c>
      <c r="T33" s="1324" t="s">
        <v>61</v>
      </c>
      <c r="U33" s="1325">
        <f t="shared" si="13"/>
        <v>100</v>
      </c>
      <c r="V33" s="1324" t="s">
        <v>61</v>
      </c>
      <c r="W33" s="1325">
        <f t="shared" si="14"/>
        <v>100</v>
      </c>
      <c r="X33" s="2830"/>
      <c r="Y33" s="3691"/>
      <c r="Z33" s="2832"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5"/>
      <c r="M34" s="2346"/>
      <c r="N34" s="2346"/>
      <c r="O34" s="2346"/>
      <c r="P34" s="3691"/>
      <c r="Q34" s="2831">
        <f t="shared" si="11"/>
        <v>111</v>
      </c>
      <c r="R34" s="1324" t="s">
        <v>61</v>
      </c>
      <c r="S34" s="1325">
        <f t="shared" si="12"/>
        <v>100</v>
      </c>
      <c r="T34" s="1324" t="s">
        <v>61</v>
      </c>
      <c r="U34" s="1325">
        <f t="shared" si="13"/>
        <v>100</v>
      </c>
      <c r="V34" s="1324" t="s">
        <v>61</v>
      </c>
      <c r="W34" s="1325">
        <f t="shared" si="14"/>
        <v>100</v>
      </c>
      <c r="X34" s="2830"/>
      <c r="Y34" s="3691"/>
      <c r="Z34" s="2832">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3"/>
      <c r="M35" s="2356"/>
      <c r="N35" s="2356"/>
      <c r="O35" s="2356"/>
      <c r="P35" s="3691"/>
      <c r="Q35" s="1328">
        <f t="shared" si="11"/>
        <v>111</v>
      </c>
      <c r="R35" s="1329" t="s">
        <v>61</v>
      </c>
      <c r="S35" s="1330">
        <f t="shared" si="12"/>
        <v>100</v>
      </c>
      <c r="T35" s="1329" t="s">
        <v>61</v>
      </c>
      <c r="U35" s="1330">
        <f t="shared" si="13"/>
        <v>100</v>
      </c>
      <c r="V35" s="1329" t="s">
        <v>61</v>
      </c>
      <c r="W35" s="1330">
        <f t="shared" si="14"/>
        <v>100</v>
      </c>
      <c r="X35" s="1331"/>
      <c r="Y35" s="3691"/>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5"/>
      <c r="M36" s="2346"/>
      <c r="N36" s="2346"/>
      <c r="O36" s="2346"/>
      <c r="P36" s="3691"/>
      <c r="Q36" s="2831">
        <f t="shared" si="11"/>
        <v>111</v>
      </c>
      <c r="R36" s="1324" t="s">
        <v>61</v>
      </c>
      <c r="S36" s="1325">
        <f t="shared" si="12"/>
        <v>100</v>
      </c>
      <c r="T36" s="1324" t="s">
        <v>61</v>
      </c>
      <c r="U36" s="1325">
        <f t="shared" si="13"/>
        <v>100</v>
      </c>
      <c r="V36" s="1324" t="s">
        <v>61</v>
      </c>
      <c r="W36" s="1325">
        <f t="shared" si="14"/>
        <v>100</v>
      </c>
      <c r="X36" s="2830"/>
      <c r="Y36" s="3691"/>
      <c r="Z36" s="2832">
        <f t="shared" si="15"/>
        <v>111</v>
      </c>
      <c r="AA36" s="1327">
        <f t="shared" si="3"/>
        <v>1</v>
      </c>
      <c r="AB36" s="1327">
        <f t="shared" si="4"/>
        <v>1</v>
      </c>
      <c r="AC36" s="1327">
        <f t="shared" si="5"/>
        <v>1</v>
      </c>
    </row>
    <row r="37" spans="1:29" ht="15">
      <c r="A37" s="163" t="s">
        <v>2130</v>
      </c>
      <c r="B37" s="2096" t="s">
        <v>2131</v>
      </c>
      <c r="C37" s="2833" t="s">
        <v>23</v>
      </c>
      <c r="D37" s="2834"/>
      <c r="E37" s="2835"/>
      <c r="F37" s="2836"/>
      <c r="G37" s="2837"/>
      <c r="H37" s="2838"/>
      <c r="I37" s="2835"/>
      <c r="J37" s="2838"/>
      <c r="K37" s="962"/>
      <c r="L37" s="2358"/>
      <c r="M37" s="2359"/>
      <c r="N37" s="2346"/>
      <c r="O37" s="2359"/>
      <c r="P37" s="3673" t="str">
        <f>A37</f>
        <v>成交单价</v>
      </c>
      <c r="Q37" s="3673"/>
      <c r="R37" s="3692">
        <f>E37</f>
        <v>0</v>
      </c>
      <c r="S37" s="3692"/>
      <c r="T37" s="3692">
        <f>G37</f>
        <v>0</v>
      </c>
      <c r="U37" s="3692"/>
      <c r="V37" s="3692">
        <f>I37</f>
        <v>0</v>
      </c>
      <c r="W37" s="3692"/>
      <c r="X37" s="1307"/>
      <c r="Y37" s="1333"/>
      <c r="Z37" s="1307"/>
      <c r="AA37" s="1307"/>
      <c r="AB37" s="1307"/>
      <c r="AC37" s="1307"/>
    </row>
    <row r="38" spans="1:29" ht="15.75" thickBot="1">
      <c r="A38" s="829" t="s">
        <v>407</v>
      </c>
      <c r="B38" s="166" t="str">
        <f>B37</f>
        <v>元/车位</v>
      </c>
      <c r="C38" s="2839" t="e">
        <f>R39</f>
        <v>#DIV/0!</v>
      </c>
      <c r="D38" s="2840"/>
      <c r="E38" s="2841" t="e">
        <f>R38</f>
        <v>#DIV/0!</v>
      </c>
      <c r="F38" s="2841"/>
      <c r="G38" s="2839" t="e">
        <f>T38</f>
        <v>#DIV/0!</v>
      </c>
      <c r="H38" s="2840"/>
      <c r="I38" s="2841" t="e">
        <f>V38</f>
        <v>#DIV/0!</v>
      </c>
      <c r="J38" s="2840"/>
      <c r="K38" s="963"/>
      <c r="L38" s="2358"/>
      <c r="M38" s="2359"/>
      <c r="N38" s="2359"/>
      <c r="O38" s="2359"/>
      <c r="P38" s="3673" t="str">
        <f>A38</f>
        <v>比较价值（元/平方米）</v>
      </c>
      <c r="Q38" s="3673"/>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1307"/>
      <c r="Y38" s="1307"/>
      <c r="Z38" s="1307"/>
      <c r="AA38" s="1307"/>
      <c r="AB38" s="1307"/>
      <c r="AC38" s="1307"/>
    </row>
    <row r="39" spans="1:29" ht="15.75" thickBot="1">
      <c r="A39" s="835" t="s">
        <v>3022</v>
      </c>
      <c r="B39" s="836"/>
      <c r="C39" s="2843" t="e">
        <f>R39</f>
        <v>#DIV/0!</v>
      </c>
      <c r="D39" s="2843"/>
      <c r="E39" s="2843"/>
      <c r="F39" s="2843"/>
      <c r="G39" s="2843"/>
      <c r="H39" s="2843"/>
      <c r="I39" s="2843"/>
      <c r="J39" s="2843"/>
      <c r="K39" s="964"/>
      <c r="L39" s="2358"/>
      <c r="M39" s="2359"/>
      <c r="N39" s="2359"/>
      <c r="O39" s="2359"/>
      <c r="P39" s="3693" t="str">
        <f>A39</f>
        <v>估价对象XX用房的比较价值（楼面单价，元/平方米）</v>
      </c>
      <c r="Q39" s="3694"/>
      <c r="R39" s="3695" t="e">
        <f>IF(F1="售价",ROUND(AVERAGE(R38:V38),0),ROUND(AVERAGE(R38:V38),1))</f>
        <v>#DIV/0!</v>
      </c>
      <c r="S39" s="3695"/>
      <c r="T39" s="3695"/>
      <c r="U39" s="3695"/>
      <c r="V39" s="3695"/>
      <c r="W39" s="3695"/>
      <c r="X39" s="1307"/>
      <c r="Y39" s="1307"/>
      <c r="Z39" s="1307"/>
      <c r="AA39" s="1307"/>
      <c r="AB39" s="1307"/>
      <c r="AC39" s="1307"/>
    </row>
    <row r="40" spans="1:29">
      <c r="A40" s="2359"/>
      <c r="B40" s="2359"/>
      <c r="C40" s="2359"/>
      <c r="D40" s="2359"/>
      <c r="E40" s="2359"/>
      <c r="F40" s="2359"/>
      <c r="G40" s="2362"/>
      <c r="H40" s="2359"/>
      <c r="I40" s="2359"/>
      <c r="J40" s="2359"/>
      <c r="K40" s="2185"/>
      <c r="L40" s="2186"/>
      <c r="M40" s="2359"/>
      <c r="N40" s="2359"/>
      <c r="O40" s="2359"/>
      <c r="P40" s="2846"/>
      <c r="Q40" s="2359"/>
      <c r="R40" s="2359"/>
      <c r="S40" s="2359"/>
      <c r="T40" s="2359"/>
      <c r="U40" s="2359"/>
      <c r="V40" s="2359"/>
      <c r="W40" s="2359"/>
      <c r="X40" s="2359"/>
      <c r="Y40" s="2359"/>
      <c r="Z40" s="2359"/>
      <c r="AA40" s="2359"/>
      <c r="AB40" s="2359"/>
      <c r="AC40" s="2359"/>
    </row>
    <row r="41" spans="1:29">
      <c r="A41" s="2359"/>
      <c r="B41" s="2359"/>
      <c r="C41" s="2359"/>
      <c r="D41" s="2359"/>
      <c r="E41" s="2359"/>
      <c r="F41" s="2359"/>
      <c r="G41" s="2359"/>
      <c r="H41" s="2359"/>
      <c r="I41" s="2359"/>
      <c r="J41" s="2359"/>
      <c r="K41" s="2185"/>
      <c r="L41" s="2186"/>
      <c r="M41" s="2359"/>
      <c r="N41" s="2359"/>
      <c r="O41" s="2359"/>
      <c r="P41" s="2846"/>
      <c r="Q41" s="2359"/>
      <c r="R41" s="2359"/>
      <c r="S41" s="2359"/>
      <c r="T41" s="2359"/>
      <c r="U41" s="2359"/>
      <c r="V41" s="2359"/>
      <c r="W41" s="2359"/>
      <c r="X41" s="2359"/>
      <c r="Y41" s="2359"/>
      <c r="Z41" s="2359"/>
      <c r="AA41" s="2359"/>
      <c r="AB41" s="2359"/>
      <c r="AC41" s="2359"/>
    </row>
    <row r="42" spans="1:29" ht="13.5" customHeight="1">
      <c r="A42" s="2359"/>
      <c r="B42" s="2359"/>
      <c r="C42" s="840" t="s">
        <v>408</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5"/>
      <c r="L42" s="2186"/>
      <c r="M42" s="2359"/>
      <c r="N42" s="2359"/>
      <c r="O42" s="2359"/>
      <c r="P42" s="2846"/>
      <c r="Q42" s="2359"/>
      <c r="R42" s="2359"/>
      <c r="S42" s="2359"/>
      <c r="T42" s="2359"/>
      <c r="U42" s="2359"/>
      <c r="V42" s="2359"/>
      <c r="W42" s="2359"/>
      <c r="X42" s="2359"/>
      <c r="Y42" s="2359"/>
      <c r="Z42" s="2359"/>
      <c r="AA42" s="2359"/>
      <c r="AB42" s="2359"/>
      <c r="AC42" s="2359"/>
    </row>
    <row r="43" spans="1:29" ht="13.5" customHeight="1">
      <c r="A43" s="2359"/>
      <c r="B43" s="2359"/>
      <c r="C43" s="840" t="s">
        <v>409</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5"/>
      <c r="L43" s="2186"/>
      <c r="M43" s="2359"/>
      <c r="N43" s="2359"/>
      <c r="O43" s="2359"/>
      <c r="P43" s="2846"/>
      <c r="Q43" s="2359"/>
      <c r="R43" s="2359"/>
      <c r="S43" s="2359"/>
      <c r="T43" s="2359"/>
      <c r="U43" s="2359"/>
      <c r="V43" s="2359"/>
      <c r="W43" s="2359"/>
      <c r="X43" s="2359"/>
      <c r="Y43" s="2359"/>
      <c r="Z43" s="2359"/>
      <c r="AA43" s="2359"/>
      <c r="AB43" s="2359"/>
      <c r="AC43" s="2359"/>
    </row>
    <row r="44" spans="1:29" s="845" customFormat="1" ht="13.5" customHeight="1">
      <c r="A44" s="2360"/>
      <c r="B44" s="2360"/>
      <c r="C44" s="840" t="s">
        <v>410</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3"/>
      <c r="L44" s="2364"/>
      <c r="M44" s="2360"/>
      <c r="N44" s="2360"/>
      <c r="O44" s="2360"/>
      <c r="P44" s="2847"/>
      <c r="Q44" s="2360"/>
      <c r="R44" s="2360"/>
      <c r="S44" s="2360"/>
      <c r="T44" s="2360"/>
      <c r="U44" s="2360"/>
      <c r="V44" s="2360"/>
      <c r="W44" s="2360"/>
      <c r="X44" s="2360"/>
      <c r="Y44" s="2360"/>
      <c r="Z44" s="2360"/>
      <c r="AA44" s="2360"/>
      <c r="AB44" s="2360"/>
      <c r="AC44" s="2360"/>
    </row>
    <row r="45" spans="1:29" s="845" customFormat="1">
      <c r="A45" s="2360"/>
      <c r="B45" s="2361"/>
      <c r="C45" s="2365"/>
      <c r="D45" s="2360"/>
      <c r="E45" s="2360"/>
      <c r="F45" s="2360"/>
      <c r="G45" s="2360"/>
      <c r="H45" s="2360"/>
      <c r="I45" s="2360"/>
      <c r="J45" s="2360"/>
      <c r="K45" s="2363"/>
      <c r="L45" s="2364"/>
      <c r="M45" s="2360"/>
      <c r="N45" s="2360"/>
      <c r="O45" s="2360"/>
      <c r="P45" s="2847"/>
      <c r="Q45" s="2360"/>
      <c r="R45" s="2360"/>
      <c r="S45" s="2360"/>
      <c r="T45" s="2360"/>
      <c r="U45" s="2360"/>
      <c r="V45" s="2360"/>
      <c r="W45" s="2360"/>
      <c r="X45" s="2360"/>
      <c r="Y45" s="2360"/>
      <c r="Z45" s="2360"/>
      <c r="AA45" s="2360"/>
      <c r="AB45" s="2360"/>
      <c r="AC45" s="2360"/>
    </row>
    <row r="46" spans="1:29">
      <c r="A46" s="2359"/>
      <c r="B46" s="2361"/>
      <c r="C46" s="2365"/>
      <c r="D46" s="2359"/>
      <c r="E46" s="2359"/>
      <c r="F46" s="2359"/>
      <c r="G46" s="2359"/>
      <c r="H46" s="2359"/>
      <c r="I46" s="2359"/>
      <c r="J46" s="2359"/>
      <c r="K46" s="2185"/>
      <c r="L46" s="2186"/>
      <c r="M46" s="2359"/>
      <c r="N46" s="2359"/>
      <c r="O46" s="2359"/>
      <c r="P46" s="2846"/>
      <c r="Q46" s="2359"/>
      <c r="R46" s="2359"/>
      <c r="S46" s="2359"/>
      <c r="T46" s="2359"/>
      <c r="U46" s="2359"/>
      <c r="V46" s="2359"/>
      <c r="W46" s="2359"/>
      <c r="X46" s="2359"/>
      <c r="Y46" s="2359"/>
      <c r="Z46" s="2359"/>
      <c r="AA46" s="2359"/>
      <c r="AB46" s="2359"/>
      <c r="AC46" s="2359"/>
    </row>
    <row r="47" spans="1:29" ht="21.75" thickBot="1">
      <c r="A47" s="2850" t="s">
        <v>411</v>
      </c>
      <c r="B47" s="2359"/>
      <c r="C47" s="2375"/>
      <c r="D47" s="2375"/>
      <c r="E47" s="2375"/>
      <c r="F47" s="2851"/>
      <c r="G47" s="2851"/>
      <c r="H47" s="2375"/>
      <c r="I47" s="2375"/>
      <c r="J47" s="2375"/>
      <c r="K47" s="2376"/>
      <c r="L47" s="2377"/>
      <c r="M47" s="2375"/>
      <c r="N47" s="2375"/>
      <c r="O47" s="2375"/>
      <c r="P47" s="2848"/>
      <c r="Q47" s="2849"/>
      <c r="R47" s="2359"/>
      <c r="S47" s="2359"/>
      <c r="T47" s="2359"/>
      <c r="U47" s="2359"/>
      <c r="V47" s="2359"/>
      <c r="W47" s="2359"/>
      <c r="X47" s="2359"/>
      <c r="Y47" s="2359"/>
      <c r="Z47" s="2359"/>
      <c r="AA47" s="2359"/>
      <c r="AB47" s="2359"/>
      <c r="AC47" s="2359"/>
    </row>
    <row r="48" spans="1:29" s="851" customFormat="1" ht="15">
      <c r="A48" s="848" t="s">
        <v>2792</v>
      </c>
      <c r="B48" s="849"/>
      <c r="C48" s="3042" t="str">
        <f>YEAR(C7)&amp;"-"&amp;MONTH(C7)</f>
        <v>2017-8</v>
      </c>
      <c r="D48" s="3043">
        <f>EDATE(C48,-1)</f>
        <v>42917</v>
      </c>
      <c r="E48" s="3043">
        <f t="shared" ref="E48:O48" si="16">EDATE(D48,-1)</f>
        <v>42887</v>
      </c>
      <c r="F48" s="3043">
        <f t="shared" si="16"/>
        <v>42856</v>
      </c>
      <c r="G48" s="3043">
        <f t="shared" si="16"/>
        <v>42826</v>
      </c>
      <c r="H48" s="3043">
        <f t="shared" si="16"/>
        <v>42795</v>
      </c>
      <c r="I48" s="3043">
        <f t="shared" si="16"/>
        <v>42767</v>
      </c>
      <c r="J48" s="3043">
        <f t="shared" si="16"/>
        <v>42736</v>
      </c>
      <c r="K48" s="3043">
        <f t="shared" si="16"/>
        <v>42705</v>
      </c>
      <c r="L48" s="3043">
        <f t="shared" si="16"/>
        <v>42675</v>
      </c>
      <c r="M48" s="3043">
        <f t="shared" si="16"/>
        <v>42644</v>
      </c>
      <c r="N48" s="3043">
        <f t="shared" si="16"/>
        <v>42614</v>
      </c>
      <c r="O48" s="3043">
        <f t="shared" si="16"/>
        <v>42583</v>
      </c>
      <c r="P48" s="2864"/>
      <c r="Q48" s="2865"/>
      <c r="R48" s="2865"/>
      <c r="S48" s="2865"/>
      <c r="T48" s="2865"/>
      <c r="U48" s="2865"/>
      <c r="V48" s="2865"/>
      <c r="W48" s="2865"/>
      <c r="X48" s="2865"/>
      <c r="Y48" s="2865"/>
      <c r="Z48" s="2865"/>
      <c r="AA48" s="2865"/>
      <c r="AB48" s="2865"/>
      <c r="AC48" s="2865"/>
    </row>
    <row r="49" spans="1:29" s="407" customFormat="1" ht="15">
      <c r="A49" s="852"/>
      <c r="B49" s="853"/>
      <c r="C49" s="3031">
        <v>100</v>
      </c>
      <c r="D49" s="855"/>
      <c r="E49" s="855"/>
      <c r="F49" s="855"/>
      <c r="G49" s="855"/>
      <c r="H49" s="855"/>
      <c r="I49" s="855"/>
      <c r="J49" s="855"/>
      <c r="K49" s="855"/>
      <c r="L49" s="855"/>
      <c r="M49" s="856"/>
      <c r="N49" s="855"/>
      <c r="O49" s="856"/>
      <c r="P49" s="2854"/>
      <c r="Q49" s="2853"/>
      <c r="R49" s="2853"/>
      <c r="S49" s="2853"/>
      <c r="T49" s="2853"/>
      <c r="U49" s="2853"/>
      <c r="V49" s="2853"/>
      <c r="W49" s="2853"/>
      <c r="X49" s="2853"/>
      <c r="Y49" s="2853"/>
      <c r="Z49" s="2853"/>
      <c r="AA49" s="2853"/>
      <c r="AB49" s="2853"/>
      <c r="AC49" s="2853"/>
    </row>
    <row r="50" spans="1:29" s="407" customFormat="1" ht="15.75" thickBot="1">
      <c r="A50" s="858" t="s">
        <v>412</v>
      </c>
      <c r="B50" s="859"/>
      <c r="C50" s="860"/>
      <c r="D50" s="861"/>
      <c r="E50" s="861"/>
      <c r="F50" s="861"/>
      <c r="G50" s="861"/>
      <c r="H50" s="861"/>
      <c r="I50" s="861"/>
      <c r="J50" s="861"/>
      <c r="K50" s="861"/>
      <c r="L50" s="861"/>
      <c r="M50" s="862"/>
      <c r="N50" s="861"/>
      <c r="O50" s="862"/>
      <c r="P50" s="2854"/>
      <c r="Q50" s="2849"/>
      <c r="R50" s="2853"/>
      <c r="S50" s="2853"/>
      <c r="T50" s="2853"/>
      <c r="U50" s="2853"/>
      <c r="V50" s="2853"/>
      <c r="W50" s="2853"/>
      <c r="X50" s="2853"/>
      <c r="Y50" s="2853"/>
      <c r="Z50" s="2853"/>
      <c r="AA50" s="2853"/>
      <c r="AB50" s="2853"/>
      <c r="AC50" s="2853"/>
    </row>
    <row r="51" spans="1:29" s="407" customFormat="1" ht="15">
      <c r="A51" s="864" t="s">
        <v>396</v>
      </c>
      <c r="B51" s="853"/>
      <c r="C51" s="865" t="s">
        <v>413</v>
      </c>
      <c r="D51" s="866"/>
      <c r="E51" s="866"/>
      <c r="F51" s="866"/>
      <c r="G51" s="866"/>
      <c r="H51" s="866"/>
      <c r="I51" s="866"/>
      <c r="J51" s="866"/>
      <c r="K51" s="866"/>
      <c r="L51" s="867"/>
      <c r="M51" s="868"/>
      <c r="N51" s="2366"/>
      <c r="O51" s="2366"/>
      <c r="P51" s="2852"/>
      <c r="Q51" s="2849"/>
      <c r="R51" s="2853"/>
      <c r="S51" s="2853"/>
      <c r="T51" s="2853"/>
      <c r="U51" s="2853"/>
      <c r="V51" s="2853"/>
      <c r="W51" s="2853"/>
      <c r="X51" s="2853"/>
      <c r="Y51" s="2853"/>
      <c r="Z51" s="2853"/>
      <c r="AA51" s="2853"/>
      <c r="AB51" s="2853"/>
      <c r="AC51" s="2853"/>
    </row>
    <row r="52" spans="1:29" s="407" customFormat="1" ht="15.75" thickBot="1">
      <c r="A52" s="864"/>
      <c r="B52" s="853"/>
      <c r="C52" s="982">
        <v>100</v>
      </c>
      <c r="D52" s="855"/>
      <c r="E52" s="855"/>
      <c r="F52" s="855"/>
      <c r="G52" s="855"/>
      <c r="H52" s="855"/>
      <c r="I52" s="855"/>
      <c r="J52" s="855"/>
      <c r="K52" s="855"/>
      <c r="L52" s="855"/>
      <c r="M52" s="857"/>
      <c r="N52" s="2366"/>
      <c r="O52" s="2366"/>
      <c r="P52" s="2854"/>
      <c r="Q52" s="2849"/>
      <c r="R52" s="2853"/>
      <c r="S52" s="2853"/>
      <c r="T52" s="2853"/>
      <c r="U52" s="2853"/>
      <c r="V52" s="2853"/>
      <c r="W52" s="2853"/>
      <c r="X52" s="2853"/>
      <c r="Y52" s="2853"/>
      <c r="Z52" s="2853"/>
      <c r="AA52" s="2853"/>
      <c r="AB52" s="2853"/>
      <c r="AC52" s="2853"/>
    </row>
    <row r="53" spans="1:29">
      <c r="A53" s="870" t="s">
        <v>414</v>
      </c>
      <c r="B53" s="871" t="s">
        <v>415</v>
      </c>
      <c r="C53" s="872">
        <f>C9</f>
        <v>0</v>
      </c>
      <c r="D53" s="873"/>
      <c r="E53" s="873"/>
      <c r="F53" s="873"/>
      <c r="G53" s="873"/>
      <c r="H53" s="873"/>
      <c r="I53" s="873"/>
      <c r="J53" s="873"/>
      <c r="K53" s="874"/>
      <c r="L53" s="875"/>
      <c r="M53" s="876"/>
      <c r="N53" s="2367"/>
      <c r="O53" s="2367"/>
      <c r="P53" s="2855"/>
      <c r="Q53" s="2849"/>
      <c r="R53" s="2359"/>
      <c r="S53" s="2359"/>
      <c r="T53" s="2359"/>
      <c r="U53" s="2359"/>
      <c r="V53" s="2359"/>
      <c r="W53" s="2359"/>
      <c r="X53" s="2359"/>
      <c r="Y53" s="2359"/>
      <c r="Z53" s="2359"/>
      <c r="AA53" s="2359"/>
      <c r="AB53" s="2359"/>
      <c r="AC53" s="2359"/>
    </row>
    <row r="54" spans="1:29" ht="15.75" thickBot="1">
      <c r="A54" s="877"/>
      <c r="B54" s="878"/>
      <c r="C54" s="879">
        <v>100</v>
      </c>
      <c r="D54" s="879"/>
      <c r="E54" s="879"/>
      <c r="F54" s="879"/>
      <c r="G54" s="879"/>
      <c r="H54" s="879"/>
      <c r="I54" s="879"/>
      <c r="J54" s="879"/>
      <c r="K54" s="879"/>
      <c r="L54" s="879"/>
      <c r="M54" s="880"/>
      <c r="N54" s="2368"/>
      <c r="O54" s="2368"/>
      <c r="P54" s="2855"/>
      <c r="Q54" s="2849"/>
      <c r="R54" s="2359"/>
      <c r="S54" s="2359"/>
      <c r="T54" s="2359"/>
      <c r="U54" s="2359"/>
      <c r="V54" s="2359"/>
      <c r="W54" s="2359"/>
      <c r="X54" s="2359"/>
      <c r="Y54" s="2359"/>
      <c r="Z54" s="2359"/>
      <c r="AA54" s="2359"/>
      <c r="AB54" s="2359"/>
      <c r="AC54" s="2359"/>
    </row>
    <row r="55" spans="1:29" ht="27.75" thickTop="1">
      <c r="A55" s="877"/>
      <c r="B55" s="881" t="s">
        <v>400</v>
      </c>
      <c r="C55" s="882" t="s">
        <v>416</v>
      </c>
      <c r="D55" s="882" t="s">
        <v>417</v>
      </c>
      <c r="E55" s="882" t="s">
        <v>418</v>
      </c>
      <c r="F55" s="882" t="s">
        <v>419</v>
      </c>
      <c r="G55" s="882" t="s">
        <v>434</v>
      </c>
      <c r="H55" s="882" t="s">
        <v>435</v>
      </c>
      <c r="I55" s="882" t="s">
        <v>436</v>
      </c>
      <c r="J55" s="882"/>
      <c r="K55" s="883"/>
      <c r="L55" s="884"/>
      <c r="M55" s="885"/>
      <c r="N55" s="2367"/>
      <c r="O55" s="2367"/>
      <c r="P55" s="2855"/>
      <c r="Q55" s="2849"/>
      <c r="R55" s="2359"/>
      <c r="S55" s="2359"/>
      <c r="T55" s="2359"/>
      <c r="U55" s="2359"/>
      <c r="V55" s="2359"/>
      <c r="W55" s="2359"/>
      <c r="X55" s="2359"/>
      <c r="Y55" s="2359"/>
      <c r="Z55" s="2359"/>
      <c r="AA55" s="2359"/>
      <c r="AB55" s="2359"/>
      <c r="AC55" s="2359"/>
    </row>
    <row r="56" spans="1:29" ht="15.75" thickBot="1">
      <c r="A56" s="877"/>
      <c r="B56" s="886"/>
      <c r="C56" s="887" t="s">
        <v>134</v>
      </c>
      <c r="D56" s="887" t="s">
        <v>135</v>
      </c>
      <c r="E56" s="887">
        <v>100</v>
      </c>
      <c r="F56" s="887">
        <f>E56-$K10</f>
        <v>100</v>
      </c>
      <c r="G56" s="887">
        <f>F56-$K10</f>
        <v>100</v>
      </c>
      <c r="H56" s="887">
        <f>G56-$K10</f>
        <v>100</v>
      </c>
      <c r="I56" s="887">
        <f>H56-$K10</f>
        <v>100</v>
      </c>
      <c r="J56" s="887"/>
      <c r="K56" s="887"/>
      <c r="L56" s="887"/>
      <c r="M56" s="888"/>
      <c r="N56" s="2368"/>
      <c r="O56" s="2368"/>
      <c r="P56" s="2855"/>
      <c r="Q56" s="2849"/>
      <c r="R56" s="2359"/>
      <c r="S56" s="2359"/>
      <c r="T56" s="2359"/>
      <c r="U56" s="2359"/>
      <c r="V56" s="2359"/>
      <c r="W56" s="2359"/>
      <c r="X56" s="2359"/>
      <c r="Y56" s="2359"/>
      <c r="Z56" s="2359"/>
      <c r="AA56" s="2359"/>
      <c r="AB56" s="2359"/>
      <c r="AC56" s="2359"/>
    </row>
    <row r="57" spans="1:29" ht="15.75" thickTop="1">
      <c r="A57" s="877"/>
      <c r="B57" s="1003">
        <f>B11</f>
        <v>111</v>
      </c>
      <c r="C57" s="892"/>
      <c r="D57" s="892"/>
      <c r="E57" s="892"/>
      <c r="F57" s="892"/>
      <c r="G57" s="892"/>
      <c r="H57" s="892"/>
      <c r="I57" s="892"/>
      <c r="J57" s="892"/>
      <c r="K57" s="893"/>
      <c r="L57" s="894"/>
      <c r="M57" s="895"/>
      <c r="N57" s="2367"/>
      <c r="O57" s="2367"/>
      <c r="P57" s="2855"/>
      <c r="Q57" s="2849"/>
      <c r="R57" s="2359"/>
      <c r="S57" s="2359"/>
      <c r="T57" s="2359"/>
      <c r="U57" s="2359"/>
      <c r="V57" s="2359"/>
      <c r="W57" s="2359"/>
      <c r="X57" s="2359"/>
      <c r="Y57" s="2359"/>
      <c r="Z57" s="2359"/>
      <c r="AA57" s="2359"/>
      <c r="AB57" s="2359"/>
      <c r="AC57" s="2359"/>
    </row>
    <row r="58" spans="1:29" ht="15.75" thickBot="1">
      <c r="A58" s="877"/>
      <c r="B58" s="878"/>
      <c r="C58" s="903"/>
      <c r="D58" s="879"/>
      <c r="E58" s="879"/>
      <c r="F58" s="879"/>
      <c r="G58" s="879"/>
      <c r="H58" s="879"/>
      <c r="I58" s="879"/>
      <c r="J58" s="879"/>
      <c r="K58" s="879"/>
      <c r="L58" s="879"/>
      <c r="M58" s="880"/>
      <c r="N58" s="2368"/>
      <c r="O58" s="2368"/>
      <c r="P58" s="2855"/>
      <c r="Q58" s="2849"/>
      <c r="R58" s="2359"/>
      <c r="S58" s="2359"/>
      <c r="T58" s="2359"/>
      <c r="U58" s="2359"/>
      <c r="V58" s="2359"/>
      <c r="W58" s="2359"/>
      <c r="X58" s="2359"/>
      <c r="Y58" s="2359"/>
      <c r="Z58" s="2359"/>
      <c r="AA58" s="2359"/>
      <c r="AB58" s="2359"/>
      <c r="AC58" s="2359"/>
    </row>
    <row r="59" spans="1:29" s="814" customFormat="1" ht="15.75" thickTop="1">
      <c r="A59" s="896"/>
      <c r="B59" s="881">
        <f>B12</f>
        <v>111</v>
      </c>
      <c r="C59" s="892"/>
      <c r="D59" s="892"/>
      <c r="E59" s="892"/>
      <c r="F59" s="892"/>
      <c r="G59" s="897"/>
      <c r="H59" s="898"/>
      <c r="I59" s="898"/>
      <c r="J59" s="898"/>
      <c r="K59" s="898"/>
      <c r="L59" s="899"/>
      <c r="M59" s="900"/>
      <c r="N59" s="2369"/>
      <c r="O59" s="2369"/>
      <c r="P59" s="2856"/>
      <c r="Q59" s="2857"/>
      <c r="R59" s="2858"/>
      <c r="S59" s="2858"/>
      <c r="T59" s="2858"/>
      <c r="U59" s="2858"/>
      <c r="V59" s="2858"/>
      <c r="W59" s="2858"/>
      <c r="X59" s="2858"/>
      <c r="Y59" s="2858"/>
      <c r="Z59" s="2858"/>
      <c r="AA59" s="2858"/>
      <c r="AB59" s="2858"/>
      <c r="AC59" s="2858"/>
    </row>
    <row r="60" spans="1:29" s="814" customFormat="1" ht="15.75" thickBot="1">
      <c r="A60" s="896"/>
      <c r="B60" s="886"/>
      <c r="C60" s="903"/>
      <c r="D60" s="879"/>
      <c r="E60" s="879"/>
      <c r="F60" s="879"/>
      <c r="G60" s="879"/>
      <c r="H60" s="879"/>
      <c r="I60" s="879"/>
      <c r="J60" s="879"/>
      <c r="K60" s="879"/>
      <c r="L60" s="879"/>
      <c r="M60" s="880"/>
      <c r="N60" s="2368"/>
      <c r="O60" s="2368"/>
      <c r="P60" s="2856"/>
      <c r="Q60" s="2857"/>
      <c r="R60" s="2858"/>
      <c r="S60" s="2858"/>
      <c r="T60" s="2858"/>
      <c r="U60" s="2858"/>
      <c r="V60" s="2858"/>
      <c r="W60" s="2858"/>
      <c r="X60" s="2858"/>
      <c r="Y60" s="2858"/>
      <c r="Z60" s="2858"/>
      <c r="AA60" s="2858"/>
      <c r="AB60" s="2858"/>
      <c r="AC60" s="2858"/>
    </row>
    <row r="61" spans="1:29" s="814" customFormat="1" ht="15.75" thickTop="1">
      <c r="A61" s="896"/>
      <c r="B61" s="881">
        <f>B13</f>
        <v>111</v>
      </c>
      <c r="C61" s="897"/>
      <c r="D61" s="897"/>
      <c r="E61" s="897"/>
      <c r="F61" s="897"/>
      <c r="G61" s="897"/>
      <c r="H61" s="898"/>
      <c r="I61" s="898"/>
      <c r="J61" s="898"/>
      <c r="K61" s="898"/>
      <c r="L61" s="899"/>
      <c r="M61" s="900"/>
      <c r="N61" s="2369"/>
      <c r="O61" s="2369"/>
      <c r="P61" s="2859"/>
      <c r="Q61" s="2860"/>
      <c r="R61" s="2858"/>
      <c r="S61" s="2858"/>
      <c r="T61" s="2858"/>
      <c r="U61" s="2858"/>
      <c r="V61" s="2858"/>
      <c r="W61" s="2858"/>
      <c r="X61" s="2858"/>
      <c r="Y61" s="2858"/>
      <c r="Z61" s="2858"/>
      <c r="AA61" s="2858"/>
      <c r="AB61" s="2858"/>
      <c r="AC61" s="2858"/>
    </row>
    <row r="62" spans="1:29" s="814" customFormat="1" ht="15.75" thickBot="1">
      <c r="A62" s="896"/>
      <c r="B62" s="886"/>
      <c r="C62" s="903"/>
      <c r="D62" s="903"/>
      <c r="E62" s="903"/>
      <c r="F62" s="903"/>
      <c r="G62" s="903"/>
      <c r="H62" s="905"/>
      <c r="I62" s="905"/>
      <c r="J62" s="905"/>
      <c r="K62" s="905"/>
      <c r="L62" s="905"/>
      <c r="M62" s="906"/>
      <c r="N62" s="2369"/>
      <c r="O62" s="2369"/>
      <c r="P62" s="2856"/>
      <c r="Q62" s="2857"/>
      <c r="R62" s="2858"/>
      <c r="S62" s="2858"/>
      <c r="T62" s="2858"/>
      <c r="U62" s="2858"/>
      <c r="V62" s="2858"/>
      <c r="W62" s="2858"/>
      <c r="X62" s="2858"/>
      <c r="Y62" s="2858"/>
      <c r="Z62" s="2858"/>
      <c r="AA62" s="2858"/>
      <c r="AB62" s="2858"/>
      <c r="AC62" s="2858"/>
    </row>
    <row r="63" spans="1:29" ht="15" thickTop="1">
      <c r="A63" s="870" t="s">
        <v>402</v>
      </c>
      <c r="B63" s="871" t="s">
        <v>426</v>
      </c>
      <c r="C63" s="916" t="s">
        <v>421</v>
      </c>
      <c r="D63" s="916" t="s">
        <v>422</v>
      </c>
      <c r="E63" s="916" t="s">
        <v>423</v>
      </c>
      <c r="F63" s="916" t="s">
        <v>424</v>
      </c>
      <c r="G63" s="916" t="s">
        <v>425</v>
      </c>
      <c r="H63" s="872"/>
      <c r="I63" s="872"/>
      <c r="J63" s="872"/>
      <c r="K63" s="917"/>
      <c r="L63" s="918"/>
      <c r="M63" s="919"/>
      <c r="N63" s="2367"/>
      <c r="O63" s="2367"/>
      <c r="P63" s="2861"/>
      <c r="Q63" s="2849"/>
      <c r="R63" s="2359"/>
      <c r="S63" s="2359"/>
      <c r="T63" s="2359"/>
      <c r="U63" s="2359"/>
      <c r="V63" s="2359"/>
      <c r="W63" s="2359"/>
      <c r="X63" s="2359"/>
      <c r="Y63" s="2359"/>
      <c r="Z63" s="2359"/>
      <c r="AA63" s="2359"/>
      <c r="AB63" s="2359"/>
      <c r="AC63" s="2359"/>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68"/>
      <c r="O64" s="2368"/>
      <c r="P64" s="2855"/>
      <c r="Q64" s="2849"/>
      <c r="R64" s="2359"/>
      <c r="S64" s="2359"/>
      <c r="T64" s="2359"/>
      <c r="U64" s="2359"/>
      <c r="V64" s="2359"/>
      <c r="W64" s="2359"/>
      <c r="X64" s="2359"/>
      <c r="Y64" s="2359"/>
      <c r="Z64" s="2359"/>
      <c r="AA64" s="2359"/>
      <c r="AB64" s="2359"/>
      <c r="AC64" s="2359"/>
    </row>
    <row r="65" spans="1:29" ht="15.75" thickTop="1">
      <c r="A65" s="877"/>
      <c r="B65" s="1054" t="s">
        <v>2634</v>
      </c>
      <c r="C65" s="921" t="s">
        <v>421</v>
      </c>
      <c r="D65" s="921" t="s">
        <v>422</v>
      </c>
      <c r="E65" s="921" t="s">
        <v>423</v>
      </c>
      <c r="F65" s="921" t="s">
        <v>424</v>
      </c>
      <c r="G65" s="921" t="s">
        <v>425</v>
      </c>
      <c r="H65" s="882"/>
      <c r="I65" s="882"/>
      <c r="J65" s="882"/>
      <c r="K65" s="883"/>
      <c r="L65" s="884"/>
      <c r="M65" s="885"/>
      <c r="N65" s="2367"/>
      <c r="O65" s="2367"/>
      <c r="P65" s="2855"/>
      <c r="Q65" s="2849"/>
      <c r="R65" s="2359"/>
      <c r="S65" s="2359"/>
      <c r="T65" s="2359"/>
      <c r="U65" s="2359"/>
      <c r="V65" s="2359"/>
      <c r="W65" s="2359"/>
      <c r="X65" s="2359"/>
      <c r="Y65" s="2359"/>
      <c r="Z65" s="2359"/>
      <c r="AA65" s="2359"/>
      <c r="AB65" s="2359"/>
      <c r="AC65" s="2359"/>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68"/>
      <c r="O66" s="2368"/>
      <c r="P66" s="2855"/>
      <c r="Q66" s="2849"/>
      <c r="R66" s="2359"/>
      <c r="S66" s="2359"/>
      <c r="T66" s="2359"/>
      <c r="U66" s="2359"/>
      <c r="V66" s="2359"/>
      <c r="W66" s="2359"/>
      <c r="X66" s="2359"/>
      <c r="Y66" s="2359"/>
      <c r="Z66" s="2359"/>
      <c r="AA66" s="2359"/>
      <c r="AB66" s="2359"/>
      <c r="AC66" s="2359"/>
    </row>
    <row r="67" spans="1:29" ht="15.75" thickTop="1">
      <c r="A67" s="877"/>
      <c r="B67" s="1056" t="s">
        <v>2664</v>
      </c>
      <c r="C67" s="213" t="s">
        <v>2654</v>
      </c>
      <c r="D67" s="213" t="s">
        <v>2655</v>
      </c>
      <c r="E67" s="213" t="s">
        <v>2656</v>
      </c>
      <c r="F67" s="213" t="s">
        <v>2657</v>
      </c>
      <c r="G67" s="213" t="s">
        <v>2658</v>
      </c>
      <c r="H67" s="882"/>
      <c r="I67" s="882"/>
      <c r="J67" s="882"/>
      <c r="K67" s="882"/>
      <c r="L67" s="882"/>
      <c r="M67" s="2762"/>
      <c r="N67" s="2368"/>
      <c r="O67" s="2368"/>
      <c r="P67" s="2855"/>
      <c r="Q67" s="2849"/>
      <c r="R67" s="2359"/>
      <c r="S67" s="2359"/>
      <c r="T67" s="2359"/>
      <c r="U67" s="2359"/>
      <c r="V67" s="2359"/>
      <c r="W67" s="2359"/>
      <c r="X67" s="2359"/>
      <c r="Y67" s="2359"/>
      <c r="Z67" s="2359"/>
      <c r="AA67" s="2359"/>
      <c r="AB67" s="2359"/>
      <c r="AC67" s="2359"/>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68"/>
      <c r="O68" s="2368"/>
      <c r="P68" s="2855"/>
      <c r="Q68" s="2849"/>
      <c r="R68" s="2359"/>
      <c r="S68" s="2359"/>
      <c r="T68" s="2359"/>
      <c r="U68" s="2359"/>
      <c r="V68" s="2359"/>
      <c r="W68" s="2359"/>
      <c r="X68" s="2359"/>
      <c r="Y68" s="2359"/>
      <c r="Z68" s="2359"/>
      <c r="AA68" s="2359"/>
      <c r="AB68" s="2359"/>
      <c r="AC68" s="2359"/>
    </row>
    <row r="69" spans="1:29" ht="15.75" thickTop="1">
      <c r="A69" s="877"/>
      <c r="B69" s="881" t="s">
        <v>428</v>
      </c>
      <c r="C69" s="921" t="s">
        <v>421</v>
      </c>
      <c r="D69" s="921" t="s">
        <v>422</v>
      </c>
      <c r="E69" s="921" t="s">
        <v>423</v>
      </c>
      <c r="F69" s="921" t="s">
        <v>424</v>
      </c>
      <c r="G69" s="921" t="s">
        <v>425</v>
      </c>
      <c r="H69" s="882"/>
      <c r="I69" s="882"/>
      <c r="J69" s="882"/>
      <c r="K69" s="883"/>
      <c r="L69" s="884"/>
      <c r="M69" s="885"/>
      <c r="N69" s="2367"/>
      <c r="O69" s="2367"/>
      <c r="P69" s="2855"/>
      <c r="Q69" s="2849"/>
      <c r="R69" s="2359"/>
      <c r="S69" s="2359"/>
      <c r="T69" s="2359"/>
      <c r="U69" s="2359"/>
      <c r="V69" s="2359"/>
      <c r="W69" s="2359"/>
      <c r="X69" s="2359"/>
      <c r="Y69" s="2359"/>
      <c r="Z69" s="2359"/>
      <c r="AA69" s="2359"/>
      <c r="AB69" s="2359"/>
      <c r="AC69" s="2359"/>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68"/>
      <c r="O70" s="2368"/>
      <c r="P70" s="2855"/>
      <c r="Q70" s="2849"/>
      <c r="R70" s="2359"/>
      <c r="S70" s="2359"/>
      <c r="T70" s="2359"/>
      <c r="U70" s="2359"/>
      <c r="V70" s="2359"/>
      <c r="W70" s="2359"/>
      <c r="X70" s="2359"/>
      <c r="Y70" s="2359"/>
      <c r="Z70" s="2359"/>
      <c r="AA70" s="2359"/>
      <c r="AB70" s="2359"/>
      <c r="AC70" s="2359"/>
    </row>
    <row r="71" spans="1:29" ht="15.75" thickTop="1">
      <c r="A71" s="877"/>
      <c r="B71" s="881" t="s">
        <v>429</v>
      </c>
      <c r="C71" s="897"/>
      <c r="D71" s="897"/>
      <c r="E71" s="897"/>
      <c r="F71" s="897"/>
      <c r="G71" s="897"/>
      <c r="H71" s="926"/>
      <c r="I71" s="926"/>
      <c r="J71" s="926"/>
      <c r="K71" s="927"/>
      <c r="L71" s="928"/>
      <c r="M71" s="929"/>
      <c r="N71" s="2367"/>
      <c r="O71" s="2367"/>
      <c r="P71" s="2855"/>
      <c r="Q71" s="2849"/>
      <c r="R71" s="2359"/>
      <c r="S71" s="2359"/>
      <c r="T71" s="2359"/>
      <c r="U71" s="2359"/>
      <c r="V71" s="2359"/>
      <c r="W71" s="2359"/>
      <c r="X71" s="2359"/>
      <c r="Y71" s="2359"/>
      <c r="Z71" s="2359"/>
      <c r="AA71" s="2359"/>
      <c r="AB71" s="2359"/>
      <c r="AC71" s="2359"/>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68"/>
      <c r="O72" s="2368"/>
      <c r="P72" s="2855"/>
      <c r="Q72" s="2849"/>
      <c r="R72" s="2359"/>
      <c r="S72" s="2359"/>
      <c r="T72" s="2359"/>
      <c r="U72" s="2359"/>
      <c r="V72" s="2359"/>
      <c r="W72" s="2359"/>
      <c r="X72" s="2359"/>
      <c r="Y72" s="2359"/>
      <c r="Z72" s="2359"/>
      <c r="AA72" s="2359"/>
      <c r="AB72" s="2359"/>
      <c r="AC72" s="2359"/>
    </row>
    <row r="73" spans="1:29" s="407" customFormat="1" ht="15.75" thickTop="1">
      <c r="A73" s="922"/>
      <c r="B73" s="881">
        <f>B23</f>
        <v>111</v>
      </c>
      <c r="C73" s="892"/>
      <c r="D73" s="892"/>
      <c r="E73" s="892"/>
      <c r="F73" s="892"/>
      <c r="G73" s="897"/>
      <c r="H73" s="897"/>
      <c r="I73" s="897"/>
      <c r="J73" s="897"/>
      <c r="K73" s="897"/>
      <c r="L73" s="923"/>
      <c r="M73" s="924"/>
      <c r="N73" s="2366"/>
      <c r="O73" s="2366"/>
      <c r="P73" s="2855"/>
      <c r="Q73" s="2849"/>
      <c r="R73" s="2853"/>
      <c r="S73" s="2853"/>
      <c r="T73" s="2853"/>
      <c r="U73" s="2853"/>
      <c r="V73" s="2853"/>
      <c r="W73" s="2853"/>
      <c r="X73" s="2853"/>
      <c r="Y73" s="2853"/>
      <c r="Z73" s="2853"/>
      <c r="AA73" s="2853"/>
      <c r="AB73" s="2853"/>
      <c r="AC73" s="2853"/>
    </row>
    <row r="74" spans="1:29" s="407" customFormat="1" ht="15.75" thickBot="1">
      <c r="A74" s="922"/>
      <c r="B74" s="886"/>
      <c r="C74" s="903"/>
      <c r="D74" s="879"/>
      <c r="E74" s="879"/>
      <c r="F74" s="879"/>
      <c r="G74" s="879"/>
      <c r="H74" s="879"/>
      <c r="I74" s="879"/>
      <c r="J74" s="879"/>
      <c r="K74" s="879"/>
      <c r="L74" s="879"/>
      <c r="M74" s="880"/>
      <c r="N74" s="2368"/>
      <c r="O74" s="2368"/>
      <c r="P74" s="2855"/>
      <c r="Q74" s="2849"/>
      <c r="R74" s="2853"/>
      <c r="S74" s="2853"/>
      <c r="T74" s="2853"/>
      <c r="U74" s="2853"/>
      <c r="V74" s="2853"/>
      <c r="W74" s="2853"/>
      <c r="X74" s="2853"/>
      <c r="Y74" s="2853"/>
      <c r="Z74" s="2853"/>
      <c r="AA74" s="2853"/>
      <c r="AB74" s="2853"/>
      <c r="AC74" s="2853"/>
    </row>
    <row r="75" spans="1:29" s="407" customFormat="1" ht="15.75" thickTop="1">
      <c r="A75" s="922"/>
      <c r="B75" s="881">
        <f>B24</f>
        <v>111</v>
      </c>
      <c r="C75" s="892"/>
      <c r="D75" s="892"/>
      <c r="E75" s="892"/>
      <c r="F75" s="892"/>
      <c r="G75" s="897"/>
      <c r="H75" s="897"/>
      <c r="I75" s="897"/>
      <c r="J75" s="897"/>
      <c r="K75" s="897"/>
      <c r="L75" s="897"/>
      <c r="M75" s="924"/>
      <c r="N75" s="2366"/>
      <c r="O75" s="2366"/>
      <c r="P75" s="2855"/>
      <c r="Q75" s="2849"/>
      <c r="R75" s="2853"/>
      <c r="S75" s="2853"/>
      <c r="T75" s="2853"/>
      <c r="U75" s="2853"/>
      <c r="V75" s="2853"/>
      <c r="W75" s="2853"/>
      <c r="X75" s="2853"/>
      <c r="Y75" s="2853"/>
      <c r="Z75" s="2853"/>
      <c r="AA75" s="2853"/>
      <c r="AB75" s="2853"/>
      <c r="AC75" s="2853"/>
    </row>
    <row r="76" spans="1:29" s="407" customFormat="1" ht="15.75" thickBot="1">
      <c r="A76" s="922"/>
      <c r="B76" s="886"/>
      <c r="C76" s="903"/>
      <c r="D76" s="879"/>
      <c r="E76" s="879"/>
      <c r="F76" s="879"/>
      <c r="G76" s="879"/>
      <c r="H76" s="879"/>
      <c r="I76" s="879"/>
      <c r="J76" s="879"/>
      <c r="K76" s="879"/>
      <c r="L76" s="879"/>
      <c r="M76" s="880"/>
      <c r="N76" s="2368"/>
      <c r="O76" s="2368"/>
      <c r="P76" s="2855"/>
      <c r="Q76" s="2849"/>
      <c r="R76" s="2853"/>
      <c r="S76" s="2853"/>
      <c r="T76" s="2853"/>
      <c r="U76" s="2853"/>
      <c r="V76" s="2853"/>
      <c r="W76" s="2853"/>
      <c r="X76" s="2853"/>
      <c r="Y76" s="2853"/>
      <c r="Z76" s="2853"/>
      <c r="AA76" s="2853"/>
      <c r="AB76" s="2853"/>
      <c r="AC76" s="2853"/>
    </row>
    <row r="77" spans="1:29" s="814" customFormat="1" ht="15.75" thickTop="1">
      <c r="A77" s="896"/>
      <c r="B77" s="881">
        <f>B25</f>
        <v>111</v>
      </c>
      <c r="C77" s="897"/>
      <c r="D77" s="897"/>
      <c r="E77" s="897"/>
      <c r="F77" s="897"/>
      <c r="G77" s="897"/>
      <c r="H77" s="898"/>
      <c r="I77" s="898"/>
      <c r="J77" s="898"/>
      <c r="K77" s="898"/>
      <c r="L77" s="899"/>
      <c r="M77" s="900"/>
      <c r="N77" s="2369"/>
      <c r="O77" s="2369"/>
      <c r="P77" s="2856"/>
      <c r="Q77" s="2857"/>
      <c r="R77" s="2858"/>
      <c r="S77" s="2858"/>
      <c r="T77" s="2858"/>
      <c r="U77" s="2858"/>
      <c r="V77" s="2858"/>
      <c r="W77" s="2858"/>
      <c r="X77" s="2858"/>
      <c r="Y77" s="2858"/>
      <c r="Z77" s="2858"/>
      <c r="AA77" s="2858"/>
      <c r="AB77" s="2858"/>
      <c r="AC77" s="2858"/>
    </row>
    <row r="78" spans="1:29" s="814" customFormat="1" ht="15.75" thickBot="1">
      <c r="A78" s="896"/>
      <c r="B78" s="886"/>
      <c r="C78" s="903"/>
      <c r="D78" s="903"/>
      <c r="E78" s="903"/>
      <c r="F78" s="903"/>
      <c r="G78" s="879"/>
      <c r="H78" s="879"/>
      <c r="I78" s="879"/>
      <c r="J78" s="879"/>
      <c r="K78" s="879"/>
      <c r="L78" s="879"/>
      <c r="M78" s="880"/>
      <c r="N78" s="2369"/>
      <c r="O78" s="2369"/>
      <c r="P78" s="2856"/>
      <c r="Q78" s="2857"/>
      <c r="R78" s="2858"/>
      <c r="S78" s="2858"/>
      <c r="T78" s="2858"/>
      <c r="U78" s="2858"/>
      <c r="V78" s="2858"/>
      <c r="W78" s="2858"/>
      <c r="X78" s="2858"/>
      <c r="Y78" s="2858"/>
      <c r="Z78" s="2858"/>
      <c r="AA78" s="2858"/>
      <c r="AB78" s="2858"/>
      <c r="AC78" s="2858"/>
    </row>
    <row r="79" spans="1:29" ht="27.75" thickTop="1">
      <c r="A79" s="870" t="s">
        <v>404</v>
      </c>
      <c r="B79" s="871" t="s">
        <v>463</v>
      </c>
      <c r="C79" s="872">
        <f>C26</f>
        <v>0</v>
      </c>
      <c r="D79" s="873"/>
      <c r="E79" s="873"/>
      <c r="F79" s="873"/>
      <c r="G79" s="873"/>
      <c r="H79" s="873"/>
      <c r="I79" s="873"/>
      <c r="J79" s="873"/>
      <c r="K79" s="874"/>
      <c r="L79" s="875"/>
      <c r="M79" s="876"/>
      <c r="N79" s="2367"/>
      <c r="O79" s="2367"/>
      <c r="P79" s="2855"/>
      <c r="Q79" s="2849"/>
      <c r="R79" s="2359"/>
      <c r="S79" s="2359"/>
      <c r="T79" s="2359"/>
      <c r="U79" s="2359"/>
      <c r="V79" s="2359"/>
      <c r="W79" s="2359"/>
      <c r="X79" s="2359"/>
      <c r="Y79" s="2359"/>
      <c r="Z79" s="2359"/>
      <c r="AA79" s="2359"/>
      <c r="AB79" s="2359"/>
      <c r="AC79" s="2359"/>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68"/>
      <c r="O80" s="2368"/>
      <c r="P80" s="2855"/>
      <c r="Q80" s="2849"/>
      <c r="R80" s="2359"/>
      <c r="S80" s="2359"/>
      <c r="T80" s="2359"/>
      <c r="U80" s="2359"/>
      <c r="V80" s="2359"/>
      <c r="W80" s="2359"/>
      <c r="X80" s="2359"/>
      <c r="Y80" s="2359"/>
      <c r="Z80" s="2359"/>
      <c r="AA80" s="2359"/>
      <c r="AB80" s="2359"/>
      <c r="AC80" s="2359"/>
    </row>
    <row r="81" spans="1:29" ht="15.75" thickTop="1">
      <c r="A81" s="877"/>
      <c r="B81" s="881" t="s">
        <v>464</v>
      </c>
      <c r="C81" s="1004"/>
      <c r="D81" s="1004"/>
      <c r="E81" s="1004"/>
      <c r="F81" s="1004"/>
      <c r="G81" s="1004"/>
      <c r="H81" s="1004"/>
      <c r="I81" s="1004"/>
      <c r="J81" s="1004"/>
      <c r="K81" s="1005"/>
      <c r="L81" s="1006"/>
      <c r="M81" s="1007"/>
      <c r="N81" s="2366"/>
      <c r="O81" s="2366"/>
      <c r="P81" s="2855"/>
      <c r="Q81" s="2849"/>
      <c r="R81" s="2359"/>
      <c r="S81" s="2359"/>
      <c r="T81" s="2359"/>
      <c r="U81" s="2359"/>
      <c r="V81" s="2359"/>
      <c r="W81" s="2359"/>
      <c r="X81" s="2359"/>
      <c r="Y81" s="2359"/>
      <c r="Z81" s="2359"/>
      <c r="AA81" s="2359"/>
      <c r="AB81" s="2359"/>
      <c r="AC81" s="2359"/>
    </row>
    <row r="82" spans="1:29" s="814" customFormat="1" ht="15.75" thickBot="1">
      <c r="A82" s="896"/>
      <c r="B82" s="886"/>
      <c r="C82" s="903"/>
      <c r="D82" s="879"/>
      <c r="E82" s="879"/>
      <c r="F82" s="879"/>
      <c r="G82" s="879"/>
      <c r="H82" s="879"/>
      <c r="I82" s="879"/>
      <c r="J82" s="879"/>
      <c r="K82" s="879"/>
      <c r="L82" s="879"/>
      <c r="M82" s="880"/>
      <c r="N82" s="2368"/>
      <c r="O82" s="2368"/>
      <c r="P82" s="2856"/>
      <c r="Q82" s="2857"/>
      <c r="R82" s="2858"/>
      <c r="S82" s="2858"/>
      <c r="T82" s="2858"/>
      <c r="U82" s="2858"/>
      <c r="V82" s="2858"/>
      <c r="W82" s="2858"/>
      <c r="X82" s="2858"/>
      <c r="Y82" s="2858"/>
      <c r="Z82" s="2858"/>
      <c r="AA82" s="2858"/>
      <c r="AB82" s="2858"/>
      <c r="AC82" s="2858"/>
    </row>
    <row r="83" spans="1:29" ht="15" thickTop="1">
      <c r="A83" s="942"/>
      <c r="B83" s="881" t="s">
        <v>430</v>
      </c>
      <c r="C83" s="897"/>
      <c r="D83" s="897"/>
      <c r="E83" s="926"/>
      <c r="F83" s="926"/>
      <c r="G83" s="926"/>
      <c r="H83" s="926"/>
      <c r="I83" s="926"/>
      <c r="J83" s="926"/>
      <c r="K83" s="927"/>
      <c r="L83" s="928"/>
      <c r="M83" s="929"/>
      <c r="N83" s="2367"/>
      <c r="O83" s="2367"/>
      <c r="P83" s="2855"/>
      <c r="Q83" s="2849"/>
      <c r="R83" s="2359"/>
      <c r="S83" s="2359"/>
      <c r="T83" s="2359"/>
      <c r="U83" s="2359"/>
      <c r="V83" s="2359"/>
      <c r="W83" s="2359"/>
      <c r="X83" s="2359"/>
      <c r="Y83" s="2359"/>
      <c r="Z83" s="2359"/>
      <c r="AA83" s="2359"/>
      <c r="AB83" s="2359"/>
      <c r="AC83" s="2359"/>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68"/>
      <c r="O84" s="2368"/>
      <c r="P84" s="2855"/>
      <c r="Q84" s="2849"/>
      <c r="R84" s="2359"/>
      <c r="S84" s="2359"/>
      <c r="T84" s="2359"/>
      <c r="U84" s="2359"/>
      <c r="V84" s="2359"/>
      <c r="W84" s="2359"/>
      <c r="X84" s="2359"/>
      <c r="Y84" s="2359"/>
      <c r="Z84" s="2359"/>
      <c r="AA84" s="2359"/>
      <c r="AB84" s="2359"/>
      <c r="AC84" s="2359"/>
    </row>
    <row r="85" spans="1:29" ht="15" thickTop="1">
      <c r="A85" s="942"/>
      <c r="B85" s="881" t="s">
        <v>465</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7"/>
      <c r="O85" s="2367"/>
      <c r="P85" s="2855"/>
      <c r="Q85" s="2849"/>
      <c r="R85" s="2359"/>
      <c r="S85" s="2359"/>
      <c r="T85" s="2359"/>
      <c r="U85" s="2359"/>
      <c r="V85" s="2359"/>
      <c r="W85" s="2359"/>
      <c r="X85" s="2359"/>
      <c r="Y85" s="2359"/>
      <c r="Z85" s="2359"/>
      <c r="AA85" s="2359"/>
      <c r="AB85" s="2359"/>
      <c r="AC85" s="2359"/>
    </row>
    <row r="86" spans="1:29">
      <c r="A86" s="942"/>
      <c r="B86" s="889"/>
      <c r="C86" s="946">
        <v>0.5</v>
      </c>
      <c r="D86" s="946">
        <v>0.6</v>
      </c>
      <c r="E86" s="946">
        <v>0.7</v>
      </c>
      <c r="F86" s="946">
        <v>0.8</v>
      </c>
      <c r="G86" s="946">
        <v>0.9</v>
      </c>
      <c r="H86" s="946">
        <v>1.0001</v>
      </c>
      <c r="I86" s="966"/>
      <c r="J86" s="966"/>
      <c r="K86" s="967"/>
      <c r="L86" s="968"/>
      <c r="M86" s="969"/>
      <c r="N86" s="2367"/>
      <c r="O86" s="2367"/>
      <c r="P86" s="2855"/>
      <c r="Q86" s="2849"/>
      <c r="R86" s="2359"/>
      <c r="S86" s="2359"/>
      <c r="T86" s="2359"/>
      <c r="U86" s="2359"/>
      <c r="V86" s="2359"/>
      <c r="W86" s="2359"/>
      <c r="X86" s="2359"/>
      <c r="Y86" s="2359"/>
      <c r="Z86" s="2359"/>
      <c r="AA86" s="2359"/>
      <c r="AB86" s="2359"/>
      <c r="AC86" s="2359"/>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68"/>
      <c r="O87" s="2368"/>
      <c r="P87" s="2855"/>
      <c r="Q87" s="2849"/>
      <c r="R87" s="2359"/>
      <c r="S87" s="2359"/>
      <c r="T87" s="2359"/>
      <c r="U87" s="2359"/>
      <c r="V87" s="2359"/>
      <c r="W87" s="2359"/>
      <c r="X87" s="2359"/>
      <c r="Y87" s="2359"/>
      <c r="Z87" s="2359"/>
      <c r="AA87" s="2359"/>
      <c r="AB87" s="2359"/>
      <c r="AC87" s="2359"/>
    </row>
    <row r="88" spans="1:29" ht="15" thickTop="1">
      <c r="A88" s="942"/>
      <c r="B88" s="889" t="s">
        <v>466</v>
      </c>
      <c r="C88" s="873"/>
      <c r="D88" s="873"/>
      <c r="E88" s="873"/>
      <c r="F88" s="873"/>
      <c r="G88" s="873"/>
      <c r="H88" s="873"/>
      <c r="I88" s="873"/>
      <c r="J88" s="873"/>
      <c r="K88" s="874"/>
      <c r="L88" s="875"/>
      <c r="M88" s="876"/>
      <c r="N88" s="2367"/>
      <c r="O88" s="2367"/>
      <c r="P88" s="2855"/>
      <c r="Q88" s="2849"/>
      <c r="R88" s="2359"/>
      <c r="S88" s="2359"/>
      <c r="T88" s="2359"/>
      <c r="U88" s="2359"/>
      <c r="V88" s="2359"/>
      <c r="W88" s="2359"/>
      <c r="X88" s="2359"/>
      <c r="Y88" s="2359"/>
      <c r="Z88" s="2359"/>
      <c r="AA88" s="2359"/>
      <c r="AB88" s="2359"/>
      <c r="AC88" s="2359"/>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68"/>
      <c r="O89" s="2368"/>
      <c r="P89" s="2855"/>
      <c r="Q89" s="2849"/>
      <c r="R89" s="2359"/>
      <c r="S89" s="2359"/>
      <c r="T89" s="2359"/>
      <c r="U89" s="2359"/>
      <c r="V89" s="2359"/>
      <c r="W89" s="2359"/>
      <c r="X89" s="2359"/>
      <c r="Y89" s="2359"/>
      <c r="Z89" s="2359"/>
      <c r="AA89" s="2359"/>
      <c r="AB89" s="2359"/>
      <c r="AC89" s="2359"/>
    </row>
    <row r="90" spans="1:29" s="814" customFormat="1" ht="15" thickTop="1">
      <c r="A90" s="936"/>
      <c r="B90" s="881" t="s">
        <v>467</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69"/>
      <c r="O90" s="2369"/>
      <c r="P90" s="2856"/>
      <c r="Q90" s="2857"/>
      <c r="R90" s="2858"/>
      <c r="S90" s="2858"/>
      <c r="T90" s="2858"/>
      <c r="U90" s="2858"/>
      <c r="V90" s="2858"/>
      <c r="W90" s="2858"/>
      <c r="X90" s="2858"/>
      <c r="Y90" s="2858"/>
      <c r="Z90" s="2858"/>
      <c r="AA90" s="2858"/>
      <c r="AB90" s="2858"/>
      <c r="AC90" s="2858"/>
    </row>
    <row r="91" spans="1:29" s="814" customFormat="1">
      <c r="A91" s="936"/>
      <c r="B91" s="889"/>
      <c r="C91" s="938"/>
      <c r="D91" s="938"/>
      <c r="E91" s="938"/>
      <c r="F91" s="938"/>
      <c r="G91" s="938"/>
      <c r="H91" s="938"/>
      <c r="I91" s="938"/>
      <c r="J91" s="939"/>
      <c r="K91" s="939"/>
      <c r="L91" s="940"/>
      <c r="M91" s="941"/>
      <c r="N91" s="2369"/>
      <c r="O91" s="2369"/>
      <c r="P91" s="2856"/>
      <c r="Q91" s="2857"/>
      <c r="R91" s="2858"/>
      <c r="S91" s="2858"/>
      <c r="T91" s="2858"/>
      <c r="U91" s="2858"/>
      <c r="V91" s="2858"/>
      <c r="W91" s="2858"/>
      <c r="X91" s="2858"/>
      <c r="Y91" s="2858"/>
      <c r="Z91" s="2858"/>
      <c r="AA91" s="2858"/>
      <c r="AB91" s="2858"/>
      <c r="AC91" s="2858"/>
    </row>
    <row r="92" spans="1:29" s="814" customFormat="1" ht="15.75" thickBot="1">
      <c r="A92" s="896"/>
      <c r="B92" s="886"/>
      <c r="C92" s="903"/>
      <c r="D92" s="879"/>
      <c r="E92" s="879"/>
      <c r="F92" s="879"/>
      <c r="G92" s="879"/>
      <c r="H92" s="879"/>
      <c r="I92" s="879"/>
      <c r="J92" s="879"/>
      <c r="K92" s="879"/>
      <c r="L92" s="879"/>
      <c r="M92" s="880"/>
      <c r="N92" s="2369"/>
      <c r="O92" s="2369"/>
      <c r="P92" s="2856"/>
      <c r="Q92" s="2857"/>
      <c r="R92" s="2858"/>
      <c r="S92" s="2858"/>
      <c r="T92" s="2858"/>
      <c r="U92" s="2858"/>
      <c r="V92" s="2858"/>
      <c r="W92" s="2858"/>
      <c r="X92" s="2858"/>
      <c r="Y92" s="2858"/>
      <c r="Z92" s="2858"/>
      <c r="AA92" s="2858"/>
      <c r="AB92" s="2858"/>
      <c r="AC92" s="2858"/>
    </row>
    <row r="93" spans="1:29" ht="15" thickTop="1">
      <c r="A93" s="942"/>
      <c r="B93" s="881" t="s">
        <v>468</v>
      </c>
      <c r="C93" s="897"/>
      <c r="D93" s="897"/>
      <c r="E93" s="926"/>
      <c r="F93" s="926"/>
      <c r="G93" s="926"/>
      <c r="H93" s="926"/>
      <c r="I93" s="926"/>
      <c r="J93" s="926"/>
      <c r="K93" s="927"/>
      <c r="L93" s="928"/>
      <c r="M93" s="929"/>
      <c r="N93" s="2367"/>
      <c r="O93" s="2367"/>
      <c r="P93" s="2855"/>
      <c r="Q93" s="2849"/>
      <c r="R93" s="2359"/>
      <c r="S93" s="2359"/>
      <c r="T93" s="2359"/>
      <c r="U93" s="2359"/>
      <c r="V93" s="2359"/>
      <c r="W93" s="2359"/>
      <c r="X93" s="2359"/>
      <c r="Y93" s="2359"/>
      <c r="Z93" s="2359"/>
      <c r="AA93" s="2359"/>
      <c r="AB93" s="2359"/>
      <c r="AC93" s="2359"/>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68"/>
      <c r="O94" s="2368"/>
      <c r="P94" s="2855"/>
      <c r="Q94" s="2849"/>
      <c r="R94" s="2359"/>
      <c r="S94" s="2359"/>
      <c r="T94" s="2359"/>
      <c r="U94" s="2359"/>
      <c r="V94" s="2359"/>
      <c r="W94" s="2359"/>
      <c r="X94" s="2359"/>
      <c r="Y94" s="2359"/>
      <c r="Z94" s="2359"/>
      <c r="AA94" s="2359"/>
      <c r="AB94" s="2359"/>
      <c r="AC94" s="2359"/>
    </row>
    <row r="95" spans="1:29" ht="15" thickTop="1">
      <c r="A95" s="942"/>
      <c r="B95" s="881" t="s">
        <v>469</v>
      </c>
      <c r="C95" s="873"/>
      <c r="D95" s="873"/>
      <c r="E95" s="873"/>
      <c r="F95" s="873"/>
      <c r="G95" s="873"/>
      <c r="H95" s="873"/>
      <c r="I95" s="873"/>
      <c r="J95" s="873"/>
      <c r="K95" s="874"/>
      <c r="L95" s="875"/>
      <c r="M95" s="876"/>
      <c r="N95" s="2367"/>
      <c r="O95" s="2367"/>
      <c r="P95" s="2855"/>
      <c r="Q95" s="2849"/>
      <c r="R95" s="2359"/>
      <c r="S95" s="2359"/>
      <c r="T95" s="2359"/>
      <c r="U95" s="2359"/>
      <c r="V95" s="2359"/>
      <c r="W95" s="2359"/>
      <c r="X95" s="2359"/>
      <c r="Y95" s="2359"/>
      <c r="Z95" s="2359"/>
      <c r="AA95" s="2359"/>
      <c r="AB95" s="2359"/>
      <c r="AC95" s="2359"/>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68"/>
      <c r="O96" s="2368"/>
      <c r="P96" s="2855"/>
      <c r="Q96" s="2849"/>
      <c r="R96" s="2359"/>
      <c r="S96" s="2359"/>
      <c r="T96" s="2359"/>
      <c r="U96" s="2359"/>
      <c r="V96" s="2359"/>
      <c r="W96" s="2359"/>
      <c r="X96" s="2359"/>
      <c r="Y96" s="2359"/>
      <c r="Z96" s="2359"/>
      <c r="AA96" s="2359"/>
      <c r="AB96" s="2359"/>
      <c r="AC96" s="2359"/>
    </row>
    <row r="97" spans="1:29" ht="15" thickTop="1">
      <c r="A97" s="942"/>
      <c r="B97" s="979">
        <f>B34</f>
        <v>111</v>
      </c>
      <c r="C97" s="892"/>
      <c r="D97" s="892"/>
      <c r="E97" s="892"/>
      <c r="F97" s="892"/>
      <c r="G97" s="897"/>
      <c r="H97" s="898"/>
      <c r="I97" s="898"/>
      <c r="J97" s="898"/>
      <c r="K97" s="898"/>
      <c r="L97" s="899"/>
      <c r="M97" s="900"/>
      <c r="N97" s="2368"/>
      <c r="O97" s="2368"/>
      <c r="P97" s="2862"/>
      <c r="Q97" s="2863"/>
      <c r="R97" s="2359"/>
      <c r="S97" s="2359"/>
      <c r="T97" s="2359"/>
      <c r="U97" s="2359"/>
      <c r="V97" s="2359"/>
      <c r="W97" s="2359"/>
      <c r="X97" s="2359"/>
      <c r="Y97" s="2359"/>
      <c r="Z97" s="2359"/>
      <c r="AA97" s="2359"/>
      <c r="AB97" s="2359"/>
      <c r="AC97" s="2359"/>
    </row>
    <row r="98" spans="1:29" ht="15.75" thickBot="1">
      <c r="A98" s="877"/>
      <c r="B98" s="886"/>
      <c r="C98" s="903"/>
      <c r="D98" s="879"/>
      <c r="E98" s="879"/>
      <c r="F98" s="879"/>
      <c r="G98" s="903"/>
      <c r="H98" s="905"/>
      <c r="I98" s="905"/>
      <c r="J98" s="905"/>
      <c r="K98" s="905"/>
      <c r="L98" s="905"/>
      <c r="M98" s="906"/>
      <c r="N98" s="2368"/>
      <c r="O98" s="2368"/>
      <c r="P98" s="2855"/>
      <c r="Q98" s="2849"/>
      <c r="R98" s="2359"/>
      <c r="S98" s="2359"/>
      <c r="T98" s="2359"/>
      <c r="U98" s="2359"/>
      <c r="V98" s="2359"/>
      <c r="W98" s="2359"/>
      <c r="X98" s="2359"/>
      <c r="Y98" s="2359"/>
      <c r="Z98" s="2359"/>
      <c r="AA98" s="2359"/>
      <c r="AB98" s="2359"/>
      <c r="AC98" s="2359"/>
    </row>
    <row r="99" spans="1:29" s="814" customFormat="1" ht="15" thickTop="1">
      <c r="A99" s="936"/>
      <c r="B99" s="881">
        <f>B35</f>
        <v>111</v>
      </c>
      <c r="C99" s="892"/>
      <c r="D99" s="892"/>
      <c r="E99" s="892"/>
      <c r="F99" s="892"/>
      <c r="G99" s="897"/>
      <c r="H99" s="898"/>
      <c r="I99" s="898"/>
      <c r="J99" s="898"/>
      <c r="K99" s="898"/>
      <c r="L99" s="899"/>
      <c r="M99" s="900"/>
      <c r="N99" s="2369"/>
      <c r="O99" s="2369"/>
      <c r="P99" s="2856"/>
      <c r="Q99" s="2857"/>
      <c r="R99" s="2858"/>
      <c r="S99" s="2858"/>
      <c r="T99" s="2858"/>
      <c r="U99" s="2858"/>
      <c r="V99" s="2858"/>
      <c r="W99" s="2858"/>
      <c r="X99" s="2858"/>
      <c r="Y99" s="2858"/>
      <c r="Z99" s="2858"/>
      <c r="AA99" s="2858"/>
      <c r="AB99" s="2858"/>
      <c r="AC99" s="2858"/>
    </row>
    <row r="100" spans="1:29" s="814" customFormat="1" ht="15.75" thickBot="1">
      <c r="A100" s="896"/>
      <c r="B100" s="878"/>
      <c r="C100" s="903"/>
      <c r="D100" s="879"/>
      <c r="E100" s="879"/>
      <c r="F100" s="879"/>
      <c r="G100" s="903"/>
      <c r="H100" s="905"/>
      <c r="I100" s="905"/>
      <c r="J100" s="905"/>
      <c r="K100" s="905"/>
      <c r="L100" s="905"/>
      <c r="M100" s="906"/>
      <c r="N100" s="2369"/>
      <c r="O100" s="2369"/>
      <c r="P100" s="2856"/>
      <c r="Q100" s="2857"/>
      <c r="R100" s="2858"/>
      <c r="S100" s="2858"/>
      <c r="T100" s="2858"/>
      <c r="U100" s="2858"/>
      <c r="V100" s="2858"/>
      <c r="W100" s="2858"/>
      <c r="X100" s="2858"/>
      <c r="Y100" s="2858"/>
      <c r="Z100" s="2858"/>
      <c r="AA100" s="2858"/>
      <c r="AB100" s="2858"/>
      <c r="AC100" s="2858"/>
    </row>
    <row r="101" spans="1:29" ht="15" thickTop="1">
      <c r="A101" s="942"/>
      <c r="B101" s="881">
        <f>B36</f>
        <v>111</v>
      </c>
      <c r="C101" s="897"/>
      <c r="D101" s="897"/>
      <c r="E101" s="897"/>
      <c r="F101" s="897"/>
      <c r="G101" s="897"/>
      <c r="H101" s="898"/>
      <c r="I101" s="898"/>
      <c r="J101" s="898"/>
      <c r="K101" s="898"/>
      <c r="L101" s="899"/>
      <c r="M101" s="900"/>
      <c r="N101" s="2367"/>
      <c r="O101" s="2367"/>
      <c r="P101" s="2855"/>
      <c r="Q101" s="2849"/>
      <c r="R101" s="2359"/>
      <c r="S101" s="2359"/>
      <c r="T101" s="2359"/>
      <c r="U101" s="2359"/>
      <c r="V101" s="2359"/>
      <c r="W101" s="2359"/>
      <c r="X101" s="2359"/>
      <c r="Y101" s="2359"/>
      <c r="Z101" s="2359"/>
      <c r="AA101" s="2359"/>
      <c r="AB101" s="2359"/>
      <c r="AC101" s="2359"/>
    </row>
    <row r="102" spans="1:29" ht="15.75" thickBot="1">
      <c r="A102" s="877"/>
      <c r="B102" s="886"/>
      <c r="C102" s="903"/>
      <c r="D102" s="903"/>
      <c r="E102" s="903"/>
      <c r="F102" s="903"/>
      <c r="G102" s="903"/>
      <c r="H102" s="905"/>
      <c r="I102" s="905"/>
      <c r="J102" s="905"/>
      <c r="K102" s="905"/>
      <c r="L102" s="905"/>
      <c r="M102" s="906"/>
      <c r="N102" s="2368"/>
      <c r="O102" s="2368"/>
      <c r="P102" s="2855"/>
      <c r="Q102" s="2849"/>
      <c r="R102" s="2359"/>
      <c r="S102" s="2359"/>
      <c r="T102" s="2359"/>
      <c r="U102" s="2359"/>
      <c r="V102" s="2359"/>
      <c r="W102" s="2359"/>
      <c r="X102" s="2359"/>
      <c r="Y102" s="2359"/>
      <c r="Z102" s="2359"/>
      <c r="AA102" s="2359"/>
      <c r="AB102" s="2359"/>
      <c r="AC102" s="235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I7" sqref="I7"/>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384</v>
      </c>
      <c r="B1" s="3133"/>
      <c r="C1" s="3123" t="s">
        <v>440</v>
      </c>
      <c r="D1" s="3104"/>
      <c r="E1" s="3134"/>
      <c r="F1" s="3106"/>
      <c r="G1" s="3135" t="s">
        <v>441</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442</v>
      </c>
      <c r="B2" s="2844" t="e">
        <f ca="1">IF(C2="——",ROUND(C37*D3/10000,0),ROUND(C37*D3/10000,0)-D2)</f>
        <v>#DIV/0!</v>
      </c>
      <c r="C2" s="3098"/>
      <c r="D2" s="2339" t="e">
        <f ca="1">SUMIF(INDIRECT("'"&amp;F2&amp;"'"&amp;"!A:A"),"承租人权益价值",INDIRECT("'"&amp;F2&amp;"'"&amp;"!c:c"))</f>
        <v>#REF!</v>
      </c>
      <c r="E2" s="3099" t="s">
        <v>864</v>
      </c>
      <c r="F2" s="3100"/>
      <c r="G2" s="2340"/>
      <c r="H2" s="2340"/>
      <c r="I2" s="2340"/>
      <c r="J2" s="2340"/>
      <c r="K2" s="2342"/>
      <c r="L2" s="2343"/>
      <c r="M2" s="2344"/>
      <c r="N2" s="2344"/>
      <c r="O2" s="2344"/>
      <c r="P2" s="1316"/>
      <c r="Q2" s="1316"/>
      <c r="R2" s="1316"/>
      <c r="S2" s="1316"/>
      <c r="T2" s="1316"/>
      <c r="U2" s="1316"/>
      <c r="V2" s="1316"/>
      <c r="W2" s="1316"/>
      <c r="X2" s="1316"/>
      <c r="Y2" s="1316"/>
      <c r="Z2" s="1316"/>
      <c r="AA2" s="1316"/>
      <c r="AB2" s="1316"/>
      <c r="AC2" s="1317"/>
    </row>
    <row r="3" spans="1:29" s="741" customFormat="1" ht="28.5" customHeight="1" thickBot="1">
      <c r="A3" s="579" t="s">
        <v>443</v>
      </c>
      <c r="B3" s="952" t="e">
        <f ca="1">IF(C2="——",C37,ROUND(B2*10000/D3,0))</f>
        <v>#DIV/0!</v>
      </c>
      <c r="C3" s="743" t="s">
        <v>444</v>
      </c>
      <c r="D3" s="742">
        <f>SUMIF('数据-汇总表'!$C19:$C33,D1,'数据-汇总表'!$E19:$E33)</f>
        <v>0</v>
      </c>
      <c r="E3" s="2340"/>
      <c r="F3" s="2341"/>
      <c r="G3" s="2340"/>
      <c r="H3" s="2340"/>
      <c r="I3" s="2340"/>
      <c r="J3" s="2340"/>
      <c r="K3" s="2342"/>
      <c r="L3" s="2343"/>
      <c r="M3" s="2344"/>
      <c r="N3" s="2344"/>
      <c r="O3" s="2344"/>
      <c r="P3" s="1316"/>
      <c r="Q3" s="1316"/>
      <c r="R3" s="1316"/>
      <c r="S3" s="1316"/>
      <c r="T3" s="1316"/>
      <c r="U3" s="1316"/>
      <c r="V3" s="1316"/>
      <c r="W3" s="1316"/>
      <c r="X3" s="1316"/>
      <c r="Y3" s="1316"/>
      <c r="Z3" s="1316"/>
      <c r="AA3" s="1316"/>
      <c r="AB3" s="1409"/>
      <c r="AC3" s="1399"/>
    </row>
    <row r="4" spans="1:29" ht="15">
      <c r="A4" s="744" t="s">
        <v>445</v>
      </c>
      <c r="B4" s="745"/>
      <c r="C4" s="3674" t="s">
        <v>446</v>
      </c>
      <c r="D4" s="3675"/>
      <c r="E4" s="3676" t="s">
        <v>447</v>
      </c>
      <c r="F4" s="3677"/>
      <c r="G4" s="3674" t="s">
        <v>448</v>
      </c>
      <c r="H4" s="3675"/>
      <c r="I4" s="3674" t="s">
        <v>449</v>
      </c>
      <c r="J4" s="3675"/>
      <c r="K4" s="953" t="s">
        <v>450</v>
      </c>
      <c r="L4" s="2345"/>
      <c r="M4" s="2346"/>
      <c r="N4" s="2346"/>
      <c r="O4" s="2346"/>
      <c r="P4" s="3678" t="s">
        <v>451</v>
      </c>
      <c r="Q4" s="3679"/>
      <c r="R4" s="3661" t="s">
        <v>447</v>
      </c>
      <c r="S4" s="3662"/>
      <c r="T4" s="3661" t="s">
        <v>448</v>
      </c>
      <c r="U4" s="3662"/>
      <c r="V4" s="3686" t="s">
        <v>449</v>
      </c>
      <c r="W4" s="3686"/>
      <c r="X4" s="1318"/>
      <c r="Y4" s="3661" t="s">
        <v>451</v>
      </c>
      <c r="Z4" s="3662"/>
      <c r="AA4" s="3656" t="s">
        <v>447</v>
      </c>
      <c r="AB4" s="3657" t="s">
        <v>448</v>
      </c>
      <c r="AC4" s="3656" t="s">
        <v>449</v>
      </c>
    </row>
    <row r="5" spans="1:29" ht="15">
      <c r="A5" s="747"/>
      <c r="B5" s="748"/>
      <c r="C5" s="3605" t="s">
        <v>1121</v>
      </c>
      <c r="D5" s="3606"/>
      <c r="E5" s="3603" t="s">
        <v>1122</v>
      </c>
      <c r="F5" s="3604"/>
      <c r="G5" s="3605" t="s">
        <v>59</v>
      </c>
      <c r="H5" s="3606"/>
      <c r="I5" s="3605" t="s">
        <v>1123</v>
      </c>
      <c r="J5" s="3606"/>
      <c r="K5" s="953"/>
      <c r="L5" s="2345"/>
      <c r="M5" s="2346"/>
      <c r="N5" s="2346"/>
      <c r="O5" s="2346"/>
      <c r="P5" s="3680"/>
      <c r="Q5" s="3681"/>
      <c r="R5" s="3663"/>
      <c r="S5" s="3664"/>
      <c r="T5" s="3663"/>
      <c r="U5" s="3664"/>
      <c r="V5" s="3686"/>
      <c r="W5" s="3686"/>
      <c r="X5" s="1318"/>
      <c r="Y5" s="3663"/>
      <c r="Z5" s="3664"/>
      <c r="AA5" s="3657"/>
      <c r="AB5" s="3657"/>
      <c r="AC5" s="3657"/>
    </row>
    <row r="6" spans="1:29" ht="15.75" thickBot="1">
      <c r="A6" s="749"/>
      <c r="B6" s="750"/>
      <c r="C6" s="3607" t="s">
        <v>1124</v>
      </c>
      <c r="D6" s="3608"/>
      <c r="E6" s="3609" t="s">
        <v>1124</v>
      </c>
      <c r="F6" s="3610"/>
      <c r="G6" s="3607" t="s">
        <v>1124</v>
      </c>
      <c r="H6" s="3608"/>
      <c r="I6" s="3607" t="s">
        <v>1124</v>
      </c>
      <c r="J6" s="3608"/>
      <c r="K6" s="953" t="s">
        <v>393</v>
      </c>
      <c r="L6" s="2345"/>
      <c r="M6" s="2346"/>
      <c r="N6" s="2346"/>
      <c r="O6" s="2346"/>
      <c r="P6" s="3682"/>
      <c r="Q6" s="3683"/>
      <c r="R6" s="3663"/>
      <c r="S6" s="3664"/>
      <c r="T6" s="3684"/>
      <c r="U6" s="3685"/>
      <c r="V6" s="3686"/>
      <c r="W6" s="3686"/>
      <c r="X6" s="1318"/>
      <c r="Y6" s="3684"/>
      <c r="Z6" s="3685"/>
      <c r="AA6" s="3658"/>
      <c r="AB6" s="3658"/>
      <c r="AC6" s="3658"/>
    </row>
    <row r="7" spans="1:29" s="407" customFormat="1" ht="15.75" thickBot="1">
      <c r="A7" s="751" t="s">
        <v>394</v>
      </c>
      <c r="B7" s="752"/>
      <c r="C7" s="753">
        <f>'数据-取费表'!B2</f>
        <v>42956</v>
      </c>
      <c r="D7" s="754">
        <v>100</v>
      </c>
      <c r="E7" s="1017"/>
      <c r="F7" s="756">
        <f>SUMIF(46:46,YEAR(E7)&amp;"-"&amp;MONTH(E7),47:47)</f>
        <v>0</v>
      </c>
      <c r="G7" s="1018"/>
      <c r="H7" s="754">
        <f>SUMIF(46:46,YEAR(G7)&amp;"-"&amp;MONTH(G7),47:47)</f>
        <v>0</v>
      </c>
      <c r="I7" s="1017"/>
      <c r="J7" s="754">
        <f>SUMIF(46:46,YEAR(I7)&amp;"-"&amp;MONTH(I7),47:47)</f>
        <v>0</v>
      </c>
      <c r="K7" s="954"/>
      <c r="L7" s="2347"/>
      <c r="M7" s="2348"/>
      <c r="N7" s="2348"/>
      <c r="O7" s="2348"/>
      <c r="P7" s="3659" t="s">
        <v>395</v>
      </c>
      <c r="Q7" s="3687"/>
      <c r="R7" s="1319" t="s">
        <v>61</v>
      </c>
      <c r="S7" s="1320">
        <f t="shared" ref="S7:S14" si="0">F7</f>
        <v>0</v>
      </c>
      <c r="T7" s="1319" t="s">
        <v>61</v>
      </c>
      <c r="U7" s="1320">
        <f t="shared" ref="U7:U14" si="1">H7</f>
        <v>0</v>
      </c>
      <c r="V7" s="1319" t="s">
        <v>61</v>
      </c>
      <c r="W7" s="1320">
        <f t="shared" ref="W7:W14" si="2">J7</f>
        <v>0</v>
      </c>
      <c r="X7" s="1321"/>
      <c r="Y7" s="3659" t="s">
        <v>395</v>
      </c>
      <c r="Z7" s="3660"/>
      <c r="AA7" s="1322" t="e">
        <f>D7/F7</f>
        <v>#DIV/0!</v>
      </c>
      <c r="AB7" s="1322" t="e">
        <f>D7/H7</f>
        <v>#DIV/0!</v>
      </c>
      <c r="AC7" s="1322" t="e">
        <f>D7/J7</f>
        <v>#DIV/0!</v>
      </c>
    </row>
    <row r="8" spans="1:29" s="407" customFormat="1" ht="15.75" thickBot="1">
      <c r="A8" s="751" t="s">
        <v>396</v>
      </c>
      <c r="B8" s="752"/>
      <c r="C8" s="757" t="s">
        <v>413</v>
      </c>
      <c r="D8" s="754">
        <v>100</v>
      </c>
      <c r="E8" s="757"/>
      <c r="F8" s="756">
        <f>SUMIF(49:49,E8,50:50)-SUMIF(49:49,C8,50:50)+100</f>
        <v>0</v>
      </c>
      <c r="G8" s="757"/>
      <c r="H8" s="754">
        <f>SUMIF(49:49,G8,50:50)-SUMIF(49:49,C8,50:50)+100</f>
        <v>0</v>
      </c>
      <c r="I8" s="757"/>
      <c r="J8" s="754">
        <f>SUMIF(49:49,I8,50:50)-SUMIF(49:49,C8,50:50)+100</f>
        <v>0</v>
      </c>
      <c r="K8" s="954"/>
      <c r="L8" s="2347"/>
      <c r="M8" s="2348"/>
      <c r="N8" s="2348"/>
      <c r="O8" s="2348"/>
      <c r="P8" s="3659" t="s">
        <v>431</v>
      </c>
      <c r="Q8" s="3660"/>
      <c r="R8" s="1319" t="s">
        <v>61</v>
      </c>
      <c r="S8" s="1320">
        <f t="shared" si="0"/>
        <v>0</v>
      </c>
      <c r="T8" s="1319" t="s">
        <v>61</v>
      </c>
      <c r="U8" s="1320">
        <f t="shared" si="1"/>
        <v>0</v>
      </c>
      <c r="V8" s="1319" t="s">
        <v>61</v>
      </c>
      <c r="W8" s="1320">
        <f t="shared" si="2"/>
        <v>0</v>
      </c>
      <c r="X8" s="1321"/>
      <c r="Y8" s="3659" t="s">
        <v>431</v>
      </c>
      <c r="Z8" s="3660"/>
      <c r="AA8" s="1322" t="e">
        <f t="shared" ref="AA8:AA34" si="3">D8/F8</f>
        <v>#DIV/0!</v>
      </c>
      <c r="AB8" s="1322" t="e">
        <f t="shared" ref="AB8:AB34" si="4">D8/H8</f>
        <v>#DIV/0!</v>
      </c>
      <c r="AC8" s="1322" t="e">
        <f t="shared" ref="AC8:AC34" si="5">D8/J8</f>
        <v>#DIV/0!</v>
      </c>
    </row>
    <row r="9" spans="1:29" s="407" customFormat="1">
      <c r="A9" s="758" t="s">
        <v>397</v>
      </c>
      <c r="B9" s="361" t="s">
        <v>415</v>
      </c>
      <c r="C9" s="1346"/>
      <c r="D9" s="425">
        <v>100</v>
      </c>
      <c r="E9" s="762"/>
      <c r="F9" s="761">
        <f>SUMIF(51:51,E9,52:52)-SUMIF(51:51,C9,52:52)+100</f>
        <v>100</v>
      </c>
      <c r="G9" s="762"/>
      <c r="H9" s="425">
        <f>SUMIF(51:51,G9,52:52)-SUMIF(51:51,C9,52:52)+100</f>
        <v>100</v>
      </c>
      <c r="I9" s="762"/>
      <c r="J9" s="425">
        <f>SUMIF(51:51,I9,52:52)-SUMIF(51:51,C9,52:52)+100</f>
        <v>100</v>
      </c>
      <c r="K9" s="954"/>
      <c r="L9" s="2347"/>
      <c r="M9" s="2348"/>
      <c r="N9" s="2348"/>
      <c r="O9" s="2349"/>
      <c r="P9" s="3673" t="s">
        <v>398</v>
      </c>
      <c r="Q9" s="296" t="str">
        <f t="shared" ref="Q9:Q14" si="6">B9</f>
        <v>用途</v>
      </c>
      <c r="R9" s="1319" t="s">
        <v>61</v>
      </c>
      <c r="S9" s="1320">
        <f t="shared" si="0"/>
        <v>100</v>
      </c>
      <c r="T9" s="1319" t="s">
        <v>61</v>
      </c>
      <c r="U9" s="1320">
        <f t="shared" si="1"/>
        <v>100</v>
      </c>
      <c r="V9" s="1319" t="s">
        <v>61</v>
      </c>
      <c r="W9" s="1320">
        <f t="shared" si="2"/>
        <v>100</v>
      </c>
      <c r="X9" s="1321"/>
      <c r="Y9" s="3541" t="s">
        <v>399</v>
      </c>
      <c r="Z9" s="344" t="str">
        <f t="shared" ref="Z9:Z14" si="7">Q9</f>
        <v>用途</v>
      </c>
      <c r="AA9" s="1322">
        <f t="shared" si="3"/>
        <v>1</v>
      </c>
      <c r="AB9" s="1322">
        <f t="shared" si="4"/>
        <v>1</v>
      </c>
      <c r="AC9" s="1322">
        <f t="shared" si="5"/>
        <v>1</v>
      </c>
    </row>
    <row r="10" spans="1:29" s="770" customFormat="1" ht="27">
      <c r="A10" s="764"/>
      <c r="B10" s="765" t="s">
        <v>400</v>
      </c>
      <c r="C10" s="766"/>
      <c r="D10" s="426">
        <v>100</v>
      </c>
      <c r="E10" s="766"/>
      <c r="F10" s="768">
        <f>SUMIF(53:53,E10,54:54)-SUMIF(53:53,C10,54:54)+100</f>
        <v>100</v>
      </c>
      <c r="G10" s="766"/>
      <c r="H10" s="426">
        <f>SUMIF(53:53,G10,54:54)-SUMIF(53:53,C10,54:54)+100</f>
        <v>100</v>
      </c>
      <c r="I10" s="766"/>
      <c r="J10" s="426">
        <f>SUMIF(53:53,I10,54:54)-SUMIF(53:53,C10,54:54)+100</f>
        <v>100</v>
      </c>
      <c r="K10" s="955"/>
      <c r="L10" s="2350"/>
      <c r="M10" s="2351"/>
      <c r="N10" s="2351"/>
      <c r="O10" s="2352"/>
      <c r="P10" s="3673"/>
      <c r="Q10" s="296" t="str">
        <f t="shared" si="6"/>
        <v>土地使用年限（年）</v>
      </c>
      <c r="R10" s="1319" t="s">
        <v>61</v>
      </c>
      <c r="S10" s="1320">
        <f t="shared" si="0"/>
        <v>100</v>
      </c>
      <c r="T10" s="1319" t="s">
        <v>61</v>
      </c>
      <c r="U10" s="1320">
        <f t="shared" si="1"/>
        <v>100</v>
      </c>
      <c r="V10" s="1319" t="s">
        <v>61</v>
      </c>
      <c r="W10" s="1320">
        <f t="shared" si="2"/>
        <v>100</v>
      </c>
      <c r="X10" s="1321"/>
      <c r="Y10" s="3541"/>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3"/>
      <c r="M11" s="2346"/>
      <c r="N11" s="2346"/>
      <c r="O11" s="2354"/>
      <c r="P11" s="3673"/>
      <c r="Q11" s="296">
        <f t="shared" si="6"/>
        <v>111</v>
      </c>
      <c r="R11" s="1319" t="s">
        <v>61</v>
      </c>
      <c r="S11" s="1320">
        <f t="shared" si="0"/>
        <v>100</v>
      </c>
      <c r="T11" s="1319" t="s">
        <v>61</v>
      </c>
      <c r="U11" s="1320">
        <f t="shared" si="1"/>
        <v>100</v>
      </c>
      <c r="V11" s="1319" t="s">
        <v>61</v>
      </c>
      <c r="W11" s="1320">
        <f t="shared" si="2"/>
        <v>100</v>
      </c>
      <c r="X11" s="1321"/>
      <c r="Y11" s="3541"/>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47"/>
      <c r="M12" s="2348"/>
      <c r="N12" s="2348"/>
      <c r="O12" s="2349"/>
      <c r="P12" s="3673"/>
      <c r="Q12" s="296">
        <f t="shared" si="6"/>
        <v>111</v>
      </c>
      <c r="R12" s="1319" t="s">
        <v>61</v>
      </c>
      <c r="S12" s="1320">
        <f t="shared" si="0"/>
        <v>100</v>
      </c>
      <c r="T12" s="1319" t="s">
        <v>61</v>
      </c>
      <c r="U12" s="1320">
        <f t="shared" si="1"/>
        <v>100</v>
      </c>
      <c r="V12" s="1319" t="s">
        <v>61</v>
      </c>
      <c r="W12" s="1320">
        <f t="shared" si="2"/>
        <v>100</v>
      </c>
      <c r="X12" s="1321"/>
      <c r="Y12" s="3541"/>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5"/>
      <c r="M13" s="2346"/>
      <c r="N13" s="2346"/>
      <c r="O13" s="2354"/>
      <c r="P13" s="3673"/>
      <c r="Q13" s="296">
        <f t="shared" si="6"/>
        <v>111</v>
      </c>
      <c r="R13" s="1319" t="s">
        <v>61</v>
      </c>
      <c r="S13" s="1320">
        <f t="shared" si="0"/>
        <v>100</v>
      </c>
      <c r="T13" s="1319" t="s">
        <v>61</v>
      </c>
      <c r="U13" s="1320">
        <f t="shared" si="1"/>
        <v>100</v>
      </c>
      <c r="V13" s="1319" t="s">
        <v>61</v>
      </c>
      <c r="W13" s="1320">
        <f t="shared" si="2"/>
        <v>100</v>
      </c>
      <c r="X13" s="1321"/>
      <c r="Y13" s="3541"/>
      <c r="Z13" s="344">
        <f t="shared" si="7"/>
        <v>111</v>
      </c>
      <c r="AA13" s="1322">
        <f t="shared" si="3"/>
        <v>1</v>
      </c>
      <c r="AB13" s="1322">
        <f t="shared" si="4"/>
        <v>1</v>
      </c>
      <c r="AC13" s="1322">
        <f t="shared" si="5"/>
        <v>1</v>
      </c>
    </row>
    <row r="14" spans="1:29" ht="94.5">
      <c r="A14" s="783" t="s">
        <v>402</v>
      </c>
      <c r="B14" s="359" t="s">
        <v>452</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5"/>
      <c r="M14" s="2346"/>
      <c r="N14" s="2346"/>
      <c r="O14" s="2354"/>
      <c r="P14" s="3688" t="s">
        <v>403</v>
      </c>
      <c r="Q14" s="1323" t="str">
        <f t="shared" si="6"/>
        <v>交通便捷度</v>
      </c>
      <c r="R14" s="1324" t="s">
        <v>61</v>
      </c>
      <c r="S14" s="1325">
        <f t="shared" si="0"/>
        <v>100</v>
      </c>
      <c r="T14" s="1324" t="s">
        <v>61</v>
      </c>
      <c r="U14" s="1325">
        <f t="shared" si="1"/>
        <v>100</v>
      </c>
      <c r="V14" s="1324" t="s">
        <v>61</v>
      </c>
      <c r="W14" s="1325">
        <f t="shared" si="2"/>
        <v>100</v>
      </c>
      <c r="X14" s="1318"/>
      <c r="Y14" s="3688" t="s">
        <v>403</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5"/>
      <c r="M15" s="2346"/>
      <c r="N15" s="2346"/>
      <c r="O15" s="2354"/>
      <c r="P15" s="3689"/>
      <c r="Q15" s="1323"/>
      <c r="R15" s="1324"/>
      <c r="S15" s="1325"/>
      <c r="T15" s="1324"/>
      <c r="U15" s="1325"/>
      <c r="V15" s="1324"/>
      <c r="W15" s="1325"/>
      <c r="X15" s="1318"/>
      <c r="Y15" s="3689"/>
      <c r="Z15" s="1326"/>
      <c r="AA15" s="1327">
        <v>1</v>
      </c>
      <c r="AB15" s="1327">
        <v>1</v>
      </c>
      <c r="AC15" s="1327">
        <v>1</v>
      </c>
    </row>
    <row r="16" spans="1:29" ht="40.5">
      <c r="A16" s="771"/>
      <c r="B16" s="1356" t="s">
        <v>2663</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5"/>
      <c r="M16" s="2346"/>
      <c r="N16" s="2346"/>
      <c r="O16" s="2354"/>
      <c r="P16" s="3689"/>
      <c r="Q16" s="1323" t="str">
        <f>B16</f>
        <v>公共配套设施</v>
      </c>
      <c r="R16" s="1324" t="s">
        <v>61</v>
      </c>
      <c r="S16" s="1325">
        <f>F16</f>
        <v>100</v>
      </c>
      <c r="T16" s="1324" t="s">
        <v>61</v>
      </c>
      <c r="U16" s="1325">
        <f>H16</f>
        <v>100</v>
      </c>
      <c r="V16" s="1324" t="s">
        <v>61</v>
      </c>
      <c r="W16" s="1325">
        <f>J16</f>
        <v>100</v>
      </c>
      <c r="X16" s="1318"/>
      <c r="Y16" s="3689"/>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5"/>
      <c r="M17" s="2346"/>
      <c r="N17" s="2346"/>
      <c r="O17" s="2354"/>
      <c r="P17" s="3689"/>
      <c r="Q17" s="1323"/>
      <c r="R17" s="1324"/>
      <c r="S17" s="1325"/>
      <c r="T17" s="1324"/>
      <c r="U17" s="1325"/>
      <c r="V17" s="1324"/>
      <c r="W17" s="1325"/>
      <c r="X17" s="1318"/>
      <c r="Y17" s="3689"/>
      <c r="Z17" s="1326"/>
      <c r="AA17" s="1327">
        <v>1</v>
      </c>
      <c r="AB17" s="1327">
        <v>1</v>
      </c>
      <c r="AC17" s="1327">
        <v>1</v>
      </c>
    </row>
    <row r="18" spans="1:29" ht="40.5">
      <c r="A18" s="771"/>
      <c r="B18" s="1412" t="s">
        <v>2665</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5"/>
      <c r="M18" s="2346"/>
      <c r="N18" s="2346"/>
      <c r="O18" s="2354"/>
      <c r="P18" s="3689"/>
      <c r="Q18" s="2746" t="str">
        <f>B18</f>
        <v>基础设施水平</v>
      </c>
      <c r="R18" s="1324" t="s">
        <v>61</v>
      </c>
      <c r="S18" s="1325">
        <f>F18</f>
        <v>100</v>
      </c>
      <c r="T18" s="1324" t="s">
        <v>61</v>
      </c>
      <c r="U18" s="1325">
        <f>H18</f>
        <v>100</v>
      </c>
      <c r="V18" s="1324" t="s">
        <v>61</v>
      </c>
      <c r="W18" s="1325">
        <f>J18</f>
        <v>100</v>
      </c>
      <c r="X18" s="2748"/>
      <c r="Y18" s="3689"/>
      <c r="Z18" s="2747" t="str">
        <f>Q18</f>
        <v>基础设施水平</v>
      </c>
      <c r="AA18" s="1327">
        <f t="shared" ref="AA18" si="8">D18/F18</f>
        <v>1</v>
      </c>
      <c r="AB18" s="1327">
        <f t="shared" ref="AB18" si="9">D18/H18</f>
        <v>1</v>
      </c>
      <c r="AC18" s="1327">
        <f t="shared" ref="AC18" si="10">D18/J18</f>
        <v>1</v>
      </c>
    </row>
    <row r="19" spans="1:29" ht="15">
      <c r="A19" s="771"/>
      <c r="B19" s="2766"/>
      <c r="C19" s="102"/>
      <c r="D19" s="793"/>
      <c r="E19" s="102"/>
      <c r="F19" s="796"/>
      <c r="G19" s="102"/>
      <c r="H19" s="791"/>
      <c r="I19" s="97"/>
      <c r="J19" s="791"/>
      <c r="K19" s="2764"/>
      <c r="L19" s="2355"/>
      <c r="M19" s="2346"/>
      <c r="N19" s="2346"/>
      <c r="O19" s="2354"/>
      <c r="P19" s="3689"/>
      <c r="Q19" s="2746"/>
      <c r="R19" s="1324"/>
      <c r="S19" s="1325"/>
      <c r="T19" s="1324"/>
      <c r="U19" s="1325"/>
      <c r="V19" s="1324"/>
      <c r="W19" s="1325"/>
      <c r="X19" s="2748"/>
      <c r="Y19" s="3689"/>
      <c r="Z19" s="2747"/>
      <c r="AA19" s="1327">
        <v>1</v>
      </c>
      <c r="AB19" s="1327">
        <v>1</v>
      </c>
      <c r="AC19" s="1327">
        <v>1</v>
      </c>
    </row>
    <row r="20" spans="1:29" ht="54">
      <c r="A20" s="771"/>
      <c r="B20" s="794" t="s">
        <v>453</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5"/>
      <c r="M20" s="2346"/>
      <c r="N20" s="2346"/>
      <c r="O20" s="2354"/>
      <c r="P20" s="3689"/>
      <c r="Q20" s="1323" t="str">
        <f>B20</f>
        <v>自然及人文环境</v>
      </c>
      <c r="R20" s="1324" t="s">
        <v>61</v>
      </c>
      <c r="S20" s="1325">
        <f>F20</f>
        <v>100</v>
      </c>
      <c r="T20" s="1324" t="s">
        <v>61</v>
      </c>
      <c r="U20" s="1325">
        <f>H20</f>
        <v>100</v>
      </c>
      <c r="V20" s="1324" t="s">
        <v>61</v>
      </c>
      <c r="W20" s="1325">
        <f>J20</f>
        <v>100</v>
      </c>
      <c r="X20" s="1318"/>
      <c r="Y20" s="3689"/>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5"/>
      <c r="M21" s="2346"/>
      <c r="N21" s="2346"/>
      <c r="O21" s="2354"/>
      <c r="P21" s="3689"/>
      <c r="Q21" s="1323"/>
      <c r="R21" s="1324"/>
      <c r="S21" s="1325"/>
      <c r="T21" s="1324"/>
      <c r="U21" s="1325"/>
      <c r="V21" s="1324"/>
      <c r="W21" s="1325"/>
      <c r="X21" s="1318"/>
      <c r="Y21" s="3689"/>
      <c r="Z21" s="1326"/>
      <c r="AA21" s="1327">
        <v>1</v>
      </c>
      <c r="AB21" s="1327">
        <v>1</v>
      </c>
      <c r="AC21" s="1327">
        <v>1</v>
      </c>
    </row>
    <row r="22" spans="1:29" ht="15">
      <c r="A22" s="771"/>
      <c r="B22" s="794" t="s">
        <v>454</v>
      </c>
      <c r="C22" s="959"/>
      <c r="D22" s="793">
        <v>100</v>
      </c>
      <c r="E22" s="959"/>
      <c r="F22" s="804">
        <f>SUMIF(69:69,E22,70:70)-SUMIF(69:69,C22,70:70)+100</f>
        <v>100</v>
      </c>
      <c r="G22" s="959"/>
      <c r="H22" s="778">
        <f>SUMIF(69:69,G22,70:70)-SUMIF(69:69,C22,70:70)+100</f>
        <v>100</v>
      </c>
      <c r="I22" s="959"/>
      <c r="J22" s="778">
        <f>SUMIF(69:69,I22,70:70)-SUMIF(69:69,C22,70:70)+100</f>
        <v>100</v>
      </c>
      <c r="K22" s="955"/>
      <c r="L22" s="2355"/>
      <c r="M22" s="2346"/>
      <c r="N22" s="2346"/>
      <c r="O22" s="2354"/>
      <c r="P22" s="3689"/>
      <c r="Q22" s="1323" t="str">
        <f>B22</f>
        <v>楼层</v>
      </c>
      <c r="R22" s="1324" t="s">
        <v>61</v>
      </c>
      <c r="S22" s="1325">
        <f>F22</f>
        <v>100</v>
      </c>
      <c r="T22" s="1324" t="s">
        <v>61</v>
      </c>
      <c r="U22" s="1325">
        <f>H22</f>
        <v>100</v>
      </c>
      <c r="V22" s="1324" t="s">
        <v>61</v>
      </c>
      <c r="W22" s="1325">
        <f>J22</f>
        <v>100</v>
      </c>
      <c r="X22" s="1318"/>
      <c r="Y22" s="3689"/>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5"/>
      <c r="M23" s="2346"/>
      <c r="N23" s="2346"/>
      <c r="O23" s="2354"/>
      <c r="P23" s="3689"/>
      <c r="Q23" s="1323">
        <f>B23</f>
        <v>111</v>
      </c>
      <c r="R23" s="1324" t="s">
        <v>61</v>
      </c>
      <c r="S23" s="1325">
        <f>F23</f>
        <v>100</v>
      </c>
      <c r="T23" s="1324" t="s">
        <v>61</v>
      </c>
      <c r="U23" s="1325">
        <f>H23</f>
        <v>100</v>
      </c>
      <c r="V23" s="1324" t="s">
        <v>61</v>
      </c>
      <c r="W23" s="1325">
        <f>J23</f>
        <v>100</v>
      </c>
      <c r="X23" s="1318"/>
      <c r="Y23" s="3689"/>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5"/>
      <c r="M24" s="2346"/>
      <c r="N24" s="2346"/>
      <c r="O24" s="2354"/>
      <c r="P24" s="3689"/>
      <c r="Q24" s="1323">
        <f t="shared" ref="Q24:Q34" si="11">B24</f>
        <v>111</v>
      </c>
      <c r="R24" s="1324" t="s">
        <v>61</v>
      </c>
      <c r="S24" s="1325">
        <f>F24</f>
        <v>100</v>
      </c>
      <c r="T24" s="1324" t="s">
        <v>61</v>
      </c>
      <c r="U24" s="1325">
        <f>H24</f>
        <v>100</v>
      </c>
      <c r="V24" s="1324" t="s">
        <v>61</v>
      </c>
      <c r="W24" s="1325">
        <f>J24</f>
        <v>100</v>
      </c>
      <c r="X24" s="1318"/>
      <c r="Y24" s="3689"/>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7"/>
      <c r="M25" s="2348"/>
      <c r="N25" s="2348"/>
      <c r="O25" s="2349"/>
      <c r="P25" s="3689"/>
      <c r="Q25" s="296">
        <f t="shared" si="11"/>
        <v>111</v>
      </c>
      <c r="R25" s="1319" t="s">
        <v>61</v>
      </c>
      <c r="S25" s="1320">
        <f>F25</f>
        <v>100</v>
      </c>
      <c r="T25" s="1319" t="s">
        <v>61</v>
      </c>
      <c r="U25" s="1320">
        <f>H25</f>
        <v>100</v>
      </c>
      <c r="V25" s="1319" t="s">
        <v>61</v>
      </c>
      <c r="W25" s="1320">
        <f>J25</f>
        <v>100</v>
      </c>
      <c r="X25" s="1321"/>
      <c r="Y25" s="3689"/>
      <c r="Z25" s="344">
        <f>Q25</f>
        <v>111</v>
      </c>
      <c r="AA25" s="1327">
        <f>D25/F25</f>
        <v>1</v>
      </c>
      <c r="AB25" s="1327">
        <f>D25/H25</f>
        <v>1</v>
      </c>
      <c r="AC25" s="1327">
        <f>D25/J25</f>
        <v>1</v>
      </c>
    </row>
    <row r="26" spans="1:29" ht="15">
      <c r="A26" s="809" t="s">
        <v>404</v>
      </c>
      <c r="B26" s="361" t="s">
        <v>457</v>
      </c>
      <c r="C26" s="197"/>
      <c r="D26" s="810">
        <v>100</v>
      </c>
      <c r="E26" s="197"/>
      <c r="F26" s="1010">
        <f>SUMIF(77:77,E26,78:78)-SUMIF(77:77,C26,78:78)+100</f>
        <v>100</v>
      </c>
      <c r="G26" s="197"/>
      <c r="H26" s="810">
        <f>SUMIF(77:77,G26,78:78)-SUMIF(77:77,C26,78:78)+100</f>
        <v>100</v>
      </c>
      <c r="I26" s="197"/>
      <c r="J26" s="810">
        <f>SUMIF(77:77,I26,78:78)-SUMIF(77:77,C26,78:78)+100</f>
        <v>100</v>
      </c>
      <c r="K26" s="955"/>
      <c r="L26" s="2355"/>
      <c r="M26" s="2346"/>
      <c r="N26" s="2346"/>
      <c r="O26" s="2354"/>
      <c r="P26" s="3690" t="s">
        <v>470</v>
      </c>
      <c r="Q26" s="1323" t="str">
        <f t="shared" si="11"/>
        <v>公共部分装修</v>
      </c>
      <c r="R26" s="1324" t="s">
        <v>61</v>
      </c>
      <c r="S26" s="1325">
        <f t="shared" ref="S26:S34" si="12">F26</f>
        <v>100</v>
      </c>
      <c r="T26" s="1324" t="s">
        <v>61</v>
      </c>
      <c r="U26" s="1325">
        <f t="shared" ref="U26:U34" si="13">H26</f>
        <v>100</v>
      </c>
      <c r="V26" s="1324" t="s">
        <v>61</v>
      </c>
      <c r="W26" s="1325">
        <f t="shared" ref="W26:W34" si="14">J26</f>
        <v>100</v>
      </c>
      <c r="X26" s="1318"/>
      <c r="Y26" s="3691" t="s">
        <v>470</v>
      </c>
      <c r="Z26" s="1326" t="str">
        <f t="shared" ref="Z26:Z34" si="15">Q26</f>
        <v>公共部分装修</v>
      </c>
      <c r="AA26" s="1327">
        <f t="shared" si="3"/>
        <v>1</v>
      </c>
      <c r="AB26" s="1327">
        <f t="shared" si="4"/>
        <v>1</v>
      </c>
      <c r="AC26" s="1327">
        <f t="shared" si="5"/>
        <v>1</v>
      </c>
    </row>
    <row r="27" spans="1:29" s="814" customFormat="1" ht="15">
      <c r="A27" s="811"/>
      <c r="B27" s="765" t="s">
        <v>458</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3"/>
      <c r="M27" s="2356"/>
      <c r="N27" s="2356"/>
      <c r="O27" s="2357"/>
      <c r="P27" s="3691"/>
      <c r="Q27" s="1328" t="str">
        <f t="shared" si="11"/>
        <v>成新率</v>
      </c>
      <c r="R27" s="1329" t="s">
        <v>61</v>
      </c>
      <c r="S27" s="1330" t="e">
        <f t="shared" si="12"/>
        <v>#N/A</v>
      </c>
      <c r="T27" s="1329" t="s">
        <v>61</v>
      </c>
      <c r="U27" s="1330" t="e">
        <f t="shared" si="13"/>
        <v>#N/A</v>
      </c>
      <c r="V27" s="1329" t="s">
        <v>61</v>
      </c>
      <c r="W27" s="1330" t="e">
        <f t="shared" si="14"/>
        <v>#N/A</v>
      </c>
      <c r="X27" s="1331"/>
      <c r="Y27" s="3691"/>
      <c r="Z27" s="1332" t="str">
        <f t="shared" si="15"/>
        <v>成新率</v>
      </c>
      <c r="AA27" s="1327" t="e">
        <f t="shared" si="3"/>
        <v>#N/A</v>
      </c>
      <c r="AB27" s="1327" t="e">
        <f t="shared" si="4"/>
        <v>#N/A</v>
      </c>
      <c r="AC27" s="1327" t="e">
        <f t="shared" si="5"/>
        <v>#N/A</v>
      </c>
    </row>
    <row r="28" spans="1:29" ht="15">
      <c r="A28" s="815"/>
      <c r="B28" s="765" t="s">
        <v>459</v>
      </c>
      <c r="C28" s="107"/>
      <c r="D28" s="778">
        <v>100</v>
      </c>
      <c r="E28" s="107"/>
      <c r="F28" s="804">
        <f>SUMIF(82:82,E28,83:83)-SUMIF(82:82,C28,83:83)+100</f>
        <v>100</v>
      </c>
      <c r="G28" s="107"/>
      <c r="H28" s="778">
        <f>SUMIF(82:82,G28,83:83)-SUMIF(82:82,C28,83:83)+100</f>
        <v>100</v>
      </c>
      <c r="I28" s="107"/>
      <c r="J28" s="778">
        <f>SUMIF(82:82,I28,83:83)-SUMIF(82:82,C28,83:83)+100</f>
        <v>100</v>
      </c>
      <c r="K28" s="955"/>
      <c r="L28" s="2355"/>
      <c r="M28" s="2346"/>
      <c r="N28" s="2346"/>
      <c r="O28" s="2354"/>
      <c r="P28" s="3691"/>
      <c r="Q28" s="1323" t="str">
        <f t="shared" si="11"/>
        <v>物业等级</v>
      </c>
      <c r="R28" s="1324" t="s">
        <v>61</v>
      </c>
      <c r="S28" s="1325">
        <f t="shared" si="12"/>
        <v>100</v>
      </c>
      <c r="T28" s="1324" t="s">
        <v>61</v>
      </c>
      <c r="U28" s="1325">
        <f t="shared" si="13"/>
        <v>100</v>
      </c>
      <c r="V28" s="1324" t="s">
        <v>61</v>
      </c>
      <c r="W28" s="1325">
        <f t="shared" si="14"/>
        <v>100</v>
      </c>
      <c r="X28" s="1318"/>
      <c r="Y28" s="3691"/>
      <c r="Z28" s="1326" t="str">
        <f t="shared" si="15"/>
        <v>物业等级</v>
      </c>
      <c r="AA28" s="1327">
        <f t="shared" si="3"/>
        <v>1</v>
      </c>
      <c r="AB28" s="1327">
        <f t="shared" si="4"/>
        <v>1</v>
      </c>
      <c r="AC28" s="1327">
        <f t="shared" si="5"/>
        <v>1</v>
      </c>
    </row>
    <row r="29" spans="1:29" ht="15">
      <c r="A29" s="815"/>
      <c r="B29" s="765" t="s">
        <v>471</v>
      </c>
      <c r="C29" s="1413"/>
      <c r="D29" s="778">
        <v>100</v>
      </c>
      <c r="E29" s="1413"/>
      <c r="F29" s="804">
        <f>SUMIF(84:84,E29,85:85)-SUMIF(84:84,C29,85:85)+100</f>
        <v>100</v>
      </c>
      <c r="G29" s="1413"/>
      <c r="H29" s="778">
        <f>SUMIF(84:84,G29,85:85)-SUMIF(84:84,C29,85:85)+100</f>
        <v>100</v>
      </c>
      <c r="I29" s="1413"/>
      <c r="J29" s="778">
        <f>SUMIF(84:84,I29,85:85)-SUMIF(84:84,C29,85:85)+100</f>
        <v>100</v>
      </c>
      <c r="K29" s="955"/>
      <c r="L29" s="2355"/>
      <c r="M29" s="2346"/>
      <c r="N29" s="2346"/>
      <c r="O29" s="2354"/>
      <c r="P29" s="3691"/>
      <c r="Q29" s="1323" t="str">
        <f t="shared" si="11"/>
        <v>有无电梯</v>
      </c>
      <c r="R29" s="1324" t="s">
        <v>61</v>
      </c>
      <c r="S29" s="1325">
        <f t="shared" si="12"/>
        <v>100</v>
      </c>
      <c r="T29" s="1324" t="s">
        <v>61</v>
      </c>
      <c r="U29" s="1325">
        <f t="shared" si="13"/>
        <v>100</v>
      </c>
      <c r="V29" s="1324" t="s">
        <v>61</v>
      </c>
      <c r="W29" s="1325">
        <f t="shared" si="14"/>
        <v>100</v>
      </c>
      <c r="X29" s="1318"/>
      <c r="Y29" s="3691"/>
      <c r="Z29" s="1326" t="str">
        <f t="shared" si="15"/>
        <v>有无电梯</v>
      </c>
      <c r="AA29" s="1327">
        <f t="shared" si="3"/>
        <v>1</v>
      </c>
      <c r="AB29" s="1327">
        <f t="shared" si="4"/>
        <v>1</v>
      </c>
      <c r="AC29" s="1327">
        <f t="shared" si="5"/>
        <v>1</v>
      </c>
    </row>
    <row r="30" spans="1:29" ht="15">
      <c r="A30" s="815"/>
      <c r="B30" s="765" t="s">
        <v>472</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5"/>
      <c r="M30" s="2346"/>
      <c r="N30" s="2346"/>
      <c r="O30" s="2354"/>
      <c r="P30" s="3691"/>
      <c r="Q30" s="1323" t="str">
        <f t="shared" si="11"/>
        <v>建筑面积</v>
      </c>
      <c r="R30" s="1324" t="s">
        <v>61</v>
      </c>
      <c r="S30" s="1325" t="e">
        <f t="shared" si="12"/>
        <v>#N/A</v>
      </c>
      <c r="T30" s="1324" t="s">
        <v>61</v>
      </c>
      <c r="U30" s="1325" t="e">
        <f t="shared" si="13"/>
        <v>#N/A</v>
      </c>
      <c r="V30" s="1324" t="s">
        <v>61</v>
      </c>
      <c r="W30" s="1325" t="e">
        <f t="shared" si="14"/>
        <v>#N/A</v>
      </c>
      <c r="X30" s="1318"/>
      <c r="Y30" s="3691"/>
      <c r="Z30" s="1326" t="str">
        <f t="shared" si="15"/>
        <v>建筑面积</v>
      </c>
      <c r="AA30" s="1327" t="e">
        <f t="shared" si="3"/>
        <v>#N/A</v>
      </c>
      <c r="AB30" s="1327" t="e">
        <f t="shared" si="4"/>
        <v>#N/A</v>
      </c>
      <c r="AC30" s="1327" t="e">
        <f t="shared" si="5"/>
        <v>#N/A</v>
      </c>
    </row>
    <row r="31" spans="1:29" s="407" customFormat="1" ht="15">
      <c r="A31" s="816"/>
      <c r="B31" s="765" t="s">
        <v>473</v>
      </c>
      <c r="C31" s="1413"/>
      <c r="D31" s="426">
        <v>100</v>
      </c>
      <c r="E31" s="1413"/>
      <c r="F31" s="804">
        <f>SUMIF(89:89,E31,90:90)-SUMIF(89:89,C31,90:90)+100</f>
        <v>100</v>
      </c>
      <c r="G31" s="1413"/>
      <c r="H31" s="778">
        <f>SUMIF(89:89,G31,90:90)-SUMIF(89:89,C31,90:90)+100</f>
        <v>100</v>
      </c>
      <c r="I31" s="1413"/>
      <c r="J31" s="778">
        <f>SUMIF(89:89,I31,90:90)-SUMIF(89:89,C31,90:90)+100</f>
        <v>100</v>
      </c>
      <c r="K31" s="955"/>
      <c r="L31" s="2347"/>
      <c r="M31" s="2348"/>
      <c r="N31" s="2348"/>
      <c r="O31" s="2349"/>
      <c r="P31" s="3691"/>
      <c r="Q31" s="296" t="str">
        <f t="shared" si="11"/>
        <v>是否封闭</v>
      </c>
      <c r="R31" s="1319" t="s">
        <v>61</v>
      </c>
      <c r="S31" s="1320">
        <f t="shared" si="12"/>
        <v>100</v>
      </c>
      <c r="T31" s="1319" t="s">
        <v>61</v>
      </c>
      <c r="U31" s="1320">
        <f t="shared" si="13"/>
        <v>100</v>
      </c>
      <c r="V31" s="1319" t="s">
        <v>61</v>
      </c>
      <c r="W31" s="1320">
        <f t="shared" si="14"/>
        <v>100</v>
      </c>
      <c r="X31" s="1321"/>
      <c r="Y31" s="3691"/>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5"/>
      <c r="M32" s="2346"/>
      <c r="N32" s="2346"/>
      <c r="O32" s="2354"/>
      <c r="P32" s="3691" t="s">
        <v>405</v>
      </c>
      <c r="Q32" s="1323">
        <f t="shared" si="11"/>
        <v>111</v>
      </c>
      <c r="R32" s="1324" t="s">
        <v>61</v>
      </c>
      <c r="S32" s="1325">
        <f t="shared" si="12"/>
        <v>100</v>
      </c>
      <c r="T32" s="1324" t="s">
        <v>61</v>
      </c>
      <c r="U32" s="1325">
        <f t="shared" si="13"/>
        <v>100</v>
      </c>
      <c r="V32" s="1324" t="s">
        <v>61</v>
      </c>
      <c r="W32" s="1325">
        <f t="shared" si="14"/>
        <v>100</v>
      </c>
      <c r="X32" s="1318"/>
      <c r="Y32" s="3691" t="s">
        <v>405</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5"/>
      <c r="M33" s="2346"/>
      <c r="N33" s="2346"/>
      <c r="O33" s="2354"/>
      <c r="P33" s="3691"/>
      <c r="Q33" s="1323">
        <f t="shared" si="11"/>
        <v>111</v>
      </c>
      <c r="R33" s="1324" t="s">
        <v>61</v>
      </c>
      <c r="S33" s="1325">
        <f t="shared" si="12"/>
        <v>100</v>
      </c>
      <c r="T33" s="1324" t="s">
        <v>61</v>
      </c>
      <c r="U33" s="1325">
        <f t="shared" si="13"/>
        <v>100</v>
      </c>
      <c r="V33" s="1324" t="s">
        <v>61</v>
      </c>
      <c r="W33" s="1325">
        <f t="shared" si="14"/>
        <v>100</v>
      </c>
      <c r="X33" s="1318"/>
      <c r="Y33" s="3691"/>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5"/>
      <c r="M34" s="2346"/>
      <c r="N34" s="2346"/>
      <c r="O34" s="2354"/>
      <c r="P34" s="3691"/>
      <c r="Q34" s="1323">
        <f t="shared" si="11"/>
        <v>111</v>
      </c>
      <c r="R34" s="1324" t="s">
        <v>61</v>
      </c>
      <c r="S34" s="1325">
        <f t="shared" si="12"/>
        <v>100</v>
      </c>
      <c r="T34" s="1324" t="s">
        <v>61</v>
      </c>
      <c r="U34" s="1325">
        <f t="shared" si="13"/>
        <v>100</v>
      </c>
      <c r="V34" s="1324" t="s">
        <v>61</v>
      </c>
      <c r="W34" s="1325">
        <f t="shared" si="14"/>
        <v>100</v>
      </c>
      <c r="X34" s="1318"/>
      <c r="Y34" s="3691"/>
      <c r="Z34" s="1326">
        <f t="shared" si="15"/>
        <v>111</v>
      </c>
      <c r="AA34" s="1327">
        <f t="shared" si="3"/>
        <v>1</v>
      </c>
      <c r="AB34" s="1327">
        <f t="shared" si="4"/>
        <v>1</v>
      </c>
      <c r="AC34" s="1327">
        <f t="shared" si="5"/>
        <v>1</v>
      </c>
    </row>
    <row r="35" spans="1:29" ht="15">
      <c r="A35" s="822" t="s">
        <v>406</v>
      </c>
      <c r="B35" s="823"/>
      <c r="C35" s="2833" t="s">
        <v>23</v>
      </c>
      <c r="D35" s="2834"/>
      <c r="E35" s="2835"/>
      <c r="F35" s="2836"/>
      <c r="G35" s="2837"/>
      <c r="H35" s="2838"/>
      <c r="I35" s="2835"/>
      <c r="J35" s="2838"/>
      <c r="K35" s="1400"/>
      <c r="L35" s="2358"/>
      <c r="M35" s="2359"/>
      <c r="N35" s="2346"/>
      <c r="O35" s="2359"/>
      <c r="P35" s="3673" t="str">
        <f>A35</f>
        <v>成交单价（元/平方米）</v>
      </c>
      <c r="Q35" s="3673"/>
      <c r="R35" s="3692">
        <f>E35</f>
        <v>0</v>
      </c>
      <c r="S35" s="3692"/>
      <c r="T35" s="3692">
        <f>G35</f>
        <v>0</v>
      </c>
      <c r="U35" s="3692"/>
      <c r="V35" s="3692">
        <f>I35</f>
        <v>0</v>
      </c>
      <c r="W35" s="3692"/>
      <c r="X35" s="1307"/>
      <c r="Y35" s="1333"/>
      <c r="Z35" s="1307"/>
      <c r="AA35" s="1307"/>
      <c r="AB35" s="1307"/>
      <c r="AC35" s="1307"/>
    </row>
    <row r="36" spans="1:29" ht="15.75" thickBot="1">
      <c r="A36" s="829" t="s">
        <v>407</v>
      </c>
      <c r="B36" s="830"/>
      <c r="C36" s="2839" t="e">
        <f>R37</f>
        <v>#DIV/0!</v>
      </c>
      <c r="D36" s="2840"/>
      <c r="E36" s="2841" t="e">
        <f>R36</f>
        <v>#DIV/0!</v>
      </c>
      <c r="F36" s="2841"/>
      <c r="G36" s="2839" t="e">
        <f>T36</f>
        <v>#DIV/0!</v>
      </c>
      <c r="H36" s="2840"/>
      <c r="I36" s="2841" t="e">
        <f>V36</f>
        <v>#DIV/0!</v>
      </c>
      <c r="J36" s="2840"/>
      <c r="K36" s="1401"/>
      <c r="L36" s="2358"/>
      <c r="M36" s="2359"/>
      <c r="N36" s="2346"/>
      <c r="O36" s="2359"/>
      <c r="P36" s="3673" t="str">
        <f>A36</f>
        <v>比较价值（元/平方米）</v>
      </c>
      <c r="Q36" s="3673"/>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1307"/>
      <c r="Y36" s="1307"/>
      <c r="Z36" s="1307"/>
      <c r="AA36" s="1307"/>
      <c r="AB36" s="1307"/>
      <c r="AC36" s="1307"/>
    </row>
    <row r="37" spans="1:29" ht="15.75" thickBot="1">
      <c r="A37" s="115" t="s">
        <v>3016</v>
      </c>
      <c r="B37" s="836"/>
      <c r="C37" s="2843" t="e">
        <f>R37</f>
        <v>#DIV/0!</v>
      </c>
      <c r="D37" s="2843"/>
      <c r="E37" s="2843"/>
      <c r="F37" s="2843"/>
      <c r="G37" s="2843"/>
      <c r="H37" s="2843"/>
      <c r="I37" s="2843"/>
      <c r="J37" s="2843"/>
      <c r="K37" s="1402"/>
      <c r="L37" s="2358"/>
      <c r="M37" s="2359"/>
      <c r="N37" s="2359"/>
      <c r="O37" s="2359"/>
      <c r="P37" s="3693" t="str">
        <f>A37</f>
        <v>估价对象XX用房的比较价值（楼面单价，元/平方米）</v>
      </c>
      <c r="Q37" s="3694"/>
      <c r="R37" s="3695" t="e">
        <f>IF(F1="售价",ROUND(AVERAGE(R36:V36),0),ROUND(AVERAGE(R36:V36),1))</f>
        <v>#DIV/0!</v>
      </c>
      <c r="S37" s="3695"/>
      <c r="T37" s="3695"/>
      <c r="U37" s="3695"/>
      <c r="V37" s="3695"/>
      <c r="W37" s="3695"/>
      <c r="X37" s="1307"/>
      <c r="Y37" s="1307"/>
      <c r="Z37" s="1307"/>
      <c r="AA37" s="1307"/>
      <c r="AB37" s="1307"/>
      <c r="AC37" s="1307"/>
    </row>
    <row r="38" spans="1:29">
      <c r="A38" s="2359"/>
      <c r="B38" s="2359"/>
      <c r="C38" s="2359"/>
      <c r="D38" s="2359"/>
      <c r="E38" s="2359"/>
      <c r="F38" s="2359"/>
      <c r="G38" s="2362"/>
      <c r="H38" s="2359"/>
      <c r="I38" s="2359"/>
      <c r="J38" s="2359"/>
      <c r="K38" s="2185"/>
      <c r="L38" s="2186"/>
      <c r="M38" s="2359"/>
      <c r="N38" s="2359"/>
      <c r="O38" s="2359"/>
    </row>
    <row r="39" spans="1:29">
      <c r="A39" s="2359"/>
      <c r="B39" s="2359"/>
      <c r="C39" s="2359"/>
      <c r="D39" s="2359"/>
      <c r="E39" s="2359"/>
      <c r="F39" s="2359"/>
      <c r="G39" s="2359"/>
      <c r="H39" s="2359"/>
      <c r="I39" s="2359"/>
      <c r="J39" s="2359"/>
      <c r="K39" s="2185"/>
      <c r="L39" s="2186"/>
      <c r="M39" s="2359"/>
      <c r="N39" s="2359"/>
      <c r="O39" s="2359"/>
    </row>
    <row r="40" spans="1:29" ht="13.5" customHeight="1">
      <c r="A40" s="2359"/>
      <c r="B40" s="2359"/>
      <c r="C40" s="840" t="s">
        <v>408</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5"/>
      <c r="L40" s="2186"/>
      <c r="M40" s="2359"/>
      <c r="N40" s="2359"/>
      <c r="O40" s="2359"/>
    </row>
    <row r="41" spans="1:29" ht="13.5" customHeight="1">
      <c r="A41" s="2359"/>
      <c r="B41" s="2359"/>
      <c r="C41" s="840" t="s">
        <v>409</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5"/>
      <c r="L41" s="2186"/>
      <c r="M41" s="2359"/>
      <c r="N41" s="2359"/>
      <c r="O41" s="2359"/>
    </row>
    <row r="42" spans="1:29" s="845" customFormat="1" ht="13.5" customHeight="1">
      <c r="A42" s="2360"/>
      <c r="B42" s="2360"/>
      <c r="C42" s="840" t="s">
        <v>410</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3"/>
      <c r="L42" s="2364"/>
      <c r="M42" s="2360"/>
      <c r="N42" s="2360"/>
      <c r="O42" s="2360"/>
    </row>
    <row r="43" spans="1:29" s="845" customFormat="1">
      <c r="A43" s="2360"/>
      <c r="B43" s="2361"/>
      <c r="C43" s="2365"/>
      <c r="D43" s="2360"/>
      <c r="E43" s="2360"/>
      <c r="F43" s="2360"/>
      <c r="G43" s="2360"/>
      <c r="H43" s="2360"/>
      <c r="I43" s="2360"/>
      <c r="J43" s="2360"/>
      <c r="K43" s="2363"/>
      <c r="L43" s="2364"/>
      <c r="M43" s="2360"/>
      <c r="N43" s="2360"/>
      <c r="O43" s="2360"/>
    </row>
    <row r="44" spans="1:29">
      <c r="A44" s="2359"/>
      <c r="B44" s="2361"/>
      <c r="C44" s="2365"/>
      <c r="D44" s="2359"/>
      <c r="E44" s="2359"/>
      <c r="F44" s="2359"/>
      <c r="G44" s="2359"/>
      <c r="H44" s="2359"/>
      <c r="I44" s="2359"/>
      <c r="J44" s="2359"/>
      <c r="K44" s="2185"/>
      <c r="L44" s="2186"/>
      <c r="M44" s="2359"/>
      <c r="N44" s="2359"/>
      <c r="O44" s="2359"/>
    </row>
    <row r="45" spans="1:29" ht="21.75" thickBot="1">
      <c r="A45" s="1311" t="s">
        <v>411</v>
      </c>
      <c r="B45" s="1307"/>
      <c r="C45" s="1312"/>
      <c r="D45" s="1312"/>
      <c r="E45" s="1312"/>
      <c r="F45" s="1313"/>
      <c r="G45" s="1313"/>
      <c r="H45" s="1312"/>
      <c r="I45" s="1312"/>
      <c r="J45" s="1312"/>
      <c r="K45" s="1314"/>
      <c r="L45" s="1315"/>
      <c r="M45" s="1312"/>
      <c r="N45" s="1312"/>
      <c r="O45" s="1312"/>
      <c r="P45" s="846"/>
      <c r="Q45" s="847"/>
    </row>
    <row r="46" spans="1:29" s="851" customFormat="1" ht="15">
      <c r="A46" s="848" t="s">
        <v>394</v>
      </c>
      <c r="B46" s="849"/>
      <c r="C46" s="3042" t="str">
        <f>YEAR(C7)&amp;"-"&amp;MONTH(C7)</f>
        <v>2017-8</v>
      </c>
      <c r="D46" s="3043">
        <f>EDATE(C46,-1)</f>
        <v>42917</v>
      </c>
      <c r="E46" s="3043">
        <f t="shared" ref="E46:O46" si="16">EDATE(D46,-1)</f>
        <v>42887</v>
      </c>
      <c r="F46" s="3043">
        <f t="shared" si="16"/>
        <v>42856</v>
      </c>
      <c r="G46" s="3043">
        <f t="shared" si="16"/>
        <v>42826</v>
      </c>
      <c r="H46" s="3043">
        <f t="shared" si="16"/>
        <v>42795</v>
      </c>
      <c r="I46" s="3043">
        <f t="shared" si="16"/>
        <v>42767</v>
      </c>
      <c r="J46" s="3043">
        <f t="shared" si="16"/>
        <v>42736</v>
      </c>
      <c r="K46" s="3043">
        <f t="shared" si="16"/>
        <v>42705</v>
      </c>
      <c r="L46" s="3043">
        <f t="shared" si="16"/>
        <v>42675</v>
      </c>
      <c r="M46" s="3043">
        <f t="shared" si="16"/>
        <v>42644</v>
      </c>
      <c r="N46" s="3043">
        <f t="shared" si="16"/>
        <v>42614</v>
      </c>
      <c r="O46" s="3043">
        <f t="shared" si="16"/>
        <v>42583</v>
      </c>
      <c r="P46" s="850"/>
    </row>
    <row r="47" spans="1:29" s="407" customFormat="1" ht="15">
      <c r="A47" s="852"/>
      <c r="B47" s="853"/>
      <c r="C47" s="3040">
        <v>100</v>
      </c>
      <c r="D47" s="855"/>
      <c r="E47" s="855"/>
      <c r="F47" s="855"/>
      <c r="G47" s="855"/>
      <c r="H47" s="855"/>
      <c r="I47" s="855"/>
      <c r="J47" s="855"/>
      <c r="K47" s="855"/>
      <c r="L47" s="855"/>
      <c r="M47" s="856"/>
      <c r="N47" s="855"/>
      <c r="O47" s="857"/>
      <c r="P47" s="847"/>
    </row>
    <row r="48" spans="1:29" s="407" customFormat="1" ht="15.75" thickBot="1">
      <c r="A48" s="858" t="s">
        <v>412</v>
      </c>
      <c r="B48" s="859"/>
      <c r="C48" s="860"/>
      <c r="D48" s="861"/>
      <c r="E48" s="861"/>
      <c r="F48" s="861"/>
      <c r="G48" s="861"/>
      <c r="H48" s="861"/>
      <c r="I48" s="861"/>
      <c r="J48" s="861"/>
      <c r="K48" s="861"/>
      <c r="L48" s="861"/>
      <c r="M48" s="862"/>
      <c r="N48" s="861"/>
      <c r="O48" s="863"/>
      <c r="P48" s="847"/>
      <c r="Q48" s="847"/>
    </row>
    <row r="49" spans="1:17" s="407" customFormat="1" ht="15">
      <c r="A49" s="864" t="s">
        <v>396</v>
      </c>
      <c r="B49" s="853"/>
      <c r="C49" s="865" t="s">
        <v>413</v>
      </c>
      <c r="D49" s="140"/>
      <c r="E49" s="140"/>
      <c r="F49" s="140"/>
      <c r="G49" s="140"/>
      <c r="H49" s="140"/>
      <c r="I49" s="140"/>
      <c r="J49" s="140"/>
      <c r="K49" s="140"/>
      <c r="L49" s="141"/>
      <c r="M49" s="1051"/>
      <c r="N49" s="2366"/>
      <c r="O49" s="2366"/>
      <c r="P49" s="869"/>
      <c r="Q49" s="847"/>
    </row>
    <row r="50" spans="1:17" s="407" customFormat="1" ht="15.75" thickBot="1">
      <c r="A50" s="864"/>
      <c r="B50" s="853"/>
      <c r="C50" s="982">
        <v>100</v>
      </c>
      <c r="D50" s="855"/>
      <c r="E50" s="855"/>
      <c r="F50" s="855"/>
      <c r="G50" s="855"/>
      <c r="H50" s="855"/>
      <c r="I50" s="855"/>
      <c r="J50" s="855"/>
      <c r="K50" s="855"/>
      <c r="L50" s="855"/>
      <c r="M50" s="857"/>
      <c r="N50" s="2366"/>
      <c r="O50" s="2366"/>
      <c r="P50" s="847"/>
      <c r="Q50" s="847"/>
    </row>
    <row r="51" spans="1:17">
      <c r="A51" s="870" t="s">
        <v>414</v>
      </c>
      <c r="B51" s="871" t="s">
        <v>415</v>
      </c>
      <c r="C51" s="872">
        <f>C9</f>
        <v>0</v>
      </c>
      <c r="D51" s="122"/>
      <c r="E51" s="122"/>
      <c r="F51" s="122"/>
      <c r="G51" s="122"/>
      <c r="H51" s="122"/>
      <c r="I51" s="122"/>
      <c r="J51" s="122"/>
      <c r="K51" s="123"/>
      <c r="L51" s="124"/>
      <c r="M51" s="125"/>
      <c r="N51" s="2367"/>
      <c r="O51" s="2367"/>
      <c r="P51" s="334"/>
      <c r="Q51" s="847"/>
    </row>
    <row r="52" spans="1:17" ht="15.75" thickBot="1">
      <c r="A52" s="877"/>
      <c r="B52" s="878"/>
      <c r="C52" s="879">
        <v>100</v>
      </c>
      <c r="D52" s="879"/>
      <c r="E52" s="879"/>
      <c r="F52" s="879"/>
      <c r="G52" s="879"/>
      <c r="H52" s="879"/>
      <c r="I52" s="879"/>
      <c r="J52" s="879"/>
      <c r="K52" s="879"/>
      <c r="L52" s="879"/>
      <c r="M52" s="880"/>
      <c r="N52" s="2368"/>
      <c r="O52" s="2368"/>
      <c r="P52" s="334"/>
      <c r="Q52" s="847"/>
    </row>
    <row r="53" spans="1:17" ht="27.75" thickTop="1">
      <c r="A53" s="877"/>
      <c r="B53" s="881" t="s">
        <v>400</v>
      </c>
      <c r="C53" s="882" t="s">
        <v>416</v>
      </c>
      <c r="D53" s="882" t="s">
        <v>417</v>
      </c>
      <c r="E53" s="882" t="s">
        <v>418</v>
      </c>
      <c r="F53" s="882" t="s">
        <v>419</v>
      </c>
      <c r="G53" s="882" t="s">
        <v>434</v>
      </c>
      <c r="H53" s="882" t="s">
        <v>435</v>
      </c>
      <c r="I53" s="882" t="s">
        <v>436</v>
      </c>
      <c r="J53" s="882"/>
      <c r="K53" s="883"/>
      <c r="L53" s="884"/>
      <c r="M53" s="885"/>
      <c r="N53" s="2367"/>
      <c r="O53" s="2367"/>
      <c r="P53" s="334"/>
      <c r="Q53" s="847"/>
    </row>
    <row r="54" spans="1:17" ht="15.75" thickBot="1">
      <c r="A54" s="877"/>
      <c r="B54" s="886"/>
      <c r="C54" s="887" t="s">
        <v>134</v>
      </c>
      <c r="D54" s="887" t="s">
        <v>135</v>
      </c>
      <c r="E54" s="887">
        <v>100</v>
      </c>
      <c r="F54" s="887">
        <f>E54-$K10</f>
        <v>100</v>
      </c>
      <c r="G54" s="887">
        <f>F54-$K10</f>
        <v>100</v>
      </c>
      <c r="H54" s="887">
        <f>G54-$K10</f>
        <v>100</v>
      </c>
      <c r="I54" s="887">
        <f>H54-$K10</f>
        <v>100</v>
      </c>
      <c r="J54" s="887"/>
      <c r="K54" s="887"/>
      <c r="L54" s="887"/>
      <c r="M54" s="888"/>
      <c r="N54" s="2368"/>
      <c r="O54" s="2368"/>
      <c r="P54" s="334"/>
      <c r="Q54" s="847"/>
    </row>
    <row r="55" spans="1:17" ht="15.75" thickTop="1">
      <c r="A55" s="877"/>
      <c r="B55" s="213">
        <f>B11</f>
        <v>111</v>
      </c>
      <c r="C55" s="126"/>
      <c r="D55" s="126"/>
      <c r="E55" s="126"/>
      <c r="F55" s="126"/>
      <c r="G55" s="126"/>
      <c r="H55" s="126"/>
      <c r="I55" s="126"/>
      <c r="J55" s="126"/>
      <c r="K55" s="127"/>
      <c r="L55" s="128"/>
      <c r="M55" s="129"/>
      <c r="N55" s="2367"/>
      <c r="O55" s="2367"/>
      <c r="P55" s="334"/>
      <c r="Q55" s="847"/>
    </row>
    <row r="56" spans="1:17" ht="15.75" thickBot="1">
      <c r="A56" s="877"/>
      <c r="B56" s="1053"/>
      <c r="C56" s="903"/>
      <c r="D56" s="879"/>
      <c r="E56" s="879"/>
      <c r="F56" s="879"/>
      <c r="G56" s="879"/>
      <c r="H56" s="879"/>
      <c r="I56" s="879"/>
      <c r="J56" s="879"/>
      <c r="K56" s="879"/>
      <c r="L56" s="879"/>
      <c r="M56" s="880"/>
      <c r="N56" s="2368"/>
      <c r="O56" s="2368"/>
      <c r="P56" s="334"/>
      <c r="Q56" s="847"/>
    </row>
    <row r="57" spans="1:17" s="814" customFormat="1" ht="15.75" thickTop="1">
      <c r="A57" s="896"/>
      <c r="B57" s="1054">
        <f>B12</f>
        <v>111</v>
      </c>
      <c r="C57" s="126"/>
      <c r="D57" s="126"/>
      <c r="E57" s="126"/>
      <c r="F57" s="126"/>
      <c r="G57" s="139"/>
      <c r="H57" s="1059"/>
      <c r="I57" s="1059"/>
      <c r="J57" s="1059"/>
      <c r="K57" s="1059"/>
      <c r="L57" s="1060"/>
      <c r="M57" s="1061"/>
      <c r="N57" s="2369"/>
      <c r="O57" s="2369"/>
      <c r="P57" s="901"/>
      <c r="Q57" s="902"/>
    </row>
    <row r="58" spans="1:17" s="814" customFormat="1" ht="15.75" thickBot="1">
      <c r="A58" s="896"/>
      <c r="B58" s="1055"/>
      <c r="C58" s="903"/>
      <c r="D58" s="879"/>
      <c r="E58" s="879"/>
      <c r="F58" s="879"/>
      <c r="G58" s="879"/>
      <c r="H58" s="879"/>
      <c r="I58" s="879"/>
      <c r="J58" s="879"/>
      <c r="K58" s="879"/>
      <c r="L58" s="879"/>
      <c r="M58" s="880"/>
      <c r="N58" s="2368"/>
      <c r="O58" s="2368"/>
      <c r="P58" s="901"/>
      <c r="Q58" s="902"/>
    </row>
    <row r="59" spans="1:17" s="814" customFormat="1" ht="15.75" thickTop="1">
      <c r="A59" s="896"/>
      <c r="B59" s="1054">
        <f>B13</f>
        <v>111</v>
      </c>
      <c r="C59" s="126"/>
      <c r="D59" s="126"/>
      <c r="E59" s="126"/>
      <c r="F59" s="126"/>
      <c r="G59" s="139"/>
      <c r="H59" s="1059"/>
      <c r="I59" s="1059"/>
      <c r="J59" s="1059"/>
      <c r="K59" s="1059"/>
      <c r="L59" s="1060"/>
      <c r="M59" s="1061"/>
      <c r="N59" s="2369"/>
      <c r="O59" s="2369"/>
      <c r="P59" s="813"/>
      <c r="Q59" s="904"/>
    </row>
    <row r="60" spans="1:17" s="814" customFormat="1" ht="15.75" thickBot="1">
      <c r="A60" s="896"/>
      <c r="B60" s="1055"/>
      <c r="C60" s="903"/>
      <c r="D60" s="903"/>
      <c r="E60" s="903"/>
      <c r="F60" s="903"/>
      <c r="G60" s="903"/>
      <c r="H60" s="905"/>
      <c r="I60" s="905"/>
      <c r="J60" s="905"/>
      <c r="K60" s="905"/>
      <c r="L60" s="905"/>
      <c r="M60" s="906"/>
      <c r="N60" s="2369"/>
      <c r="O60" s="2369"/>
      <c r="P60" s="901"/>
      <c r="Q60" s="902"/>
    </row>
    <row r="61" spans="1:17" ht="15" thickTop="1">
      <c r="A61" s="870" t="s">
        <v>402</v>
      </c>
      <c r="B61" s="871" t="s">
        <v>426</v>
      </c>
      <c r="C61" s="916" t="s">
        <v>421</v>
      </c>
      <c r="D61" s="916" t="s">
        <v>422</v>
      </c>
      <c r="E61" s="916" t="s">
        <v>423</v>
      </c>
      <c r="F61" s="916" t="s">
        <v>424</v>
      </c>
      <c r="G61" s="916" t="s">
        <v>425</v>
      </c>
      <c r="H61" s="872"/>
      <c r="I61" s="872"/>
      <c r="J61" s="872"/>
      <c r="K61" s="917"/>
      <c r="L61" s="918"/>
      <c r="M61" s="919"/>
      <c r="N61" s="2367"/>
      <c r="O61" s="2367"/>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68"/>
      <c r="O62" s="2368"/>
      <c r="P62" s="334"/>
      <c r="Q62" s="847"/>
    </row>
    <row r="63" spans="1:17" ht="27.75" thickTop="1">
      <c r="A63" s="877"/>
      <c r="B63" s="881" t="s">
        <v>427</v>
      </c>
      <c r="C63" s="921" t="s">
        <v>421</v>
      </c>
      <c r="D63" s="921" t="s">
        <v>422</v>
      </c>
      <c r="E63" s="921" t="s">
        <v>423</v>
      </c>
      <c r="F63" s="921" t="s">
        <v>424</v>
      </c>
      <c r="G63" s="921" t="s">
        <v>425</v>
      </c>
      <c r="H63" s="882"/>
      <c r="I63" s="882"/>
      <c r="J63" s="882"/>
      <c r="K63" s="883"/>
      <c r="L63" s="884"/>
      <c r="M63" s="885"/>
      <c r="N63" s="2367"/>
      <c r="O63" s="2367"/>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68"/>
      <c r="O64" s="2368"/>
      <c r="P64" s="334"/>
      <c r="Q64" s="847"/>
    </row>
    <row r="65" spans="1:17" ht="15.75" thickTop="1">
      <c r="A65" s="877"/>
      <c r="B65" s="1056" t="s">
        <v>2664</v>
      </c>
      <c r="C65" s="213" t="s">
        <v>2654</v>
      </c>
      <c r="D65" s="213" t="s">
        <v>2655</v>
      </c>
      <c r="E65" s="213" t="s">
        <v>2656</v>
      </c>
      <c r="F65" s="213" t="s">
        <v>2657</v>
      </c>
      <c r="G65" s="213" t="s">
        <v>2658</v>
      </c>
      <c r="H65" s="882"/>
      <c r="I65" s="882"/>
      <c r="J65" s="882"/>
      <c r="K65" s="882"/>
      <c r="L65" s="882"/>
      <c r="M65" s="2762"/>
      <c r="N65" s="2368"/>
      <c r="O65" s="2368"/>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68"/>
      <c r="O66" s="2368"/>
      <c r="P66" s="334"/>
      <c r="Q66" s="847"/>
    </row>
    <row r="67" spans="1:17" ht="15.75" thickTop="1">
      <c r="A67" s="877"/>
      <c r="B67" s="881" t="s">
        <v>428</v>
      </c>
      <c r="C67" s="921" t="s">
        <v>421</v>
      </c>
      <c r="D67" s="921" t="s">
        <v>422</v>
      </c>
      <c r="E67" s="921" t="s">
        <v>423</v>
      </c>
      <c r="F67" s="921" t="s">
        <v>424</v>
      </c>
      <c r="G67" s="921" t="s">
        <v>425</v>
      </c>
      <c r="H67" s="882"/>
      <c r="I67" s="882"/>
      <c r="J67" s="882"/>
      <c r="K67" s="883"/>
      <c r="L67" s="884"/>
      <c r="M67" s="885"/>
      <c r="N67" s="2367"/>
      <c r="O67" s="2367"/>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68"/>
      <c r="O68" s="2368"/>
      <c r="P68" s="334"/>
      <c r="Q68" s="847"/>
    </row>
    <row r="69" spans="1:17" ht="15.75" thickTop="1">
      <c r="A69" s="877"/>
      <c r="B69" s="881" t="s">
        <v>429</v>
      </c>
      <c r="C69" s="139"/>
      <c r="D69" s="139"/>
      <c r="E69" s="139"/>
      <c r="F69" s="139"/>
      <c r="G69" s="139"/>
      <c r="H69" s="131"/>
      <c r="I69" s="131"/>
      <c r="J69" s="131"/>
      <c r="K69" s="132"/>
      <c r="L69" s="133"/>
      <c r="M69" s="134"/>
      <c r="N69" s="2367"/>
      <c r="O69" s="2367"/>
      <c r="P69" s="334"/>
      <c r="Q69" s="847"/>
    </row>
    <row r="70" spans="1:17" ht="15.75" thickBot="1">
      <c r="A70" s="877"/>
      <c r="B70" s="886"/>
      <c r="C70" s="887">
        <v>100</v>
      </c>
      <c r="D70" s="887">
        <f>C70-$K22</f>
        <v>100</v>
      </c>
      <c r="E70" s="887"/>
      <c r="F70" s="887"/>
      <c r="G70" s="887"/>
      <c r="H70" s="887"/>
      <c r="I70" s="887"/>
      <c r="J70" s="887"/>
      <c r="K70" s="887"/>
      <c r="L70" s="887"/>
      <c r="M70" s="888"/>
      <c r="N70" s="2368"/>
      <c r="O70" s="2368"/>
      <c r="P70" s="334"/>
      <c r="Q70" s="847"/>
    </row>
    <row r="71" spans="1:17" s="407" customFormat="1" ht="15.75" thickTop="1">
      <c r="A71" s="922"/>
      <c r="B71" s="1054">
        <f>B23</f>
        <v>111</v>
      </c>
      <c r="C71" s="126"/>
      <c r="D71" s="126"/>
      <c r="E71" s="126"/>
      <c r="F71" s="126"/>
      <c r="G71" s="139"/>
      <c r="H71" s="139"/>
      <c r="I71" s="139"/>
      <c r="J71" s="139"/>
      <c r="K71" s="139"/>
      <c r="L71" s="1384"/>
      <c r="M71" s="1385"/>
      <c r="N71" s="2366"/>
      <c r="O71" s="2366"/>
      <c r="P71" s="334"/>
      <c r="Q71" s="847"/>
    </row>
    <row r="72" spans="1:17" s="407" customFormat="1" ht="15.75" thickBot="1">
      <c r="A72" s="922"/>
      <c r="B72" s="1055"/>
      <c r="C72" s="903"/>
      <c r="D72" s="879"/>
      <c r="E72" s="879"/>
      <c r="F72" s="879"/>
      <c r="G72" s="879"/>
      <c r="H72" s="879"/>
      <c r="I72" s="879"/>
      <c r="J72" s="879"/>
      <c r="K72" s="879"/>
      <c r="L72" s="879"/>
      <c r="M72" s="880"/>
      <c r="N72" s="2368"/>
      <c r="O72" s="2368"/>
      <c r="P72" s="334"/>
      <c r="Q72" s="847"/>
    </row>
    <row r="73" spans="1:17" s="407" customFormat="1" ht="15.75" thickTop="1">
      <c r="A73" s="922"/>
      <c r="B73" s="1054">
        <f>B24</f>
        <v>111</v>
      </c>
      <c r="C73" s="126"/>
      <c r="D73" s="126"/>
      <c r="E73" s="126"/>
      <c r="F73" s="126"/>
      <c r="G73" s="139"/>
      <c r="H73" s="139"/>
      <c r="I73" s="139"/>
      <c r="J73" s="139"/>
      <c r="K73" s="139"/>
      <c r="L73" s="139"/>
      <c r="M73" s="1385"/>
      <c r="N73" s="2366"/>
      <c r="O73" s="2366"/>
      <c r="P73" s="334"/>
      <c r="Q73" s="847"/>
    </row>
    <row r="74" spans="1:17" s="407" customFormat="1" ht="15.75" thickBot="1">
      <c r="A74" s="922"/>
      <c r="B74" s="1055"/>
      <c r="C74" s="903"/>
      <c r="D74" s="879"/>
      <c r="E74" s="879"/>
      <c r="F74" s="879"/>
      <c r="G74" s="879"/>
      <c r="H74" s="879"/>
      <c r="I74" s="879"/>
      <c r="J74" s="879"/>
      <c r="K74" s="879"/>
      <c r="L74" s="879"/>
      <c r="M74" s="880"/>
      <c r="N74" s="2368"/>
      <c r="O74" s="2368"/>
      <c r="P74" s="334"/>
      <c r="Q74" s="847"/>
    </row>
    <row r="75" spans="1:17" s="814" customFormat="1" ht="15.75" thickTop="1">
      <c r="A75" s="896"/>
      <c r="B75" s="1054">
        <f>B25</f>
        <v>111</v>
      </c>
      <c r="C75" s="126"/>
      <c r="D75" s="126"/>
      <c r="E75" s="126"/>
      <c r="F75" s="126"/>
      <c r="G75" s="139"/>
      <c r="H75" s="1059"/>
      <c r="I75" s="1059"/>
      <c r="J75" s="1059"/>
      <c r="K75" s="1059"/>
      <c r="L75" s="1060"/>
      <c r="M75" s="1061"/>
      <c r="N75" s="2369"/>
      <c r="O75" s="2369"/>
      <c r="P75" s="901"/>
      <c r="Q75" s="902"/>
    </row>
    <row r="76" spans="1:17" s="814" customFormat="1" ht="15.75" thickBot="1">
      <c r="A76" s="896"/>
      <c r="B76" s="1055"/>
      <c r="C76" s="903"/>
      <c r="D76" s="903"/>
      <c r="E76" s="903"/>
      <c r="F76" s="903"/>
      <c r="G76" s="879"/>
      <c r="H76" s="879"/>
      <c r="I76" s="879"/>
      <c r="J76" s="879"/>
      <c r="K76" s="879"/>
      <c r="L76" s="879"/>
      <c r="M76" s="880"/>
      <c r="N76" s="2369"/>
      <c r="O76" s="2369"/>
      <c r="P76" s="901"/>
      <c r="Q76" s="902"/>
    </row>
    <row r="77" spans="1:17" ht="15" thickTop="1">
      <c r="A77" s="870" t="s">
        <v>404</v>
      </c>
      <c r="B77" s="871" t="s">
        <v>430</v>
      </c>
      <c r="C77" s="139"/>
      <c r="D77" s="139"/>
      <c r="E77" s="122"/>
      <c r="F77" s="122"/>
      <c r="G77" s="122"/>
      <c r="H77" s="122"/>
      <c r="I77" s="122"/>
      <c r="J77" s="122"/>
      <c r="K77" s="123"/>
      <c r="L77" s="124"/>
      <c r="M77" s="125"/>
      <c r="N77" s="2367"/>
      <c r="O77" s="2367"/>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68"/>
      <c r="O78" s="2368"/>
      <c r="P78" s="334"/>
      <c r="Q78" s="847"/>
    </row>
    <row r="79" spans="1:17" ht="15.75" thickTop="1">
      <c r="A79" s="877"/>
      <c r="B79" s="881" t="s">
        <v>465</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6"/>
      <c r="O79" s="2366"/>
      <c r="P79" s="334"/>
      <c r="Q79" s="847"/>
    </row>
    <row r="80" spans="1:17" ht="15">
      <c r="A80" s="877"/>
      <c r="B80" s="889"/>
      <c r="C80" s="946">
        <v>0.5</v>
      </c>
      <c r="D80" s="946">
        <v>0.6</v>
      </c>
      <c r="E80" s="946">
        <v>0.7</v>
      </c>
      <c r="F80" s="946">
        <v>0.8</v>
      </c>
      <c r="G80" s="946">
        <v>0.9</v>
      </c>
      <c r="H80" s="946">
        <v>1.0001</v>
      </c>
      <c r="I80" s="1003"/>
      <c r="J80" s="1003"/>
      <c r="K80" s="1011"/>
      <c r="L80" s="1012"/>
      <c r="M80" s="1013"/>
      <c r="N80" s="2366"/>
      <c r="O80" s="2366"/>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68"/>
      <c r="O81" s="2368"/>
      <c r="P81" s="901"/>
      <c r="Q81" s="902"/>
    </row>
    <row r="82" spans="1:17" ht="15" thickTop="1">
      <c r="A82" s="942"/>
      <c r="B82" s="889" t="s">
        <v>466</v>
      </c>
      <c r="C82" s="139"/>
      <c r="D82" s="139"/>
      <c r="E82" s="131"/>
      <c r="F82" s="131"/>
      <c r="G82" s="131"/>
      <c r="H82" s="131"/>
      <c r="I82" s="131"/>
      <c r="J82" s="131"/>
      <c r="K82" s="132"/>
      <c r="L82" s="133"/>
      <c r="M82" s="134"/>
      <c r="N82" s="2367"/>
      <c r="O82" s="2367"/>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68"/>
      <c r="O83" s="2368"/>
      <c r="P83" s="334"/>
      <c r="Q83" s="847"/>
    </row>
    <row r="84" spans="1:17" ht="15" thickTop="1">
      <c r="A84" s="942"/>
      <c r="B84" s="881" t="s">
        <v>474</v>
      </c>
      <c r="C84" s="139"/>
      <c r="D84" s="139"/>
      <c r="E84" s="139"/>
      <c r="F84" s="139"/>
      <c r="G84" s="139"/>
      <c r="H84" s="139"/>
      <c r="I84" s="131"/>
      <c r="J84" s="131"/>
      <c r="K84" s="132"/>
      <c r="L84" s="133"/>
      <c r="M84" s="134"/>
      <c r="N84" s="2367"/>
      <c r="O84" s="2367"/>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68"/>
      <c r="O85" s="2368"/>
      <c r="P85" s="334"/>
      <c r="Q85" s="847"/>
    </row>
    <row r="86" spans="1:17" ht="15" thickTop="1">
      <c r="A86" s="942"/>
      <c r="B86" s="889" t="s">
        <v>475</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7"/>
      <c r="O86" s="2367"/>
      <c r="P86" s="334"/>
      <c r="Q86" s="847"/>
    </row>
    <row r="87" spans="1:17">
      <c r="A87" s="942"/>
      <c r="B87" s="889"/>
      <c r="C87" s="938"/>
      <c r="D87" s="938"/>
      <c r="E87" s="938"/>
      <c r="F87" s="938"/>
      <c r="G87" s="938"/>
      <c r="H87" s="938"/>
      <c r="I87" s="938"/>
      <c r="J87" s="939"/>
      <c r="K87" s="939"/>
      <c r="L87" s="940"/>
      <c r="M87" s="941"/>
      <c r="N87" s="2367"/>
      <c r="O87" s="2367"/>
      <c r="P87" s="334"/>
      <c r="Q87" s="847"/>
    </row>
    <row r="88" spans="1:17" ht="15.75" thickBot="1">
      <c r="A88" s="877"/>
      <c r="B88" s="886"/>
      <c r="C88" s="903"/>
      <c r="D88" s="879"/>
      <c r="E88" s="879"/>
      <c r="F88" s="879"/>
      <c r="G88" s="879"/>
      <c r="H88" s="879"/>
      <c r="I88" s="879"/>
      <c r="J88" s="879"/>
      <c r="K88" s="879"/>
      <c r="L88" s="879"/>
      <c r="M88" s="879"/>
      <c r="N88" s="2368"/>
      <c r="O88" s="2368"/>
      <c r="P88" s="334"/>
      <c r="Q88" s="847"/>
    </row>
    <row r="89" spans="1:17" s="814" customFormat="1" ht="15" thickTop="1">
      <c r="A89" s="936"/>
      <c r="B89" s="881" t="s">
        <v>476</v>
      </c>
      <c r="C89" s="139"/>
      <c r="D89" s="139"/>
      <c r="E89" s="139"/>
      <c r="F89" s="139"/>
      <c r="G89" s="139"/>
      <c r="H89" s="139"/>
      <c r="I89" s="139"/>
      <c r="J89" s="139"/>
      <c r="K89" s="139"/>
      <c r="L89" s="139"/>
      <c r="M89" s="1385"/>
      <c r="N89" s="2369"/>
      <c r="O89" s="2369"/>
      <c r="P89" s="901"/>
      <c r="Q89" s="902"/>
    </row>
    <row r="90" spans="1:17" s="814" customFormat="1" ht="15.75" thickBot="1">
      <c r="A90" s="896"/>
      <c r="B90" s="886"/>
      <c r="C90" s="903"/>
      <c r="D90" s="879"/>
      <c r="E90" s="879"/>
      <c r="F90" s="879"/>
      <c r="G90" s="879"/>
      <c r="H90" s="879"/>
      <c r="I90" s="879"/>
      <c r="J90" s="879"/>
      <c r="K90" s="879"/>
      <c r="L90" s="879"/>
      <c r="M90" s="880"/>
      <c r="N90" s="2369"/>
      <c r="O90" s="2369"/>
      <c r="P90" s="901"/>
      <c r="Q90" s="902"/>
    </row>
    <row r="91" spans="1:17" ht="15" thickTop="1">
      <c r="A91" s="942"/>
      <c r="B91" s="1054">
        <f>B32</f>
        <v>111</v>
      </c>
      <c r="C91" s="126"/>
      <c r="D91" s="126"/>
      <c r="E91" s="126"/>
      <c r="F91" s="126"/>
      <c r="G91" s="139"/>
      <c r="H91" s="1059"/>
      <c r="I91" s="1059"/>
      <c r="J91" s="1059"/>
      <c r="K91" s="1059"/>
      <c r="L91" s="1060"/>
      <c r="M91" s="1061"/>
      <c r="N91" s="2367"/>
      <c r="O91" s="2367"/>
      <c r="P91" s="334"/>
      <c r="Q91" s="847"/>
    </row>
    <row r="92" spans="1:17" ht="15.75" thickBot="1">
      <c r="A92" s="877"/>
      <c r="B92" s="1055"/>
      <c r="C92" s="903"/>
      <c r="D92" s="879"/>
      <c r="E92" s="879"/>
      <c r="F92" s="879"/>
      <c r="G92" s="903"/>
      <c r="H92" s="905"/>
      <c r="I92" s="905"/>
      <c r="J92" s="905"/>
      <c r="K92" s="905"/>
      <c r="L92" s="905"/>
      <c r="M92" s="906"/>
      <c r="N92" s="2368"/>
      <c r="O92" s="2368"/>
      <c r="P92" s="334"/>
      <c r="Q92" s="847"/>
    </row>
    <row r="93" spans="1:17" ht="15" thickTop="1">
      <c r="A93" s="942"/>
      <c r="B93" s="1054">
        <f>B33</f>
        <v>111</v>
      </c>
      <c r="C93" s="126"/>
      <c r="D93" s="126"/>
      <c r="E93" s="126"/>
      <c r="F93" s="126"/>
      <c r="G93" s="139"/>
      <c r="H93" s="1059"/>
      <c r="I93" s="1059"/>
      <c r="J93" s="1059"/>
      <c r="K93" s="1059"/>
      <c r="L93" s="1060"/>
      <c r="M93" s="1061"/>
      <c r="N93" s="2367"/>
      <c r="O93" s="2367"/>
      <c r="P93" s="334"/>
      <c r="Q93" s="847"/>
    </row>
    <row r="94" spans="1:17" ht="15.75" thickBot="1">
      <c r="A94" s="877"/>
      <c r="B94" s="1055"/>
      <c r="C94" s="903"/>
      <c r="D94" s="879"/>
      <c r="E94" s="879"/>
      <c r="F94" s="879"/>
      <c r="G94" s="903"/>
      <c r="H94" s="905"/>
      <c r="I94" s="905"/>
      <c r="J94" s="905"/>
      <c r="K94" s="905"/>
      <c r="L94" s="905"/>
      <c r="M94" s="906"/>
      <c r="N94" s="2368"/>
      <c r="O94" s="2368"/>
      <c r="P94" s="334"/>
      <c r="Q94" s="847"/>
    </row>
    <row r="95" spans="1:17" ht="15" thickTop="1">
      <c r="A95" s="942"/>
      <c r="B95" s="211">
        <f>B34</f>
        <v>111</v>
      </c>
      <c r="C95" s="126"/>
      <c r="D95" s="126"/>
      <c r="E95" s="126"/>
      <c r="F95" s="126"/>
      <c r="G95" s="139"/>
      <c r="H95" s="1059"/>
      <c r="I95" s="1059"/>
      <c r="J95" s="1059"/>
      <c r="K95" s="1059"/>
      <c r="L95" s="1060"/>
      <c r="M95" s="1061"/>
      <c r="N95" s="2368"/>
      <c r="O95" s="2368"/>
      <c r="P95" s="980"/>
      <c r="Q95" s="981"/>
    </row>
    <row r="96" spans="1:17" ht="15.75" thickBot="1">
      <c r="A96" s="877"/>
      <c r="B96" s="1055"/>
      <c r="C96" s="903"/>
      <c r="D96" s="903"/>
      <c r="E96" s="903"/>
      <c r="F96" s="903"/>
      <c r="G96" s="903"/>
      <c r="H96" s="905"/>
      <c r="I96" s="905"/>
      <c r="J96" s="905"/>
      <c r="K96" s="905"/>
      <c r="L96" s="905"/>
      <c r="M96" s="906"/>
      <c r="N96" s="2368"/>
      <c r="O96" s="2368"/>
      <c r="P96" s="334"/>
      <c r="Q96" s="847"/>
    </row>
    <row r="97" spans="1:20" ht="15" thickTop="1"/>
    <row r="98" spans="1:20">
      <c r="A98" s="2370"/>
      <c r="B98" s="2370"/>
      <c r="C98" s="2370"/>
      <c r="D98" s="2370"/>
      <c r="E98" s="2370"/>
      <c r="F98" s="2370"/>
      <c r="G98" s="2370"/>
      <c r="H98" s="2370"/>
      <c r="I98" s="2370"/>
      <c r="J98" s="2370"/>
      <c r="K98" s="2371"/>
      <c r="L98" s="2372"/>
      <c r="M98" s="2370"/>
      <c r="N98" s="2370"/>
      <c r="O98" s="2370"/>
      <c r="P98" s="2370"/>
      <c r="Q98" s="2370"/>
      <c r="R98" s="2370"/>
      <c r="S98" s="2370"/>
      <c r="T98" s="2370"/>
    </row>
    <row r="99" spans="1:20">
      <c r="A99" s="2370"/>
      <c r="B99" s="2370"/>
      <c r="C99" s="2370"/>
      <c r="D99" s="2370"/>
      <c r="E99" s="2370"/>
      <c r="F99" s="2370"/>
      <c r="G99" s="2370"/>
      <c r="H99" s="2370"/>
      <c r="I99" s="2370"/>
      <c r="J99" s="2370"/>
      <c r="K99" s="2371"/>
      <c r="L99" s="2372"/>
      <c r="M99" s="2370"/>
      <c r="N99" s="2370"/>
      <c r="O99" s="2370"/>
      <c r="P99" s="2370"/>
      <c r="Q99" s="2370"/>
      <c r="R99" s="2370"/>
      <c r="S99" s="2370"/>
      <c r="T99" s="2370"/>
    </row>
    <row r="100" spans="1:20">
      <c r="A100" s="2370"/>
      <c r="B100" s="2370"/>
      <c r="C100" s="2370"/>
      <c r="D100" s="2370"/>
      <c r="E100" s="2370"/>
      <c r="F100" s="2370"/>
      <c r="G100" s="2370"/>
      <c r="H100" s="2370"/>
      <c r="I100" s="2370"/>
      <c r="J100" s="2370"/>
      <c r="K100" s="2371"/>
      <c r="L100" s="2372"/>
      <c r="M100" s="2370"/>
      <c r="N100" s="2370"/>
      <c r="O100" s="2370"/>
      <c r="P100" s="2370"/>
      <c r="Q100" s="2370"/>
      <c r="R100" s="2370"/>
      <c r="S100" s="2370"/>
      <c r="T100" s="2370"/>
    </row>
    <row r="101" spans="1:20">
      <c r="A101" s="2370"/>
      <c r="B101" s="2370"/>
      <c r="C101" s="2370"/>
      <c r="D101" s="2370"/>
      <c r="E101" s="2370"/>
      <c r="F101" s="2370"/>
      <c r="G101" s="2370"/>
      <c r="H101" s="2370"/>
      <c r="I101" s="2370"/>
      <c r="J101" s="2370"/>
      <c r="K101" s="2371"/>
      <c r="L101" s="2372"/>
      <c r="M101" s="2370"/>
      <c r="N101" s="2370"/>
      <c r="O101" s="2370"/>
      <c r="P101" s="2370"/>
      <c r="Q101" s="2370"/>
      <c r="R101" s="2370"/>
      <c r="S101" s="2370"/>
      <c r="T101" s="2370"/>
    </row>
    <row r="102" spans="1:20">
      <c r="A102" s="2370"/>
      <c r="B102" s="2370"/>
      <c r="C102" s="2370"/>
      <c r="D102" s="2370"/>
      <c r="E102" s="2370"/>
      <c r="F102" s="2370"/>
      <c r="G102" s="2370"/>
      <c r="H102" s="2370"/>
      <c r="I102" s="2370"/>
      <c r="J102" s="2370"/>
      <c r="K102" s="2371"/>
      <c r="L102" s="2372"/>
      <c r="M102" s="2370"/>
      <c r="N102" s="2370"/>
      <c r="O102" s="2370"/>
      <c r="P102" s="2370"/>
      <c r="Q102" s="2370"/>
      <c r="R102" s="2370"/>
      <c r="S102" s="2370"/>
      <c r="T102" s="2370"/>
    </row>
    <row r="103" spans="1:20">
      <c r="A103" s="2370"/>
      <c r="B103" s="2370"/>
      <c r="C103" s="2370"/>
      <c r="D103" s="2370"/>
      <c r="E103" s="2370"/>
      <c r="F103" s="2370"/>
      <c r="G103" s="2370"/>
      <c r="H103" s="2370"/>
      <c r="I103" s="2370"/>
      <c r="J103" s="2370"/>
      <c r="K103" s="2371"/>
      <c r="L103" s="2372"/>
      <c r="M103" s="2370"/>
      <c r="N103" s="2370"/>
      <c r="O103" s="2370"/>
      <c r="P103" s="2370"/>
      <c r="Q103" s="2370"/>
      <c r="R103" s="2370"/>
      <c r="S103" s="2370"/>
      <c r="T103" s="2370"/>
    </row>
    <row r="104" spans="1:20">
      <c r="A104" s="2370"/>
      <c r="B104" s="2370"/>
      <c r="C104" s="2370"/>
      <c r="D104" s="2370"/>
      <c r="E104" s="2370"/>
      <c r="F104" s="2370"/>
      <c r="G104" s="2370"/>
      <c r="H104" s="2370"/>
      <c r="I104" s="2370"/>
      <c r="J104" s="2370"/>
      <c r="K104" s="2371"/>
      <c r="L104" s="2372"/>
      <c r="M104" s="2370"/>
      <c r="N104" s="2370"/>
      <c r="O104" s="2370"/>
      <c r="P104" s="2370"/>
      <c r="Q104" s="2370"/>
      <c r="R104" s="2370"/>
      <c r="S104" s="2370"/>
      <c r="T104" s="2370"/>
    </row>
    <row r="105" spans="1:20">
      <c r="A105" s="2370"/>
      <c r="B105" s="2370"/>
      <c r="C105" s="2370"/>
      <c r="D105" s="2370"/>
      <c r="E105" s="2370"/>
      <c r="F105" s="2370"/>
      <c r="G105" s="2370"/>
      <c r="H105" s="2370"/>
      <c r="I105" s="2370"/>
      <c r="J105" s="2370"/>
      <c r="K105" s="2371"/>
      <c r="L105" s="2372"/>
      <c r="M105" s="2370"/>
      <c r="N105" s="2370"/>
      <c r="O105" s="2370"/>
      <c r="P105" s="2370"/>
      <c r="Q105" s="2370"/>
      <c r="R105" s="2370"/>
      <c r="S105" s="2370"/>
      <c r="T105" s="2370"/>
    </row>
    <row r="106" spans="1:20">
      <c r="A106" s="2370"/>
      <c r="B106" s="2370"/>
      <c r="C106" s="2370"/>
      <c r="D106" s="2370"/>
      <c r="E106" s="2370"/>
      <c r="F106" s="2370"/>
      <c r="G106" s="2370"/>
      <c r="H106" s="2370"/>
      <c r="I106" s="2370"/>
      <c r="J106" s="2370"/>
      <c r="K106" s="2371"/>
      <c r="L106" s="2372"/>
      <c r="M106" s="2370"/>
      <c r="N106" s="2370"/>
      <c r="O106" s="2370"/>
      <c r="P106" s="2370"/>
      <c r="Q106" s="2370"/>
      <c r="R106" s="2370"/>
      <c r="S106" s="2370"/>
      <c r="T106" s="2370"/>
    </row>
    <row r="107" spans="1:20">
      <c r="A107" s="2370"/>
      <c r="B107" s="2370"/>
      <c r="C107" s="2370"/>
      <c r="D107" s="2370"/>
      <c r="E107" s="2370"/>
      <c r="F107" s="2370"/>
      <c r="G107" s="2370"/>
      <c r="H107" s="2370"/>
      <c r="I107" s="2370"/>
      <c r="J107" s="2370"/>
      <c r="K107" s="2371"/>
      <c r="L107" s="2372"/>
      <c r="M107" s="2370"/>
      <c r="N107" s="2370"/>
      <c r="O107" s="2370"/>
      <c r="P107" s="2370"/>
      <c r="Q107" s="2370"/>
      <c r="R107" s="2370"/>
      <c r="S107" s="2370"/>
      <c r="T107" s="2370"/>
    </row>
    <row r="108" spans="1:20">
      <c r="A108" s="2370"/>
      <c r="B108" s="2370"/>
      <c r="C108" s="2370"/>
      <c r="D108" s="2370"/>
      <c r="E108" s="2370"/>
      <c r="F108" s="2370"/>
      <c r="G108" s="2370"/>
      <c r="H108" s="2370"/>
      <c r="I108" s="2370"/>
      <c r="J108" s="2370"/>
      <c r="K108" s="2371"/>
      <c r="L108" s="2372"/>
      <c r="M108" s="2370"/>
      <c r="N108" s="2370"/>
      <c r="O108" s="2370"/>
      <c r="P108" s="2370"/>
      <c r="Q108" s="2370"/>
      <c r="R108" s="2370"/>
      <c r="S108" s="2370"/>
      <c r="T108" s="2370"/>
    </row>
    <row r="109" spans="1:20">
      <c r="A109" s="2370"/>
      <c r="B109" s="2370"/>
      <c r="C109" s="2370"/>
      <c r="D109" s="2370"/>
      <c r="E109" s="2370"/>
      <c r="F109" s="2370"/>
      <c r="G109" s="2370"/>
      <c r="H109" s="2370"/>
      <c r="I109" s="2370"/>
      <c r="J109" s="2370"/>
      <c r="K109" s="2371"/>
      <c r="L109" s="2372"/>
      <c r="M109" s="2370"/>
      <c r="N109" s="2370"/>
      <c r="O109" s="2370"/>
      <c r="P109" s="2370"/>
      <c r="Q109" s="2370"/>
      <c r="R109" s="2370"/>
      <c r="S109" s="2370"/>
      <c r="T109" s="2370"/>
    </row>
    <row r="110" spans="1:20">
      <c r="A110" s="2370"/>
      <c r="B110" s="2370"/>
      <c r="C110" s="2370"/>
      <c r="D110" s="2370"/>
      <c r="E110" s="2370"/>
      <c r="F110" s="2370"/>
      <c r="G110" s="2370"/>
      <c r="H110" s="2370"/>
      <c r="I110" s="2370"/>
      <c r="J110" s="2370"/>
      <c r="K110" s="2371"/>
      <c r="L110" s="2372"/>
      <c r="M110" s="2370"/>
      <c r="N110" s="2370"/>
      <c r="O110" s="2370"/>
      <c r="P110" s="2370"/>
      <c r="Q110" s="2370"/>
      <c r="R110" s="2370"/>
      <c r="S110" s="2370"/>
      <c r="T110" s="2370"/>
    </row>
    <row r="111" spans="1:20">
      <c r="A111" s="2370"/>
      <c r="B111" s="2370"/>
      <c r="C111" s="2370"/>
      <c r="D111" s="2370"/>
      <c r="E111" s="2370"/>
      <c r="F111" s="2370"/>
      <c r="G111" s="2370"/>
      <c r="H111" s="2370"/>
      <c r="I111" s="2370"/>
      <c r="J111" s="2370"/>
      <c r="K111" s="2371"/>
      <c r="L111" s="2372"/>
      <c r="M111" s="2370"/>
      <c r="N111" s="2370"/>
      <c r="O111" s="2370"/>
      <c r="P111" s="2370"/>
      <c r="Q111" s="2370"/>
      <c r="R111" s="2370"/>
      <c r="S111" s="2370"/>
      <c r="T111" s="2370"/>
    </row>
    <row r="112" spans="1:20">
      <c r="A112" s="2370"/>
      <c r="B112" s="2370"/>
      <c r="C112" s="2370"/>
      <c r="D112" s="2370"/>
      <c r="E112" s="2370"/>
      <c r="F112" s="2370"/>
      <c r="G112" s="2370"/>
      <c r="H112" s="2370"/>
      <c r="I112" s="2370"/>
      <c r="J112" s="2370"/>
      <c r="K112" s="2371"/>
      <c r="L112" s="2372"/>
      <c r="M112" s="2370"/>
      <c r="N112" s="2370"/>
      <c r="O112" s="2370"/>
      <c r="P112" s="2370"/>
      <c r="Q112" s="2370"/>
      <c r="R112" s="2370"/>
      <c r="S112" s="2370"/>
      <c r="T112" s="2370"/>
    </row>
    <row r="113" spans="1:20">
      <c r="A113" s="2370"/>
      <c r="B113" s="2370"/>
      <c r="C113" s="2370"/>
      <c r="D113" s="2370"/>
      <c r="E113" s="2370"/>
      <c r="F113" s="2370"/>
      <c r="G113" s="2370"/>
      <c r="H113" s="2370"/>
      <c r="I113" s="2370"/>
      <c r="J113" s="2370"/>
      <c r="K113" s="2371"/>
      <c r="L113" s="2372"/>
      <c r="M113" s="2370"/>
      <c r="N113" s="2370"/>
      <c r="O113" s="2370"/>
      <c r="P113" s="2370"/>
      <c r="Q113" s="2370"/>
      <c r="R113" s="2370"/>
      <c r="S113" s="2370"/>
      <c r="T113" s="2370"/>
    </row>
    <row r="114" spans="1:20">
      <c r="A114" s="2370"/>
      <c r="B114" s="2370"/>
      <c r="C114" s="2370"/>
      <c r="D114" s="2370"/>
      <c r="E114" s="2370"/>
      <c r="F114" s="2370"/>
      <c r="G114" s="2370"/>
      <c r="H114" s="2370"/>
      <c r="I114" s="2370"/>
      <c r="J114" s="2370"/>
      <c r="K114" s="2371"/>
      <c r="L114" s="2372"/>
      <c r="M114" s="2370"/>
      <c r="N114" s="2370"/>
      <c r="O114" s="2370"/>
      <c r="P114" s="2370"/>
      <c r="Q114" s="2370"/>
      <c r="R114" s="2370"/>
      <c r="S114" s="2370"/>
      <c r="T114" s="2370"/>
    </row>
    <row r="115" spans="1:20">
      <c r="A115" s="2370"/>
      <c r="B115" s="2370"/>
      <c r="C115" s="2370"/>
      <c r="D115" s="2370"/>
      <c r="E115" s="2370"/>
      <c r="F115" s="2370"/>
      <c r="G115" s="2370"/>
      <c r="H115" s="2370"/>
      <c r="I115" s="2370"/>
      <c r="J115" s="2370"/>
      <c r="K115" s="2371"/>
      <c r="L115" s="2372"/>
      <c r="M115" s="2370"/>
      <c r="N115" s="2370"/>
      <c r="O115" s="2370"/>
      <c r="P115" s="2370"/>
      <c r="Q115" s="2370"/>
      <c r="R115" s="2370"/>
      <c r="S115" s="2370"/>
      <c r="T115" s="2370"/>
    </row>
    <row r="116" spans="1:20">
      <c r="A116" s="2370"/>
      <c r="B116" s="2370"/>
      <c r="C116" s="2370"/>
      <c r="D116" s="2370"/>
      <c r="E116" s="2370"/>
      <c r="F116" s="2370"/>
      <c r="G116" s="2370"/>
      <c r="H116" s="2370"/>
      <c r="I116" s="2370"/>
      <c r="J116" s="2370"/>
      <c r="K116" s="2371"/>
      <c r="L116" s="2372"/>
      <c r="M116" s="2370"/>
      <c r="N116" s="2370"/>
      <c r="O116" s="2370"/>
      <c r="P116" s="2370"/>
      <c r="Q116" s="2370"/>
      <c r="R116" s="2370"/>
      <c r="S116" s="2370"/>
      <c r="T116" s="2370"/>
    </row>
    <row r="117" spans="1:20">
      <c r="A117" s="2370"/>
      <c r="B117" s="2370"/>
      <c r="C117" s="2370"/>
      <c r="D117" s="2370"/>
      <c r="E117" s="2370"/>
      <c r="F117" s="2370"/>
      <c r="G117" s="2370"/>
      <c r="H117" s="2370"/>
      <c r="I117" s="2370"/>
      <c r="J117" s="2370"/>
      <c r="K117" s="2371"/>
      <c r="L117" s="2372"/>
      <c r="M117" s="2370"/>
      <c r="N117" s="2370"/>
      <c r="O117" s="2370"/>
      <c r="P117" s="2370"/>
      <c r="Q117" s="2370"/>
      <c r="R117" s="2370"/>
      <c r="S117" s="2370"/>
      <c r="T117" s="2370"/>
    </row>
    <row r="118" spans="1:20">
      <c r="A118" s="2370"/>
      <c r="B118" s="2370"/>
      <c r="C118" s="2370"/>
      <c r="D118" s="2370"/>
      <c r="E118" s="2370"/>
      <c r="F118" s="2370"/>
      <c r="G118" s="2370"/>
      <c r="H118" s="2370"/>
      <c r="I118" s="2370"/>
      <c r="J118" s="2370"/>
      <c r="K118" s="2371"/>
      <c r="L118" s="2372"/>
      <c r="M118" s="2370"/>
      <c r="N118" s="2370"/>
      <c r="O118" s="2370"/>
      <c r="P118" s="2370"/>
      <c r="Q118" s="2370"/>
      <c r="R118" s="2370"/>
      <c r="S118" s="2370"/>
      <c r="T118" s="2370"/>
    </row>
    <row r="119" spans="1:20">
      <c r="A119" s="2370"/>
      <c r="B119" s="2370"/>
      <c r="C119" s="2370"/>
      <c r="D119" s="2370"/>
      <c r="E119" s="2370"/>
      <c r="F119" s="2370"/>
      <c r="G119" s="2370"/>
      <c r="H119" s="2370"/>
      <c r="I119" s="2370"/>
      <c r="J119" s="2370"/>
      <c r="K119" s="2371"/>
      <c r="L119" s="2372"/>
      <c r="M119" s="2370"/>
      <c r="N119" s="2370"/>
      <c r="O119" s="2370"/>
      <c r="P119" s="2370"/>
      <c r="Q119" s="2370"/>
      <c r="R119" s="2370"/>
      <c r="S119" s="2370"/>
      <c r="T119" s="2370"/>
    </row>
    <row r="120" spans="1:20">
      <c r="A120" s="2370"/>
      <c r="B120" s="2370"/>
      <c r="C120" s="2370"/>
      <c r="D120" s="2370"/>
      <c r="E120" s="2370"/>
      <c r="F120" s="2370"/>
      <c r="G120" s="2370"/>
      <c r="H120" s="2370"/>
      <c r="I120" s="2370"/>
      <c r="J120" s="2370"/>
      <c r="K120" s="2371"/>
      <c r="L120" s="2372"/>
      <c r="M120" s="2370"/>
      <c r="N120" s="2370"/>
      <c r="O120" s="2370"/>
      <c r="P120" s="2370"/>
      <c r="Q120" s="2370"/>
      <c r="R120" s="2370"/>
      <c r="S120" s="2370"/>
      <c r="T120" s="2370"/>
    </row>
    <row r="121" spans="1:20">
      <c r="A121" s="2370"/>
      <c r="B121" s="2370"/>
      <c r="C121" s="2370"/>
      <c r="D121" s="2370"/>
      <c r="E121" s="2370"/>
      <c r="F121" s="2370"/>
      <c r="G121" s="2370"/>
      <c r="H121" s="2370"/>
      <c r="I121" s="2370"/>
      <c r="J121" s="2370"/>
      <c r="K121" s="2371"/>
      <c r="L121" s="2372"/>
      <c r="M121" s="2370"/>
      <c r="N121" s="2370"/>
      <c r="O121" s="2370"/>
      <c r="P121" s="2370"/>
      <c r="Q121" s="2370"/>
      <c r="R121" s="2370"/>
      <c r="S121" s="2370"/>
      <c r="T121" s="2370"/>
    </row>
    <row r="122" spans="1:20">
      <c r="A122" s="2370"/>
      <c r="B122" s="2370"/>
      <c r="C122" s="2370"/>
      <c r="D122" s="2370"/>
      <c r="E122" s="2370"/>
      <c r="F122" s="2370"/>
      <c r="G122" s="2370"/>
      <c r="H122" s="2370"/>
      <c r="I122" s="2370"/>
      <c r="J122" s="2370"/>
      <c r="K122" s="2371"/>
      <c r="L122" s="2372"/>
      <c r="M122" s="2370"/>
      <c r="N122" s="2370"/>
      <c r="O122" s="2370"/>
      <c r="P122" s="2370"/>
      <c r="Q122" s="2370"/>
      <c r="R122" s="2370"/>
      <c r="S122" s="2370"/>
      <c r="T122" s="2370"/>
    </row>
    <row r="123" spans="1:20">
      <c r="A123" s="2370"/>
      <c r="B123" s="2370"/>
      <c r="C123" s="2370"/>
      <c r="D123" s="2370"/>
      <c r="E123" s="2370"/>
      <c r="F123" s="2370"/>
      <c r="G123" s="2370"/>
      <c r="H123" s="2370"/>
      <c r="I123" s="2370"/>
      <c r="J123" s="2370"/>
      <c r="K123" s="2371"/>
      <c r="L123" s="2372"/>
      <c r="M123" s="2370"/>
      <c r="N123" s="2370"/>
      <c r="O123" s="2370"/>
      <c r="P123" s="2370"/>
      <c r="Q123" s="2370"/>
      <c r="R123" s="2370"/>
      <c r="S123" s="2370"/>
      <c r="T123" s="2370"/>
    </row>
    <row r="124" spans="1:20">
      <c r="A124" s="2370"/>
      <c r="B124" s="2370"/>
      <c r="C124" s="2370"/>
      <c r="D124" s="2370"/>
      <c r="E124" s="2370"/>
      <c r="F124" s="2370"/>
      <c r="G124" s="2370"/>
      <c r="H124" s="2370"/>
      <c r="I124" s="2370"/>
      <c r="J124" s="2370"/>
      <c r="K124" s="2371"/>
      <c r="L124" s="2372"/>
      <c r="M124" s="2370"/>
      <c r="N124" s="2370"/>
      <c r="O124" s="2370"/>
      <c r="P124" s="2370"/>
      <c r="Q124" s="2370"/>
      <c r="R124" s="2370"/>
      <c r="S124" s="2370"/>
      <c r="T124" s="2370"/>
    </row>
    <row r="125" spans="1:20">
      <c r="A125" s="2370"/>
      <c r="B125" s="2370"/>
      <c r="C125" s="2370"/>
      <c r="D125" s="2370"/>
      <c r="E125" s="2370"/>
      <c r="F125" s="2370"/>
      <c r="G125" s="2370"/>
      <c r="H125" s="2370"/>
      <c r="I125" s="2370"/>
      <c r="J125" s="2370"/>
      <c r="K125" s="2371"/>
      <c r="L125" s="2372"/>
      <c r="M125" s="2370"/>
      <c r="N125" s="2370"/>
      <c r="O125" s="2370"/>
      <c r="P125" s="2370"/>
      <c r="Q125" s="2370"/>
      <c r="R125" s="2370"/>
      <c r="S125" s="2370"/>
      <c r="T125" s="2370"/>
    </row>
    <row r="126" spans="1:20">
      <c r="A126" s="2370"/>
      <c r="B126" s="2370"/>
      <c r="C126" s="2370"/>
      <c r="D126" s="2370"/>
      <c r="E126" s="2370"/>
      <c r="F126" s="2370"/>
      <c r="G126" s="2370"/>
      <c r="H126" s="2370"/>
      <c r="I126" s="2370"/>
      <c r="J126" s="2370"/>
      <c r="K126" s="2371"/>
      <c r="L126" s="2372"/>
      <c r="M126" s="2370"/>
      <c r="N126" s="2370"/>
      <c r="O126" s="2370"/>
      <c r="P126" s="2370"/>
      <c r="Q126" s="2370"/>
      <c r="R126" s="2370"/>
      <c r="S126" s="2370"/>
      <c r="T126" s="2370"/>
    </row>
    <row r="127" spans="1:20">
      <c r="A127" s="2370"/>
      <c r="B127" s="2370"/>
      <c r="C127" s="2370"/>
      <c r="D127" s="2370"/>
      <c r="E127" s="2370"/>
      <c r="F127" s="2370"/>
      <c r="G127" s="2370"/>
      <c r="H127" s="2370"/>
      <c r="I127" s="2370"/>
      <c r="J127" s="2370"/>
      <c r="K127" s="2371"/>
      <c r="L127" s="2372"/>
      <c r="M127" s="2370"/>
      <c r="N127" s="2370"/>
      <c r="O127" s="2370"/>
      <c r="P127" s="2370"/>
      <c r="Q127" s="2370"/>
      <c r="R127" s="2370"/>
      <c r="S127" s="2370"/>
      <c r="T127" s="2370"/>
    </row>
    <row r="128" spans="1:20">
      <c r="A128" s="2370"/>
      <c r="B128" s="2370"/>
      <c r="C128" s="2370"/>
      <c r="D128" s="2370"/>
      <c r="E128" s="2370"/>
      <c r="F128" s="2370"/>
      <c r="G128" s="2370"/>
      <c r="H128" s="2370"/>
      <c r="I128" s="2370"/>
      <c r="J128" s="2370"/>
      <c r="K128" s="2371"/>
      <c r="L128" s="2372"/>
      <c r="M128" s="2370"/>
      <c r="N128" s="2370"/>
      <c r="O128" s="2370"/>
      <c r="P128" s="2370"/>
      <c r="Q128" s="2370"/>
      <c r="R128" s="2370"/>
      <c r="S128" s="2370"/>
      <c r="T128" s="2370"/>
    </row>
    <row r="129" spans="1:20">
      <c r="A129" s="2370"/>
      <c r="B129" s="2370"/>
      <c r="C129" s="2370"/>
      <c r="D129" s="2370"/>
      <c r="E129" s="2370"/>
      <c r="F129" s="2370"/>
      <c r="G129" s="2370"/>
      <c r="H129" s="2370"/>
      <c r="I129" s="2370"/>
      <c r="J129" s="2370"/>
      <c r="K129" s="2371"/>
      <c r="L129" s="2372"/>
      <c r="M129" s="2370"/>
      <c r="N129" s="2370"/>
      <c r="O129" s="2370"/>
      <c r="P129" s="2370"/>
      <c r="Q129" s="2370"/>
      <c r="R129" s="2370"/>
      <c r="S129" s="2370"/>
      <c r="T129" s="2370"/>
    </row>
    <row r="130" spans="1:20">
      <c r="A130" s="2370"/>
      <c r="B130" s="2370"/>
      <c r="C130" s="2370"/>
      <c r="D130" s="2370"/>
      <c r="E130" s="2370"/>
      <c r="F130" s="2370"/>
      <c r="G130" s="2370"/>
      <c r="H130" s="2370"/>
      <c r="I130" s="2370"/>
      <c r="J130" s="2370"/>
      <c r="K130" s="2371"/>
      <c r="L130" s="2372"/>
      <c r="M130" s="2370"/>
      <c r="N130" s="2370"/>
      <c r="O130" s="2370"/>
      <c r="P130" s="2370"/>
      <c r="Q130" s="2370"/>
      <c r="R130" s="2370"/>
      <c r="S130" s="2370"/>
      <c r="T130" s="2370"/>
    </row>
    <row r="131" spans="1:20">
      <c r="A131" s="2370"/>
      <c r="B131" s="2370"/>
      <c r="C131" s="2370"/>
      <c r="D131" s="2370"/>
      <c r="E131" s="2370"/>
      <c r="F131" s="2370"/>
      <c r="G131" s="2370"/>
      <c r="H131" s="2370"/>
      <c r="I131" s="2370"/>
      <c r="J131" s="2370"/>
      <c r="K131" s="2371"/>
      <c r="L131" s="2372"/>
      <c r="M131" s="2370"/>
      <c r="N131" s="2370"/>
      <c r="O131" s="2370"/>
      <c r="P131" s="2370"/>
      <c r="Q131" s="2370"/>
      <c r="R131" s="2370"/>
      <c r="S131" s="2370"/>
      <c r="T131" s="2370"/>
    </row>
    <row r="132" spans="1:20">
      <c r="A132" s="2370"/>
      <c r="B132" s="2370"/>
      <c r="C132" s="2370"/>
      <c r="D132" s="2370"/>
      <c r="E132" s="2370"/>
      <c r="F132" s="2370"/>
      <c r="G132" s="2370"/>
      <c r="H132" s="2370"/>
      <c r="I132" s="2370"/>
      <c r="J132" s="2370"/>
      <c r="K132" s="2371"/>
      <c r="L132" s="2372"/>
      <c r="M132" s="2370"/>
      <c r="N132" s="2370"/>
      <c r="O132" s="2370"/>
      <c r="P132" s="2370"/>
      <c r="Q132" s="2370"/>
      <c r="R132" s="2370"/>
      <c r="S132" s="2370"/>
      <c r="T132" s="2370"/>
    </row>
    <row r="133" spans="1:20">
      <c r="A133" s="2370"/>
      <c r="B133" s="2370"/>
      <c r="C133" s="2370"/>
      <c r="D133" s="2370"/>
      <c r="E133" s="2370"/>
      <c r="F133" s="2370"/>
      <c r="G133" s="2370"/>
      <c r="H133" s="2370"/>
      <c r="I133" s="2370"/>
      <c r="J133" s="2370"/>
      <c r="K133" s="2371"/>
      <c r="L133" s="2372"/>
      <c r="M133" s="2370"/>
      <c r="N133" s="2370"/>
      <c r="O133" s="2370"/>
      <c r="P133" s="2370"/>
      <c r="Q133" s="2370"/>
      <c r="R133" s="2370"/>
      <c r="S133" s="2370"/>
      <c r="T133" s="2370"/>
    </row>
    <row r="134" spans="1:20">
      <c r="A134" s="2370"/>
      <c r="B134" s="2370"/>
      <c r="C134" s="2370"/>
      <c r="D134" s="2370"/>
      <c r="E134" s="2370"/>
      <c r="F134" s="2370"/>
      <c r="G134" s="2370"/>
      <c r="H134" s="2370"/>
      <c r="I134" s="2370"/>
      <c r="J134" s="2370"/>
      <c r="K134" s="2371"/>
      <c r="L134" s="2372"/>
      <c r="M134" s="2370"/>
      <c r="N134" s="2370"/>
      <c r="O134" s="2370"/>
      <c r="P134" s="2370"/>
      <c r="Q134" s="2370"/>
      <c r="R134" s="2370"/>
      <c r="S134" s="2370"/>
      <c r="T134" s="2370"/>
    </row>
    <row r="135" spans="1:20">
      <c r="A135" s="2370"/>
      <c r="B135" s="2370"/>
      <c r="C135" s="2370"/>
      <c r="D135" s="2370"/>
      <c r="E135" s="2370"/>
      <c r="F135" s="2370"/>
      <c r="G135" s="2370"/>
      <c r="H135" s="2370"/>
      <c r="I135" s="2370"/>
      <c r="J135" s="2370"/>
      <c r="K135" s="2371"/>
      <c r="L135" s="2372"/>
      <c r="M135" s="2370"/>
      <c r="N135" s="2370"/>
      <c r="O135" s="2370"/>
      <c r="P135" s="2370"/>
      <c r="Q135" s="2370"/>
      <c r="R135" s="2370"/>
      <c r="S135" s="2370"/>
      <c r="T135" s="2370"/>
    </row>
    <row r="136" spans="1:20">
      <c r="A136" s="2370"/>
      <c r="B136" s="2370"/>
      <c r="C136" s="2370"/>
      <c r="D136" s="2370"/>
      <c r="E136" s="2370"/>
      <c r="F136" s="2370"/>
      <c r="G136" s="2370"/>
      <c r="H136" s="2370"/>
      <c r="I136" s="2370"/>
      <c r="J136" s="2370"/>
      <c r="K136" s="2371"/>
      <c r="L136" s="2372"/>
      <c r="M136" s="2370"/>
      <c r="N136" s="2370"/>
      <c r="O136" s="2370"/>
      <c r="P136" s="2370"/>
      <c r="Q136" s="2370"/>
      <c r="R136" s="2370"/>
      <c r="S136" s="2370"/>
      <c r="T136" s="2370"/>
    </row>
    <row r="137" spans="1:20">
      <c r="A137" s="2370"/>
      <c r="B137" s="2370"/>
      <c r="C137" s="2370"/>
      <c r="D137" s="2370"/>
      <c r="E137" s="2370"/>
      <c r="F137" s="2370"/>
      <c r="G137" s="2370"/>
      <c r="H137" s="2370"/>
      <c r="I137" s="2370"/>
      <c r="J137" s="2370"/>
      <c r="K137" s="2371"/>
      <c r="L137" s="2372"/>
      <c r="M137" s="2370"/>
      <c r="N137" s="2370"/>
      <c r="O137" s="2370"/>
      <c r="P137" s="2370"/>
      <c r="Q137" s="2370"/>
      <c r="R137" s="2370"/>
      <c r="S137" s="2370"/>
      <c r="T137" s="2370"/>
    </row>
    <row r="138" spans="1:20">
      <c r="A138" s="2370"/>
      <c r="B138" s="2370"/>
      <c r="C138" s="2370"/>
      <c r="D138" s="2370"/>
      <c r="E138" s="2370"/>
      <c r="F138" s="2370"/>
      <c r="G138" s="2370"/>
      <c r="H138" s="2370"/>
      <c r="I138" s="2370"/>
      <c r="J138" s="2370"/>
      <c r="K138" s="2371"/>
      <c r="L138" s="2372"/>
      <c r="M138" s="2370"/>
      <c r="N138" s="2370"/>
      <c r="O138" s="2370"/>
      <c r="P138" s="2370"/>
      <c r="Q138" s="2370"/>
      <c r="R138" s="2370"/>
      <c r="S138" s="2370"/>
      <c r="T138" s="2370"/>
    </row>
    <row r="139" spans="1:20">
      <c r="A139" s="2370"/>
      <c r="B139" s="2370"/>
      <c r="C139" s="2370"/>
      <c r="D139" s="2370"/>
      <c r="E139" s="2370"/>
      <c r="F139" s="2370"/>
      <c r="G139" s="2370"/>
      <c r="H139" s="2370"/>
      <c r="I139" s="2370"/>
      <c r="J139" s="2370"/>
      <c r="K139" s="2371"/>
      <c r="L139" s="2372"/>
      <c r="M139" s="2370"/>
      <c r="N139" s="2370"/>
      <c r="O139" s="2370"/>
      <c r="P139" s="2370"/>
      <c r="Q139" s="2370"/>
      <c r="R139" s="2370"/>
      <c r="S139" s="2370"/>
      <c r="T139" s="2370"/>
    </row>
    <row r="140" spans="1:20">
      <c r="A140" s="2370"/>
      <c r="B140" s="2370"/>
      <c r="C140" s="2370"/>
      <c r="D140" s="2370"/>
      <c r="E140" s="2370"/>
      <c r="F140" s="2370"/>
      <c r="G140" s="2370"/>
      <c r="H140" s="2370"/>
      <c r="I140" s="2370"/>
      <c r="J140" s="2370"/>
      <c r="K140" s="2371"/>
      <c r="L140" s="2372"/>
      <c r="M140" s="2370"/>
      <c r="N140" s="2370"/>
      <c r="O140" s="2370"/>
      <c r="P140" s="2370"/>
      <c r="Q140" s="2370"/>
      <c r="R140" s="2370"/>
      <c r="S140" s="2370"/>
      <c r="T140" s="2370"/>
    </row>
    <row r="141" spans="1:20">
      <c r="A141" s="2370"/>
      <c r="B141" s="2370"/>
      <c r="C141" s="2370"/>
      <c r="D141" s="2370"/>
      <c r="E141" s="2370"/>
      <c r="F141" s="2370"/>
      <c r="G141" s="2370"/>
      <c r="H141" s="2370"/>
      <c r="I141" s="2370"/>
      <c r="J141" s="2370"/>
      <c r="K141" s="2371"/>
      <c r="L141" s="2372"/>
      <c r="M141" s="2370"/>
      <c r="N141" s="2370"/>
      <c r="O141" s="2370"/>
      <c r="P141" s="2370"/>
      <c r="Q141" s="2370"/>
      <c r="R141" s="2370"/>
      <c r="S141" s="2370"/>
      <c r="T141" s="2370"/>
    </row>
    <row r="142" spans="1:20">
      <c r="A142" s="2370"/>
      <c r="B142" s="2370"/>
      <c r="C142" s="2370"/>
      <c r="D142" s="2370"/>
      <c r="E142" s="2370"/>
      <c r="F142" s="2370"/>
      <c r="G142" s="2370"/>
      <c r="H142" s="2370"/>
      <c r="I142" s="2370"/>
      <c r="J142" s="2370"/>
      <c r="K142" s="2371"/>
      <c r="L142" s="2372"/>
      <c r="M142" s="2370"/>
      <c r="N142" s="2370"/>
      <c r="O142" s="2370"/>
      <c r="P142" s="2370"/>
      <c r="Q142" s="2370"/>
      <c r="R142" s="2370"/>
      <c r="S142" s="2370"/>
      <c r="T142" s="2370"/>
    </row>
    <row r="143" spans="1:20">
      <c r="A143" s="2370"/>
      <c r="B143" s="2370"/>
      <c r="C143" s="2370"/>
      <c r="D143" s="2370"/>
      <c r="E143" s="2370"/>
      <c r="F143" s="2370"/>
      <c r="G143" s="2370"/>
      <c r="H143" s="2370"/>
      <c r="I143" s="2370"/>
      <c r="J143" s="2370"/>
      <c r="K143" s="2371"/>
      <c r="L143" s="2372"/>
      <c r="M143" s="2370"/>
      <c r="N143" s="2370"/>
      <c r="O143" s="2370"/>
      <c r="P143" s="2370"/>
      <c r="Q143" s="2370"/>
      <c r="R143" s="2370"/>
      <c r="S143" s="2370"/>
      <c r="T143" s="2370"/>
    </row>
    <row r="144" spans="1:20">
      <c r="A144" s="2370"/>
      <c r="B144" s="2370"/>
      <c r="C144" s="2370"/>
      <c r="D144" s="2370"/>
      <c r="E144" s="2370"/>
      <c r="F144" s="2370"/>
      <c r="G144" s="2370"/>
      <c r="H144" s="2370"/>
      <c r="I144" s="2370"/>
      <c r="J144" s="2370"/>
      <c r="K144" s="2371"/>
      <c r="L144" s="2372"/>
      <c r="M144" s="2370"/>
      <c r="N144" s="2370"/>
      <c r="O144" s="2370"/>
      <c r="P144" s="2370"/>
      <c r="Q144" s="2370"/>
      <c r="R144" s="2370"/>
      <c r="S144" s="2370"/>
      <c r="T144" s="2370"/>
    </row>
    <row r="145" spans="1:20">
      <c r="A145" s="2370"/>
      <c r="B145" s="2370"/>
      <c r="C145" s="2370"/>
      <c r="D145" s="2370"/>
      <c r="E145" s="2370"/>
      <c r="F145" s="2370"/>
      <c r="G145" s="2370"/>
      <c r="H145" s="2370"/>
      <c r="I145" s="2370"/>
      <c r="J145" s="2370"/>
      <c r="K145" s="2371"/>
      <c r="L145" s="2372"/>
      <c r="M145" s="2370"/>
      <c r="N145" s="2370"/>
      <c r="O145" s="2370"/>
      <c r="P145" s="2370"/>
      <c r="Q145" s="2370"/>
      <c r="R145" s="2370"/>
      <c r="S145" s="2370"/>
      <c r="T145" s="2370"/>
    </row>
    <row r="146" spans="1:20">
      <c r="A146" s="2370"/>
      <c r="B146" s="2370"/>
      <c r="C146" s="2370"/>
      <c r="D146" s="2370"/>
      <c r="E146" s="2370"/>
      <c r="F146" s="2370"/>
      <c r="G146" s="2370"/>
      <c r="H146" s="2370"/>
      <c r="I146" s="2370"/>
      <c r="J146" s="2370"/>
      <c r="K146" s="2371"/>
      <c r="L146" s="2372"/>
      <c r="M146" s="2370"/>
      <c r="N146" s="2370"/>
      <c r="O146" s="2370"/>
      <c r="P146" s="2370"/>
      <c r="Q146" s="2370"/>
      <c r="R146" s="2370"/>
      <c r="S146" s="2370"/>
      <c r="T146" s="2370"/>
    </row>
    <row r="147" spans="1:20">
      <c r="A147" s="2370"/>
      <c r="B147" s="2370"/>
      <c r="C147" s="2370"/>
      <c r="D147" s="2370"/>
      <c r="E147" s="2370"/>
      <c r="F147" s="2370"/>
      <c r="G147" s="2370"/>
      <c r="H147" s="2370"/>
      <c r="I147" s="2370"/>
      <c r="J147" s="2370"/>
      <c r="K147" s="2371"/>
      <c r="L147" s="2372"/>
      <c r="M147" s="2370"/>
      <c r="N147" s="2370"/>
      <c r="O147" s="2370"/>
      <c r="P147" s="2370"/>
      <c r="Q147" s="2370"/>
      <c r="R147" s="2370"/>
      <c r="S147" s="2370"/>
      <c r="T147" s="2370"/>
    </row>
    <row r="148" spans="1:20">
      <c r="A148" s="2370"/>
      <c r="B148" s="2370"/>
      <c r="C148" s="2370"/>
      <c r="D148" s="2370"/>
      <c r="E148" s="2370"/>
      <c r="F148" s="2370"/>
      <c r="G148" s="2370"/>
      <c r="H148" s="2370"/>
      <c r="I148" s="2370"/>
      <c r="J148" s="2370"/>
      <c r="K148" s="2371"/>
      <c r="L148" s="2372"/>
      <c r="M148" s="2370"/>
      <c r="N148" s="2370"/>
      <c r="O148" s="2370"/>
      <c r="P148" s="2370"/>
      <c r="Q148" s="2370"/>
      <c r="R148" s="2370"/>
      <c r="S148" s="2370"/>
      <c r="T148" s="2370"/>
    </row>
    <row r="149" spans="1:20">
      <c r="A149" s="2370"/>
      <c r="B149" s="2370"/>
      <c r="C149" s="2370"/>
      <c r="D149" s="2370"/>
      <c r="E149" s="2370"/>
      <c r="F149" s="2370"/>
      <c r="G149" s="2370"/>
      <c r="H149" s="2370"/>
      <c r="I149" s="2370"/>
      <c r="J149" s="2370"/>
      <c r="K149" s="2371"/>
      <c r="L149" s="2372"/>
      <c r="M149" s="2370"/>
      <c r="N149" s="2370"/>
      <c r="O149" s="2370"/>
      <c r="P149" s="2370"/>
      <c r="Q149" s="2370"/>
      <c r="R149" s="2370"/>
      <c r="S149" s="2370"/>
      <c r="T149" s="2370"/>
    </row>
    <row r="150" spans="1:20">
      <c r="A150" s="2370"/>
      <c r="B150" s="2370"/>
      <c r="C150" s="2370"/>
      <c r="D150" s="2370"/>
      <c r="E150" s="2370"/>
      <c r="F150" s="2370"/>
      <c r="G150" s="2370"/>
      <c r="H150" s="2370"/>
      <c r="I150" s="2370"/>
      <c r="J150" s="2370"/>
      <c r="K150" s="2371"/>
      <c r="L150" s="2372"/>
      <c r="M150" s="2370"/>
      <c r="N150" s="2370"/>
      <c r="O150" s="2370"/>
      <c r="P150" s="2370"/>
      <c r="Q150" s="2370"/>
      <c r="R150" s="2370"/>
      <c r="S150" s="2370"/>
      <c r="T150" s="2370"/>
    </row>
    <row r="151" spans="1:20">
      <c r="A151" s="2370"/>
      <c r="B151" s="2370"/>
      <c r="C151" s="2370"/>
      <c r="D151" s="2370"/>
      <c r="E151" s="2370"/>
      <c r="F151" s="2370"/>
      <c r="G151" s="2370"/>
      <c r="H151" s="2370"/>
      <c r="I151" s="2370"/>
      <c r="J151" s="2370"/>
      <c r="K151" s="2371"/>
      <c r="L151" s="2372"/>
      <c r="M151" s="2370"/>
      <c r="N151" s="2370"/>
      <c r="O151" s="2370"/>
      <c r="P151" s="2370"/>
      <c r="Q151" s="2370"/>
      <c r="R151" s="2370"/>
      <c r="S151" s="2370"/>
      <c r="T151" s="2370"/>
    </row>
    <row r="152" spans="1:20">
      <c r="A152" s="2370"/>
      <c r="B152" s="2370"/>
      <c r="C152" s="2370"/>
      <c r="D152" s="2370"/>
      <c r="E152" s="2370"/>
      <c r="F152" s="2370"/>
      <c r="G152" s="2370"/>
      <c r="H152" s="2370"/>
      <c r="I152" s="2370"/>
      <c r="J152" s="2370"/>
      <c r="K152" s="2371"/>
      <c r="L152" s="2372"/>
      <c r="M152" s="2370"/>
      <c r="N152" s="2370"/>
      <c r="O152" s="2370"/>
      <c r="P152" s="2370"/>
      <c r="Q152" s="2370"/>
      <c r="R152" s="2370"/>
      <c r="S152" s="2370"/>
      <c r="T152" s="2370"/>
    </row>
    <row r="153" spans="1:20">
      <c r="A153" s="2370"/>
      <c r="B153" s="2370"/>
      <c r="C153" s="2370"/>
      <c r="D153" s="2370"/>
      <c r="E153" s="2370"/>
      <c r="F153" s="2370"/>
      <c r="G153" s="2370"/>
      <c r="H153" s="2370"/>
      <c r="I153" s="2370"/>
      <c r="J153" s="2370"/>
      <c r="K153" s="2371"/>
      <c r="L153" s="2372"/>
      <c r="M153" s="2370"/>
      <c r="N153" s="2370"/>
      <c r="O153" s="2370"/>
      <c r="P153" s="2370"/>
      <c r="Q153" s="2370"/>
      <c r="R153" s="2370"/>
      <c r="S153" s="2370"/>
      <c r="T153" s="2370"/>
    </row>
    <row r="154" spans="1:20">
      <c r="A154" s="2370"/>
      <c r="B154" s="2370"/>
      <c r="C154" s="2370"/>
      <c r="D154" s="2370"/>
      <c r="E154" s="2370"/>
      <c r="F154" s="2370"/>
      <c r="G154" s="2370"/>
      <c r="H154" s="2370"/>
      <c r="I154" s="2370"/>
      <c r="J154" s="2370"/>
      <c r="K154" s="2371"/>
      <c r="L154" s="2372"/>
      <c r="M154" s="2370"/>
      <c r="N154" s="2370"/>
      <c r="O154" s="2370"/>
      <c r="P154" s="2370"/>
      <c r="Q154" s="2370"/>
      <c r="R154" s="2370"/>
      <c r="S154" s="2370"/>
      <c r="T154" s="2370"/>
    </row>
    <row r="155" spans="1:20">
      <c r="A155" s="2370"/>
      <c r="B155" s="2370"/>
      <c r="C155" s="2370"/>
      <c r="D155" s="2370"/>
      <c r="E155" s="2370"/>
      <c r="F155" s="2370"/>
      <c r="G155" s="2370"/>
      <c r="H155" s="2370"/>
      <c r="I155" s="2370"/>
      <c r="J155" s="2370"/>
      <c r="K155" s="2371"/>
      <c r="L155" s="2372"/>
      <c r="M155" s="2370"/>
      <c r="N155" s="2370"/>
      <c r="O155" s="2370"/>
      <c r="P155" s="2370"/>
      <c r="Q155" s="2370"/>
      <c r="R155" s="2370"/>
      <c r="S155" s="2370"/>
      <c r="T155" s="2370"/>
    </row>
    <row r="156" spans="1:20">
      <c r="A156" s="2370"/>
      <c r="B156" s="2370"/>
      <c r="C156" s="2370"/>
      <c r="D156" s="2370"/>
      <c r="E156" s="2370"/>
      <c r="F156" s="2370"/>
      <c r="G156" s="2370"/>
      <c r="H156" s="2370"/>
      <c r="I156" s="2370"/>
      <c r="J156" s="2370"/>
      <c r="K156" s="2371"/>
      <c r="L156" s="2372"/>
      <c r="M156" s="2370"/>
      <c r="N156" s="2370"/>
      <c r="O156" s="2370"/>
      <c r="P156" s="2370"/>
      <c r="Q156" s="2370"/>
      <c r="R156" s="2370"/>
      <c r="S156" s="2370"/>
      <c r="T156" s="2370"/>
    </row>
    <row r="157" spans="1:20">
      <c r="A157" s="2370"/>
      <c r="B157" s="2370"/>
      <c r="C157" s="2370"/>
      <c r="D157" s="2370"/>
      <c r="E157" s="2370"/>
      <c r="F157" s="2370"/>
      <c r="G157" s="2370"/>
      <c r="H157" s="2370"/>
      <c r="I157" s="2370"/>
      <c r="J157" s="2370"/>
      <c r="K157" s="2371"/>
      <c r="L157" s="2372"/>
      <c r="M157" s="2370"/>
      <c r="N157" s="2370"/>
      <c r="O157" s="2370"/>
      <c r="P157" s="2370"/>
      <c r="Q157" s="2370"/>
      <c r="R157" s="2370"/>
      <c r="S157" s="2370"/>
      <c r="T157" s="2370"/>
    </row>
    <row r="158" spans="1:20">
      <c r="A158" s="2370"/>
      <c r="B158" s="2370"/>
      <c r="C158" s="2370"/>
      <c r="D158" s="2370"/>
      <c r="E158" s="2370"/>
      <c r="F158" s="2370"/>
      <c r="G158" s="2370"/>
      <c r="H158" s="2370"/>
      <c r="I158" s="2370"/>
      <c r="J158" s="2370"/>
      <c r="K158" s="2371"/>
      <c r="L158" s="2372"/>
      <c r="M158" s="2370"/>
      <c r="N158" s="2370"/>
      <c r="O158" s="2370"/>
      <c r="P158" s="2370"/>
      <c r="Q158" s="2370"/>
      <c r="R158" s="2370"/>
      <c r="S158" s="2370"/>
      <c r="T158" s="2370"/>
    </row>
    <row r="159" spans="1:20">
      <c r="A159" s="2370"/>
      <c r="B159" s="2370"/>
      <c r="C159" s="2370"/>
      <c r="D159" s="2370"/>
      <c r="E159" s="2370"/>
      <c r="F159" s="2370"/>
      <c r="G159" s="2370"/>
      <c r="H159" s="2370"/>
      <c r="I159" s="2370"/>
      <c r="J159" s="2370"/>
      <c r="K159" s="2371"/>
      <c r="L159" s="2372"/>
      <c r="M159" s="2370"/>
      <c r="N159" s="2370"/>
      <c r="O159" s="2370"/>
      <c r="P159" s="2370"/>
      <c r="Q159" s="2370"/>
      <c r="R159" s="2370"/>
      <c r="S159" s="2370"/>
      <c r="T159" s="2370"/>
    </row>
    <row r="160" spans="1:20">
      <c r="A160" s="2370"/>
      <c r="B160" s="2370"/>
      <c r="C160" s="2370"/>
      <c r="D160" s="2370"/>
      <c r="E160" s="2370"/>
      <c r="F160" s="2370"/>
      <c r="G160" s="2370"/>
      <c r="H160" s="2370"/>
      <c r="I160" s="2370"/>
      <c r="J160" s="2370"/>
      <c r="K160" s="2371"/>
      <c r="L160" s="2372"/>
      <c r="M160" s="2370"/>
      <c r="N160" s="2370"/>
      <c r="O160" s="2370"/>
      <c r="P160" s="2370"/>
      <c r="Q160" s="2370"/>
      <c r="R160" s="2370"/>
      <c r="S160" s="2370"/>
      <c r="T160" s="2370"/>
    </row>
    <row r="161" spans="1:20">
      <c r="A161" s="2370"/>
      <c r="B161" s="2370"/>
      <c r="C161" s="2370"/>
      <c r="D161" s="2370"/>
      <c r="E161" s="2370"/>
      <c r="F161" s="2370"/>
      <c r="G161" s="2370"/>
      <c r="H161" s="2370"/>
      <c r="I161" s="2370"/>
      <c r="J161" s="2370"/>
      <c r="K161" s="2371"/>
      <c r="L161" s="2372"/>
      <c r="M161" s="2370"/>
      <c r="N161" s="2370"/>
      <c r="O161" s="2370"/>
      <c r="P161" s="2370"/>
      <c r="Q161" s="2370"/>
      <c r="R161" s="2370"/>
      <c r="S161" s="2370"/>
      <c r="T161" s="2370"/>
    </row>
    <row r="162" spans="1:20">
      <c r="A162" s="2370"/>
      <c r="B162" s="2370"/>
      <c r="C162" s="2370"/>
      <c r="D162" s="2370"/>
      <c r="E162" s="2370"/>
      <c r="F162" s="2370"/>
      <c r="G162" s="2370"/>
      <c r="H162" s="2370"/>
      <c r="I162" s="2370"/>
      <c r="J162" s="2370"/>
      <c r="K162" s="2371"/>
      <c r="L162" s="2372"/>
      <c r="M162" s="2370"/>
      <c r="N162" s="2370"/>
      <c r="O162" s="2370"/>
      <c r="P162" s="2370"/>
      <c r="Q162" s="2370"/>
      <c r="R162" s="2370"/>
      <c r="S162" s="2370"/>
      <c r="T162" s="2370"/>
    </row>
    <row r="163" spans="1:20">
      <c r="A163" s="2370"/>
      <c r="B163" s="2370"/>
      <c r="C163" s="2370"/>
      <c r="D163" s="2370"/>
      <c r="E163" s="2370"/>
      <c r="F163" s="2370"/>
      <c r="G163" s="2370"/>
      <c r="H163" s="2370"/>
      <c r="I163" s="2370"/>
      <c r="J163" s="2370"/>
      <c r="K163" s="2371"/>
      <c r="L163" s="2372"/>
      <c r="M163" s="2370"/>
      <c r="N163" s="2370"/>
      <c r="O163" s="2370"/>
      <c r="P163" s="2370"/>
      <c r="Q163" s="2370"/>
      <c r="R163" s="2370"/>
      <c r="S163" s="2370"/>
      <c r="T163" s="2370"/>
    </row>
    <row r="164" spans="1:20">
      <c r="A164" s="2370"/>
      <c r="B164" s="2370"/>
      <c r="C164" s="2370"/>
      <c r="D164" s="2370"/>
      <c r="E164" s="2370"/>
      <c r="F164" s="2370"/>
      <c r="G164" s="2370"/>
      <c r="H164" s="2370"/>
      <c r="I164" s="2370"/>
      <c r="J164" s="2370"/>
      <c r="K164" s="2371"/>
      <c r="L164" s="2372"/>
      <c r="M164" s="2370"/>
      <c r="N164" s="2370"/>
      <c r="O164" s="2370"/>
      <c r="P164" s="2370"/>
      <c r="Q164" s="2370"/>
      <c r="R164" s="2370"/>
      <c r="S164" s="2370"/>
      <c r="T164" s="2370"/>
    </row>
    <row r="165" spans="1:20">
      <c r="A165" s="2370"/>
      <c r="B165" s="2370"/>
      <c r="C165" s="2370"/>
      <c r="D165" s="2370"/>
      <c r="E165" s="2370"/>
      <c r="F165" s="2370"/>
      <c r="G165" s="2370"/>
      <c r="H165" s="2370"/>
      <c r="I165" s="2370"/>
      <c r="J165" s="2370"/>
      <c r="K165" s="2371"/>
      <c r="L165" s="2372"/>
      <c r="M165" s="2370"/>
      <c r="N165" s="2370"/>
      <c r="O165" s="2370"/>
      <c r="P165" s="2370"/>
      <c r="Q165" s="2370"/>
      <c r="R165" s="2370"/>
      <c r="S165" s="2370"/>
      <c r="T165" s="2370"/>
    </row>
    <row r="166" spans="1:20">
      <c r="A166" s="2370"/>
      <c r="B166" s="2370"/>
      <c r="C166" s="2370"/>
      <c r="D166" s="2370"/>
      <c r="E166" s="2370"/>
      <c r="F166" s="2370"/>
      <c r="G166" s="2370"/>
      <c r="H166" s="2370"/>
      <c r="I166" s="2370"/>
      <c r="J166" s="2370"/>
      <c r="K166" s="2371"/>
      <c r="L166" s="2372"/>
      <c r="M166" s="2370"/>
      <c r="N166" s="2370"/>
      <c r="O166" s="2370"/>
      <c r="P166" s="2370"/>
      <c r="Q166" s="2370"/>
      <c r="R166" s="2370"/>
      <c r="S166" s="2370"/>
      <c r="T166" s="2370"/>
    </row>
    <row r="167" spans="1:20">
      <c r="A167" s="2370"/>
      <c r="B167" s="2370"/>
      <c r="C167" s="2370"/>
      <c r="D167" s="2370"/>
      <c r="E167" s="2370"/>
      <c r="F167" s="2370"/>
      <c r="G167" s="2370"/>
      <c r="H167" s="2370"/>
      <c r="I167" s="2370"/>
      <c r="J167" s="2370"/>
      <c r="K167" s="2371"/>
      <c r="L167" s="2372"/>
      <c r="M167" s="2370"/>
      <c r="N167" s="2370"/>
      <c r="O167" s="2370"/>
      <c r="P167" s="2370"/>
      <c r="Q167" s="2370"/>
      <c r="R167" s="2370"/>
      <c r="S167" s="2370"/>
      <c r="T167" s="2370"/>
    </row>
    <row r="168" spans="1:20">
      <c r="A168" s="2370"/>
      <c r="B168" s="2370"/>
      <c r="C168" s="2370"/>
      <c r="D168" s="2370"/>
      <c r="E168" s="2370"/>
      <c r="F168" s="2370"/>
      <c r="G168" s="2370"/>
      <c r="H168" s="2370"/>
      <c r="I168" s="2370"/>
      <c r="J168" s="2370"/>
      <c r="K168" s="2371"/>
      <c r="L168" s="2372"/>
      <c r="M168" s="2370"/>
      <c r="N168" s="2370"/>
      <c r="O168" s="2370"/>
      <c r="P168" s="2370"/>
      <c r="Q168" s="2370"/>
      <c r="R168" s="2370"/>
      <c r="S168" s="2370"/>
      <c r="T168" s="2370"/>
    </row>
    <row r="169" spans="1:20">
      <c r="A169" s="2370"/>
      <c r="B169" s="2370"/>
      <c r="C169" s="2370"/>
      <c r="D169" s="2370"/>
      <c r="E169" s="2370"/>
      <c r="F169" s="2370"/>
      <c r="G169" s="2370"/>
      <c r="H169" s="2370"/>
      <c r="I169" s="2370"/>
      <c r="J169" s="2370"/>
      <c r="K169" s="2371"/>
      <c r="L169" s="2372"/>
      <c r="M169" s="2370"/>
      <c r="N169" s="2370"/>
      <c r="O169" s="2370"/>
      <c r="P169" s="2370"/>
      <c r="Q169" s="2370"/>
      <c r="R169" s="2370"/>
      <c r="S169" s="2370"/>
      <c r="T169" s="2370"/>
    </row>
    <row r="170" spans="1:20">
      <c r="A170" s="2370"/>
      <c r="B170" s="2370"/>
      <c r="C170" s="2370"/>
      <c r="D170" s="2370"/>
      <c r="E170" s="2370"/>
      <c r="F170" s="2370"/>
      <c r="G170" s="2370"/>
      <c r="H170" s="2370"/>
      <c r="I170" s="2370"/>
      <c r="J170" s="2370"/>
      <c r="K170" s="2371"/>
      <c r="L170" s="2372"/>
      <c r="M170" s="2370"/>
      <c r="N170" s="2370"/>
      <c r="O170" s="2370"/>
      <c r="P170" s="2370"/>
      <c r="Q170" s="2370"/>
      <c r="R170" s="2370"/>
      <c r="S170" s="2370"/>
      <c r="T170" s="2370"/>
    </row>
    <row r="171" spans="1:20">
      <c r="A171" s="2370"/>
      <c r="B171" s="2370"/>
      <c r="C171" s="2370"/>
      <c r="D171" s="2370"/>
      <c r="E171" s="2370"/>
      <c r="F171" s="2370"/>
      <c r="G171" s="2370"/>
      <c r="H171" s="2370"/>
      <c r="I171" s="2370"/>
      <c r="J171" s="2370"/>
      <c r="K171" s="2371"/>
      <c r="L171" s="2372"/>
      <c r="M171" s="2370"/>
      <c r="N171" s="2370"/>
      <c r="O171" s="2370"/>
      <c r="P171" s="2370"/>
      <c r="Q171" s="2370"/>
      <c r="R171" s="2370"/>
      <c r="S171" s="2370"/>
      <c r="T171" s="2370"/>
    </row>
    <row r="172" spans="1:20">
      <c r="A172" s="2370"/>
      <c r="B172" s="2370"/>
      <c r="C172" s="2370"/>
      <c r="D172" s="2370"/>
      <c r="E172" s="2370"/>
      <c r="F172" s="2370"/>
      <c r="G172" s="2370"/>
      <c r="H172" s="2370"/>
      <c r="I172" s="2370"/>
      <c r="J172" s="2370"/>
      <c r="K172" s="2371"/>
      <c r="L172" s="2372"/>
      <c r="M172" s="2370"/>
      <c r="N172" s="2370"/>
      <c r="O172" s="2370"/>
      <c r="P172" s="2370"/>
      <c r="Q172" s="2370"/>
      <c r="R172" s="2370"/>
      <c r="S172" s="2370"/>
      <c r="T172" s="2370"/>
    </row>
    <row r="173" spans="1:20">
      <c r="A173" s="2370"/>
      <c r="B173" s="2370"/>
      <c r="C173" s="2370"/>
      <c r="D173" s="2370"/>
      <c r="E173" s="2370"/>
      <c r="F173" s="2370"/>
      <c r="G173" s="2370"/>
      <c r="H173" s="2370"/>
      <c r="I173" s="2370"/>
      <c r="J173" s="2370"/>
      <c r="K173" s="2371"/>
      <c r="L173" s="2372"/>
      <c r="M173" s="2370"/>
      <c r="N173" s="2370"/>
      <c r="O173" s="2370"/>
      <c r="P173" s="2370"/>
      <c r="Q173" s="2370"/>
      <c r="R173" s="2370"/>
      <c r="S173" s="2370"/>
      <c r="T173" s="2370"/>
    </row>
    <row r="174" spans="1:20">
      <c r="A174" s="2370"/>
      <c r="B174" s="2370"/>
      <c r="C174" s="2370"/>
      <c r="D174" s="2370"/>
      <c r="E174" s="2370"/>
      <c r="F174" s="2370"/>
      <c r="G174" s="2370"/>
      <c r="H174" s="2370"/>
      <c r="I174" s="2370"/>
      <c r="J174" s="2370"/>
      <c r="K174" s="2371"/>
      <c r="L174" s="2372"/>
      <c r="M174" s="2370"/>
      <c r="N174" s="2370"/>
      <c r="O174" s="2370"/>
      <c r="P174" s="2370"/>
      <c r="Q174" s="2370"/>
      <c r="R174" s="2370"/>
      <c r="S174" s="2370"/>
      <c r="T174" s="2370"/>
    </row>
    <row r="175" spans="1:20">
      <c r="A175" s="2370"/>
      <c r="B175" s="2370"/>
      <c r="C175" s="2370"/>
      <c r="D175" s="2370"/>
      <c r="E175" s="2370"/>
      <c r="F175" s="2370"/>
      <c r="G175" s="2370"/>
      <c r="H175" s="2370"/>
      <c r="I175" s="2370"/>
      <c r="J175" s="2370"/>
      <c r="K175" s="2371"/>
      <c r="L175" s="2372"/>
      <c r="M175" s="2370"/>
      <c r="N175" s="2370"/>
      <c r="O175" s="2370"/>
      <c r="P175" s="2370"/>
      <c r="Q175" s="2370"/>
      <c r="R175" s="2370"/>
      <c r="S175" s="2370"/>
      <c r="T175" s="2370"/>
    </row>
    <row r="176" spans="1:20">
      <c r="A176" s="2370"/>
      <c r="B176" s="2370"/>
      <c r="C176" s="2370"/>
      <c r="D176" s="2370"/>
      <c r="E176" s="2370"/>
      <c r="F176" s="2370"/>
      <c r="G176" s="2370"/>
      <c r="H176" s="2370"/>
      <c r="I176" s="2370"/>
      <c r="J176" s="2370"/>
      <c r="K176" s="2371"/>
      <c r="L176" s="2372"/>
      <c r="M176" s="2370"/>
      <c r="N176" s="2370"/>
      <c r="O176" s="2370"/>
      <c r="P176" s="2370"/>
      <c r="Q176" s="2370"/>
      <c r="R176" s="2370"/>
      <c r="S176" s="2370"/>
      <c r="T176" s="2370"/>
    </row>
    <row r="177" spans="1:20">
      <c r="A177" s="2370"/>
      <c r="B177" s="2370"/>
      <c r="C177" s="2370"/>
      <c r="D177" s="2370"/>
      <c r="E177" s="2370"/>
      <c r="F177" s="2370"/>
      <c r="G177" s="2370"/>
      <c r="H177" s="2370"/>
      <c r="I177" s="2370"/>
      <c r="J177" s="2370"/>
      <c r="K177" s="2371"/>
      <c r="L177" s="2372"/>
      <c r="M177" s="2370"/>
      <c r="N177" s="2370"/>
      <c r="O177" s="2370"/>
      <c r="P177" s="2370"/>
      <c r="Q177" s="2370"/>
      <c r="R177" s="2370"/>
      <c r="S177" s="2370"/>
      <c r="T177" s="2370"/>
    </row>
    <row r="178" spans="1:20">
      <c r="A178" s="2370"/>
      <c r="B178" s="2370"/>
      <c r="C178" s="2370"/>
      <c r="D178" s="2370"/>
      <c r="E178" s="2370"/>
      <c r="F178" s="2370"/>
      <c r="G178" s="2370"/>
      <c r="H178" s="2370"/>
      <c r="I178" s="2370"/>
      <c r="J178" s="2370"/>
      <c r="K178" s="2371"/>
      <c r="L178" s="2372"/>
      <c r="M178" s="2370"/>
      <c r="N178" s="2370"/>
      <c r="O178" s="2370"/>
      <c r="P178" s="2370"/>
      <c r="Q178" s="2370"/>
      <c r="R178" s="2370"/>
      <c r="S178" s="2370"/>
      <c r="T178" s="2370"/>
    </row>
    <row r="179" spans="1:20">
      <c r="A179" s="2370"/>
      <c r="B179" s="2370"/>
      <c r="C179" s="2370"/>
      <c r="D179" s="2370"/>
      <c r="E179" s="2370"/>
      <c r="F179" s="2370"/>
      <c r="G179" s="2370"/>
      <c r="H179" s="2370"/>
      <c r="I179" s="2370"/>
      <c r="J179" s="2370"/>
      <c r="K179" s="2371"/>
      <c r="L179" s="2372"/>
      <c r="M179" s="2370"/>
      <c r="N179" s="2370"/>
      <c r="O179" s="2370"/>
      <c r="P179" s="2370"/>
      <c r="Q179" s="2370"/>
      <c r="R179" s="2370"/>
      <c r="S179" s="2370"/>
      <c r="T179" s="2370"/>
    </row>
    <row r="180" spans="1:20">
      <c r="A180" s="2370"/>
      <c r="B180" s="2370"/>
      <c r="C180" s="2370"/>
      <c r="D180" s="2370"/>
      <c r="E180" s="2370"/>
      <c r="F180" s="2370"/>
      <c r="G180" s="2370"/>
      <c r="H180" s="2370"/>
      <c r="I180" s="2370"/>
      <c r="J180" s="2370"/>
      <c r="K180" s="2371"/>
      <c r="L180" s="2372"/>
      <c r="M180" s="2370"/>
      <c r="N180" s="2370"/>
      <c r="O180" s="2370"/>
      <c r="P180" s="2370"/>
      <c r="Q180" s="2370"/>
      <c r="R180" s="2370"/>
      <c r="S180" s="2370"/>
      <c r="T180" s="2370"/>
    </row>
    <row r="181" spans="1:20">
      <c r="A181" s="2370"/>
      <c r="B181" s="2370"/>
      <c r="C181" s="2370"/>
      <c r="D181" s="2370"/>
      <c r="E181" s="2370"/>
      <c r="F181" s="2370"/>
      <c r="G181" s="2370"/>
      <c r="H181" s="2370"/>
      <c r="I181" s="2370"/>
      <c r="J181" s="2370"/>
      <c r="K181" s="2371"/>
      <c r="L181" s="2372"/>
      <c r="M181" s="2370"/>
      <c r="N181" s="2370"/>
      <c r="O181" s="2370"/>
      <c r="P181" s="2370"/>
      <c r="Q181" s="2370"/>
      <c r="R181" s="2370"/>
      <c r="S181" s="2370"/>
      <c r="T181" s="2370"/>
    </row>
    <row r="182" spans="1:20">
      <c r="A182" s="2370"/>
      <c r="B182" s="2370"/>
      <c r="C182" s="2370"/>
      <c r="D182" s="2370"/>
      <c r="E182" s="2370"/>
      <c r="F182" s="2370"/>
      <c r="G182" s="2370"/>
      <c r="H182" s="2370"/>
      <c r="I182" s="2370"/>
      <c r="J182" s="2370"/>
      <c r="K182" s="2371"/>
      <c r="L182" s="2372"/>
      <c r="M182" s="2370"/>
      <c r="N182" s="2370"/>
      <c r="O182" s="2370"/>
      <c r="P182" s="2370"/>
      <c r="Q182" s="2370"/>
      <c r="R182" s="2370"/>
      <c r="S182" s="2370"/>
      <c r="T182" s="2370"/>
    </row>
    <row r="183" spans="1:20">
      <c r="A183" s="2370"/>
      <c r="B183" s="2370"/>
      <c r="C183" s="2370"/>
      <c r="D183" s="2370"/>
      <c r="E183" s="2370"/>
      <c r="F183" s="2370"/>
      <c r="G183" s="2370"/>
      <c r="H183" s="2370"/>
      <c r="I183" s="2370"/>
      <c r="J183" s="2370"/>
      <c r="K183" s="2371"/>
      <c r="L183" s="2372"/>
      <c r="M183" s="2370"/>
      <c r="N183" s="2370"/>
      <c r="O183" s="2370"/>
      <c r="P183" s="2370"/>
      <c r="Q183" s="2370"/>
      <c r="R183" s="2370"/>
      <c r="S183" s="2370"/>
      <c r="T183" s="2370"/>
    </row>
    <row r="184" spans="1:20">
      <c r="A184" s="2370"/>
      <c r="B184" s="2370"/>
      <c r="C184" s="2370"/>
      <c r="D184" s="2370"/>
      <c r="E184" s="2370"/>
      <c r="F184" s="2370"/>
      <c r="G184" s="2370"/>
      <c r="H184" s="2370"/>
      <c r="I184" s="2370"/>
      <c r="J184" s="2370"/>
      <c r="K184" s="2371"/>
      <c r="L184" s="2372"/>
      <c r="M184" s="2370"/>
      <c r="N184" s="2370"/>
      <c r="O184" s="2370"/>
      <c r="P184" s="2370"/>
      <c r="Q184" s="2370"/>
      <c r="R184" s="2370"/>
      <c r="S184" s="2370"/>
      <c r="T184" s="2370"/>
    </row>
    <row r="185" spans="1:20">
      <c r="A185" s="2370"/>
      <c r="B185" s="2370"/>
      <c r="C185" s="2370"/>
      <c r="D185" s="2370"/>
      <c r="E185" s="2370"/>
      <c r="F185" s="2370"/>
      <c r="G185" s="2370"/>
      <c r="H185" s="2370"/>
      <c r="I185" s="2370"/>
      <c r="J185" s="2370"/>
      <c r="K185" s="2371"/>
      <c r="L185" s="2372"/>
      <c r="M185" s="2370"/>
      <c r="N185" s="2370"/>
      <c r="O185" s="2370"/>
      <c r="P185" s="2370"/>
      <c r="Q185" s="2370"/>
      <c r="R185" s="2370"/>
      <c r="S185" s="2370"/>
      <c r="T185" s="2370"/>
    </row>
    <row r="186" spans="1:20">
      <c r="A186" s="2370"/>
      <c r="B186" s="2370"/>
      <c r="C186" s="2370"/>
      <c r="D186" s="2370"/>
      <c r="E186" s="2370"/>
      <c r="F186" s="2370"/>
      <c r="G186" s="2370"/>
      <c r="H186" s="2370"/>
      <c r="I186" s="2370"/>
      <c r="J186" s="2370"/>
      <c r="K186" s="2371"/>
      <c r="L186" s="2372"/>
      <c r="M186" s="2370"/>
      <c r="N186" s="2370"/>
      <c r="O186" s="2370"/>
      <c r="P186" s="2370"/>
      <c r="Q186" s="2370"/>
      <c r="R186" s="2370"/>
      <c r="S186" s="2370"/>
      <c r="T186" s="2370"/>
    </row>
    <row r="187" spans="1:20">
      <c r="A187" s="2370"/>
      <c r="B187" s="2370"/>
      <c r="C187" s="2370"/>
      <c r="D187" s="2370"/>
      <c r="E187" s="2370"/>
      <c r="F187" s="2370"/>
      <c r="G187" s="2370"/>
      <c r="H187" s="2370"/>
      <c r="I187" s="2370"/>
      <c r="J187" s="2370"/>
      <c r="K187" s="2371"/>
      <c r="L187" s="2372"/>
      <c r="M187" s="2370"/>
      <c r="N187" s="2370"/>
      <c r="O187" s="2370"/>
      <c r="P187" s="2370"/>
      <c r="Q187" s="2370"/>
      <c r="R187" s="2370"/>
      <c r="S187" s="2370"/>
      <c r="T187" s="2370"/>
    </row>
    <row r="188" spans="1:20">
      <c r="A188" s="2370"/>
      <c r="B188" s="2370"/>
      <c r="C188" s="2370"/>
      <c r="D188" s="2370"/>
      <c r="E188" s="2370"/>
      <c r="F188" s="2370"/>
      <c r="G188" s="2370"/>
      <c r="H188" s="2370"/>
      <c r="I188" s="2370"/>
      <c r="J188" s="2370"/>
      <c r="K188" s="2371"/>
      <c r="L188" s="2372"/>
      <c r="M188" s="2370"/>
      <c r="N188" s="2370"/>
      <c r="O188" s="2370"/>
      <c r="P188" s="2370"/>
      <c r="Q188" s="2370"/>
      <c r="R188" s="2370"/>
      <c r="S188" s="2370"/>
      <c r="T188" s="2370"/>
    </row>
    <row r="189" spans="1:20">
      <c r="A189" s="2370"/>
      <c r="B189" s="2370"/>
      <c r="C189" s="2370"/>
      <c r="D189" s="2370"/>
      <c r="E189" s="2370"/>
      <c r="F189" s="2370"/>
      <c r="G189" s="2370"/>
      <c r="H189" s="2370"/>
      <c r="I189" s="2370"/>
      <c r="J189" s="2370"/>
      <c r="K189" s="2371"/>
      <c r="L189" s="2372"/>
      <c r="M189" s="2370"/>
      <c r="N189" s="2370"/>
      <c r="O189" s="2370"/>
      <c r="P189" s="2370"/>
      <c r="Q189" s="2370"/>
      <c r="R189" s="2370"/>
      <c r="S189" s="2370"/>
      <c r="T189" s="2370"/>
    </row>
    <row r="190" spans="1:20">
      <c r="A190" s="2370"/>
      <c r="B190" s="2370"/>
      <c r="C190" s="2370"/>
      <c r="D190" s="2370"/>
      <c r="E190" s="2370"/>
      <c r="F190" s="2370"/>
      <c r="G190" s="2370"/>
      <c r="H190" s="2370"/>
      <c r="I190" s="2370"/>
      <c r="J190" s="2370"/>
      <c r="K190" s="2371"/>
      <c r="L190" s="2372"/>
      <c r="M190" s="2370"/>
      <c r="N190" s="2370"/>
      <c r="O190" s="2370"/>
      <c r="P190" s="2370"/>
      <c r="Q190" s="2370"/>
      <c r="R190" s="2370"/>
      <c r="S190" s="2370"/>
      <c r="T190" s="2370"/>
    </row>
    <row r="191" spans="1:20">
      <c r="A191" s="2370"/>
      <c r="B191" s="2370"/>
      <c r="C191" s="2370"/>
      <c r="D191" s="2370"/>
      <c r="E191" s="2370"/>
      <c r="F191" s="2370"/>
      <c r="G191" s="2370"/>
      <c r="H191" s="2370"/>
      <c r="I191" s="2370"/>
      <c r="J191" s="2370"/>
      <c r="K191" s="2371"/>
      <c r="L191" s="2372"/>
      <c r="M191" s="2370"/>
      <c r="N191" s="2370"/>
      <c r="O191" s="2370"/>
      <c r="P191" s="2370"/>
      <c r="Q191" s="2370"/>
      <c r="R191" s="2370"/>
      <c r="S191" s="2370"/>
      <c r="T191" s="2370"/>
    </row>
    <row r="192" spans="1:20">
      <c r="A192" s="2370"/>
      <c r="B192" s="2370"/>
      <c r="C192" s="2370"/>
      <c r="D192" s="2370"/>
      <c r="E192" s="2370"/>
      <c r="F192" s="2370"/>
      <c r="G192" s="2370"/>
      <c r="H192" s="2370"/>
      <c r="I192" s="2370"/>
      <c r="J192" s="2370"/>
      <c r="K192" s="2371"/>
      <c r="L192" s="2372"/>
      <c r="M192" s="2370"/>
      <c r="N192" s="2370"/>
      <c r="O192" s="2370"/>
      <c r="P192" s="2370"/>
      <c r="Q192" s="2370"/>
      <c r="R192" s="2370"/>
      <c r="S192" s="2370"/>
      <c r="T192" s="2370"/>
    </row>
    <row r="193" spans="1:20">
      <c r="A193" s="2370"/>
      <c r="B193" s="2370"/>
      <c r="C193" s="2370"/>
      <c r="D193" s="2370"/>
      <c r="E193" s="2370"/>
      <c r="F193" s="2370"/>
      <c r="G193" s="2370"/>
      <c r="H193" s="2370"/>
      <c r="I193" s="2370"/>
      <c r="J193" s="2370"/>
      <c r="K193" s="2371"/>
      <c r="L193" s="2372"/>
      <c r="M193" s="2370"/>
      <c r="N193" s="2370"/>
      <c r="O193" s="2370"/>
      <c r="P193" s="2370"/>
      <c r="Q193" s="2370"/>
      <c r="R193" s="2370"/>
      <c r="S193" s="2370"/>
      <c r="T193" s="2370"/>
    </row>
    <row r="194" spans="1:20">
      <c r="A194" s="2370"/>
      <c r="B194" s="2370"/>
      <c r="C194" s="2370"/>
      <c r="D194" s="2370"/>
      <c r="E194" s="2370"/>
      <c r="F194" s="2370"/>
      <c r="G194" s="2370"/>
      <c r="H194" s="2370"/>
      <c r="I194" s="2370"/>
      <c r="J194" s="2370"/>
      <c r="K194" s="2371"/>
      <c r="L194" s="2372"/>
      <c r="M194" s="2370"/>
      <c r="N194" s="2370"/>
      <c r="O194" s="2370"/>
      <c r="P194" s="2370"/>
      <c r="Q194" s="2370"/>
      <c r="R194" s="2370"/>
      <c r="S194" s="2370"/>
      <c r="T194" s="2370"/>
    </row>
    <row r="195" spans="1:20">
      <c r="A195" s="2370"/>
      <c r="B195" s="2370"/>
      <c r="C195" s="2370"/>
      <c r="D195" s="2370"/>
      <c r="E195" s="2370"/>
      <c r="F195" s="2370"/>
      <c r="G195" s="2370"/>
      <c r="H195" s="2370"/>
      <c r="I195" s="2370"/>
      <c r="J195" s="2370"/>
      <c r="K195" s="2371"/>
      <c r="L195" s="2372"/>
      <c r="M195" s="2370"/>
      <c r="N195" s="2370"/>
      <c r="O195" s="2370"/>
      <c r="P195" s="2370"/>
      <c r="Q195" s="2370"/>
      <c r="R195" s="2370"/>
      <c r="S195" s="2370"/>
      <c r="T195" s="2370"/>
    </row>
    <row r="196" spans="1:20">
      <c r="A196" s="2370"/>
      <c r="B196" s="2370"/>
      <c r="C196" s="2370"/>
      <c r="D196" s="2370"/>
      <c r="E196" s="2370"/>
      <c r="F196" s="2370"/>
      <c r="G196" s="2370"/>
      <c r="H196" s="2370"/>
      <c r="I196" s="2370"/>
      <c r="J196" s="2370"/>
      <c r="K196" s="2371"/>
      <c r="L196" s="2372"/>
      <c r="M196" s="2370"/>
      <c r="N196" s="2370"/>
      <c r="O196" s="2370"/>
      <c r="P196" s="2370"/>
      <c r="Q196" s="2370"/>
      <c r="R196" s="2370"/>
      <c r="S196" s="2370"/>
      <c r="T196" s="2370"/>
    </row>
    <row r="197" spans="1:20">
      <c r="A197" s="2370"/>
      <c r="B197" s="2370"/>
      <c r="C197" s="2370"/>
      <c r="D197" s="2370"/>
      <c r="E197" s="2370"/>
      <c r="F197" s="2370"/>
      <c r="G197" s="2370"/>
      <c r="H197" s="2370"/>
      <c r="I197" s="2370"/>
      <c r="J197" s="2370"/>
      <c r="K197" s="2371"/>
      <c r="L197" s="2372"/>
      <c r="M197" s="2370"/>
      <c r="N197" s="2370"/>
      <c r="O197" s="2370"/>
      <c r="P197" s="2370"/>
      <c r="Q197" s="2370"/>
      <c r="R197" s="2370"/>
      <c r="S197" s="2370"/>
      <c r="T197" s="2370"/>
    </row>
    <row r="198" spans="1:20">
      <c r="A198" s="2370"/>
      <c r="B198" s="2370"/>
      <c r="C198" s="2370"/>
      <c r="D198" s="2370"/>
      <c r="E198" s="2370"/>
      <c r="F198" s="2370"/>
      <c r="G198" s="2370"/>
      <c r="H198" s="2370"/>
      <c r="I198" s="2370"/>
      <c r="J198" s="2370"/>
      <c r="K198" s="2371"/>
      <c r="L198" s="2372"/>
      <c r="M198" s="2370"/>
      <c r="N198" s="2370"/>
      <c r="O198" s="2370"/>
      <c r="P198" s="2370"/>
      <c r="Q198" s="2370"/>
      <c r="R198" s="2370"/>
      <c r="S198" s="2370"/>
      <c r="T198" s="2370"/>
    </row>
    <row r="199" spans="1:20">
      <c r="A199" s="2370"/>
      <c r="B199" s="2370"/>
      <c r="C199" s="2370"/>
      <c r="D199" s="2370"/>
      <c r="E199" s="2370"/>
      <c r="F199" s="2370"/>
      <c r="G199" s="2370"/>
      <c r="H199" s="2370"/>
      <c r="I199" s="2370"/>
      <c r="J199" s="2370"/>
      <c r="K199" s="2371"/>
      <c r="L199" s="2372"/>
      <c r="M199" s="2370"/>
      <c r="N199" s="2370"/>
      <c r="O199" s="2370"/>
      <c r="P199" s="2370"/>
      <c r="Q199" s="2370"/>
      <c r="R199" s="2370"/>
      <c r="S199" s="2370"/>
      <c r="T199" s="2370"/>
    </row>
    <row r="200" spans="1:20">
      <c r="A200" s="2370"/>
      <c r="B200" s="2370"/>
      <c r="C200" s="2370"/>
      <c r="D200" s="2370"/>
      <c r="E200" s="2370"/>
      <c r="F200" s="2370"/>
      <c r="G200" s="2370"/>
      <c r="H200" s="2370"/>
      <c r="I200" s="2370"/>
      <c r="J200" s="2370"/>
      <c r="K200" s="2371"/>
      <c r="L200" s="2372"/>
      <c r="M200" s="2370"/>
      <c r="N200" s="2370"/>
      <c r="O200" s="2370"/>
      <c r="P200" s="2370"/>
      <c r="Q200" s="2370"/>
      <c r="R200" s="2370"/>
      <c r="S200" s="2370"/>
      <c r="T200" s="2370"/>
    </row>
    <row r="201" spans="1:20">
      <c r="A201" s="2370"/>
      <c r="B201" s="2370"/>
      <c r="C201" s="2370"/>
      <c r="D201" s="2370"/>
      <c r="E201" s="2370"/>
      <c r="F201" s="2370"/>
      <c r="G201" s="2370"/>
      <c r="H201" s="2370"/>
      <c r="I201" s="2370"/>
      <c r="J201" s="2370"/>
      <c r="K201" s="2371"/>
      <c r="L201" s="2372"/>
      <c r="M201" s="2370"/>
      <c r="N201" s="2370"/>
      <c r="O201" s="2370"/>
      <c r="P201" s="2370"/>
      <c r="Q201" s="2370"/>
      <c r="R201" s="2370"/>
      <c r="S201" s="2370"/>
      <c r="T201" s="2370"/>
    </row>
    <row r="202" spans="1:20">
      <c r="A202" s="2370"/>
      <c r="B202" s="2370"/>
      <c r="C202" s="2370"/>
      <c r="D202" s="2370"/>
      <c r="E202" s="2370"/>
      <c r="F202" s="2370"/>
      <c r="G202" s="2370"/>
      <c r="H202" s="2370"/>
      <c r="I202" s="2370"/>
      <c r="J202" s="2370"/>
      <c r="K202" s="2371"/>
      <c r="L202" s="2372"/>
      <c r="M202" s="2370"/>
      <c r="N202" s="2370"/>
      <c r="O202" s="2370"/>
      <c r="P202" s="2370"/>
      <c r="Q202" s="2370"/>
      <c r="R202" s="2370"/>
      <c r="S202" s="2370"/>
      <c r="T202" s="2370"/>
    </row>
    <row r="203" spans="1:20">
      <c r="A203" s="2370"/>
      <c r="B203" s="2370"/>
      <c r="C203" s="2370"/>
      <c r="D203" s="2370"/>
      <c r="E203" s="2370"/>
      <c r="F203" s="2370"/>
      <c r="G203" s="2370"/>
      <c r="H203" s="2370"/>
      <c r="I203" s="2370"/>
      <c r="J203" s="2370"/>
      <c r="K203" s="2371"/>
      <c r="L203" s="2372"/>
      <c r="M203" s="2370"/>
      <c r="N203" s="2370"/>
      <c r="O203" s="2370"/>
      <c r="P203" s="2370"/>
      <c r="Q203" s="2370"/>
      <c r="R203" s="2370"/>
      <c r="S203" s="2370"/>
      <c r="T203" s="2370"/>
    </row>
    <row r="204" spans="1:20">
      <c r="A204" s="2370"/>
      <c r="B204" s="2370"/>
      <c r="C204" s="2370"/>
      <c r="D204" s="2370"/>
      <c r="E204" s="2370"/>
      <c r="F204" s="2370"/>
      <c r="G204" s="2370"/>
      <c r="H204" s="2370"/>
      <c r="I204" s="2370"/>
      <c r="J204" s="2370"/>
      <c r="K204" s="2371"/>
      <c r="L204" s="2372"/>
      <c r="M204" s="2370"/>
      <c r="N204" s="2370"/>
      <c r="O204" s="2370"/>
      <c r="P204" s="2370"/>
      <c r="Q204" s="2370"/>
      <c r="R204" s="2370"/>
      <c r="S204" s="2370"/>
      <c r="T204" s="2370"/>
    </row>
    <row r="205" spans="1:20">
      <c r="A205" s="2370"/>
      <c r="B205" s="2370"/>
      <c r="C205" s="2370"/>
      <c r="D205" s="2370"/>
      <c r="E205" s="2370"/>
      <c r="F205" s="2370"/>
      <c r="G205" s="2370"/>
      <c r="H205" s="2370"/>
      <c r="I205" s="2370"/>
      <c r="J205" s="2370"/>
      <c r="K205" s="2371"/>
      <c r="L205" s="2372"/>
      <c r="M205" s="2370"/>
      <c r="N205" s="2370"/>
      <c r="O205" s="2370"/>
      <c r="P205" s="2370"/>
      <c r="Q205" s="2370"/>
      <c r="R205" s="2370"/>
      <c r="S205" s="2370"/>
      <c r="T205" s="2370"/>
    </row>
    <row r="206" spans="1:20">
      <c r="A206" s="2370"/>
      <c r="B206" s="2370"/>
      <c r="C206" s="2370"/>
      <c r="D206" s="2370"/>
      <c r="E206" s="2370"/>
      <c r="F206" s="2370"/>
      <c r="G206" s="2370"/>
      <c r="H206" s="2370"/>
      <c r="I206" s="2370"/>
      <c r="J206" s="2370"/>
      <c r="K206" s="2371"/>
      <c r="L206" s="2372"/>
      <c r="M206" s="2370"/>
      <c r="N206" s="2370"/>
      <c r="O206" s="2370"/>
      <c r="P206" s="2370"/>
      <c r="Q206" s="2370"/>
      <c r="R206" s="2370"/>
      <c r="S206" s="2370"/>
      <c r="T206" s="2370"/>
    </row>
    <row r="207" spans="1:20">
      <c r="A207" s="2370"/>
      <c r="B207" s="2370"/>
      <c r="C207" s="2370"/>
      <c r="D207" s="2370"/>
      <c r="E207" s="2370"/>
      <c r="F207" s="2370"/>
      <c r="G207" s="2370"/>
      <c r="H207" s="2370"/>
      <c r="I207" s="2370"/>
      <c r="J207" s="2370"/>
      <c r="K207" s="2371"/>
      <c r="L207" s="2372"/>
      <c r="M207" s="2370"/>
      <c r="N207" s="2370"/>
      <c r="O207" s="2370"/>
      <c r="P207" s="2370"/>
      <c r="Q207" s="2370"/>
      <c r="R207" s="2370"/>
      <c r="S207" s="2370"/>
      <c r="T207" s="2370"/>
    </row>
    <row r="208" spans="1:20">
      <c r="A208" s="2370"/>
      <c r="B208" s="2370"/>
      <c r="C208" s="2370"/>
      <c r="D208" s="2370"/>
      <c r="E208" s="2370"/>
      <c r="F208" s="2370"/>
      <c r="G208" s="2370"/>
      <c r="H208" s="2370"/>
      <c r="I208" s="2370"/>
      <c r="J208" s="2370"/>
      <c r="K208" s="2371"/>
      <c r="L208" s="2372"/>
      <c r="M208" s="2370"/>
      <c r="N208" s="2370"/>
      <c r="O208" s="2370"/>
      <c r="P208" s="2370"/>
      <c r="Q208" s="2370"/>
      <c r="R208" s="2370"/>
      <c r="S208" s="2370"/>
      <c r="T208" s="2370"/>
    </row>
    <row r="209" spans="1:20">
      <c r="A209" s="2370"/>
      <c r="B209" s="2370"/>
      <c r="C209" s="2370"/>
      <c r="D209" s="2370"/>
      <c r="E209" s="2370"/>
      <c r="F209" s="2370"/>
      <c r="G209" s="2370"/>
      <c r="H209" s="2370"/>
      <c r="I209" s="2370"/>
      <c r="J209" s="2370"/>
      <c r="K209" s="2371"/>
      <c r="L209" s="2372"/>
      <c r="M209" s="2370"/>
      <c r="N209" s="2370"/>
      <c r="O209" s="2370"/>
      <c r="P209" s="2370"/>
      <c r="Q209" s="2370"/>
      <c r="R209" s="2370"/>
      <c r="S209" s="2370"/>
      <c r="T209" s="2370"/>
    </row>
    <row r="210" spans="1:20">
      <c r="A210" s="2370"/>
      <c r="B210" s="2370"/>
      <c r="C210" s="2370"/>
      <c r="D210" s="2370"/>
      <c r="E210" s="2370"/>
      <c r="F210" s="2370"/>
      <c r="G210" s="2370"/>
      <c r="H210" s="2370"/>
      <c r="I210" s="2370"/>
      <c r="J210" s="2370"/>
      <c r="K210" s="2371"/>
      <c r="L210" s="2372"/>
      <c r="M210" s="2370"/>
      <c r="N210" s="2370"/>
      <c r="O210" s="2370"/>
      <c r="P210" s="2370"/>
      <c r="Q210" s="2370"/>
      <c r="R210" s="2370"/>
      <c r="S210" s="2370"/>
      <c r="T210" s="2370"/>
    </row>
    <row r="211" spans="1:20">
      <c r="A211" s="2370"/>
      <c r="B211" s="2370"/>
      <c r="C211" s="2370"/>
      <c r="D211" s="2370"/>
      <c r="E211" s="2370"/>
      <c r="F211" s="2370"/>
      <c r="G211" s="2370"/>
      <c r="H211" s="2370"/>
      <c r="I211" s="2370"/>
      <c r="J211" s="2370"/>
      <c r="K211" s="2371"/>
      <c r="L211" s="2372"/>
      <c r="M211" s="2370"/>
      <c r="N211" s="2370"/>
      <c r="O211" s="2370"/>
      <c r="P211" s="2370"/>
      <c r="Q211" s="2370"/>
      <c r="R211" s="2370"/>
      <c r="S211" s="2370"/>
      <c r="T211" s="2370"/>
    </row>
    <row r="212" spans="1:20">
      <c r="A212" s="2370"/>
      <c r="B212" s="2370"/>
      <c r="C212" s="2370"/>
      <c r="D212" s="2370"/>
      <c r="E212" s="2370"/>
      <c r="F212" s="2370"/>
      <c r="G212" s="2370"/>
      <c r="H212" s="2370"/>
      <c r="I212" s="2370"/>
      <c r="J212" s="2370"/>
      <c r="K212" s="2371"/>
      <c r="L212" s="2372"/>
      <c r="M212" s="2370"/>
      <c r="N212" s="2370"/>
      <c r="O212" s="2370"/>
      <c r="P212" s="2370"/>
      <c r="Q212" s="2370"/>
      <c r="R212" s="2370"/>
      <c r="S212" s="2370"/>
      <c r="T212" s="2370"/>
    </row>
    <row r="213" spans="1:20">
      <c r="A213" s="2370"/>
      <c r="B213" s="2370"/>
      <c r="C213" s="2370"/>
      <c r="D213" s="2370"/>
      <c r="E213" s="2370"/>
      <c r="F213" s="2370"/>
      <c r="G213" s="2370"/>
      <c r="H213" s="2370"/>
      <c r="I213" s="2370"/>
      <c r="J213" s="2370"/>
      <c r="K213" s="2371"/>
      <c r="L213" s="2372"/>
      <c r="M213" s="2370"/>
      <c r="N213" s="2370"/>
      <c r="O213" s="2370"/>
      <c r="P213" s="2370"/>
      <c r="Q213" s="2370"/>
      <c r="R213" s="2370"/>
      <c r="S213" s="2370"/>
      <c r="T213" s="2370"/>
    </row>
    <row r="214" spans="1:20">
      <c r="A214" s="2370"/>
      <c r="B214" s="2370"/>
      <c r="C214" s="2370"/>
      <c r="D214" s="2370"/>
      <c r="E214" s="2370"/>
      <c r="F214" s="2370"/>
      <c r="G214" s="2370"/>
      <c r="H214" s="2370"/>
      <c r="I214" s="2370"/>
      <c r="J214" s="2370"/>
      <c r="K214" s="2371"/>
      <c r="L214" s="2372"/>
      <c r="M214" s="2370"/>
      <c r="N214" s="2370"/>
      <c r="O214" s="2370"/>
      <c r="P214" s="2370"/>
      <c r="Q214" s="2370"/>
      <c r="R214" s="2370"/>
      <c r="S214" s="2370"/>
      <c r="T214" s="2370"/>
    </row>
    <row r="215" spans="1:20">
      <c r="A215" s="2370"/>
      <c r="B215" s="2370"/>
      <c r="C215" s="2370"/>
      <c r="D215" s="2370"/>
      <c r="E215" s="2370"/>
      <c r="F215" s="2370"/>
      <c r="G215" s="2370"/>
      <c r="H215" s="2370"/>
      <c r="I215" s="2370"/>
      <c r="J215" s="2370"/>
      <c r="K215" s="2371"/>
      <c r="L215" s="2372"/>
      <c r="M215" s="2370"/>
      <c r="N215" s="2370"/>
      <c r="O215" s="2370"/>
      <c r="P215" s="2370"/>
      <c r="Q215" s="2370"/>
      <c r="R215" s="2370"/>
      <c r="S215" s="2370"/>
      <c r="T215" s="2370"/>
    </row>
    <row r="216" spans="1:20">
      <c r="A216" s="2370"/>
      <c r="B216" s="2370"/>
      <c r="C216" s="2370"/>
      <c r="D216" s="2370"/>
      <c r="E216" s="2370"/>
      <c r="F216" s="2370"/>
      <c r="G216" s="2370"/>
      <c r="H216" s="2370"/>
      <c r="I216" s="2370"/>
      <c r="J216" s="2370"/>
      <c r="K216" s="2371"/>
      <c r="L216" s="2372"/>
      <c r="M216" s="2370"/>
      <c r="N216" s="2370"/>
      <c r="O216" s="2370"/>
      <c r="P216" s="2370"/>
      <c r="Q216" s="2370"/>
      <c r="R216" s="2370"/>
      <c r="S216" s="2370"/>
      <c r="T216" s="2370"/>
    </row>
    <row r="217" spans="1:20">
      <c r="A217" s="2370"/>
      <c r="B217" s="2370"/>
      <c r="C217" s="2370"/>
      <c r="D217" s="2370"/>
      <c r="E217" s="2370"/>
      <c r="F217" s="2370"/>
      <c r="G217" s="2370"/>
      <c r="H217" s="2370"/>
      <c r="I217" s="2370"/>
      <c r="J217" s="2370"/>
      <c r="K217" s="2371"/>
      <c r="L217" s="2372"/>
      <c r="M217" s="2370"/>
      <c r="N217" s="2370"/>
      <c r="O217" s="2370"/>
      <c r="P217" s="2370"/>
      <c r="Q217" s="2370"/>
      <c r="R217" s="2370"/>
      <c r="S217" s="2370"/>
      <c r="T217" s="2370"/>
    </row>
    <row r="218" spans="1:20">
      <c r="A218" s="2370"/>
      <c r="B218" s="2370"/>
      <c r="C218" s="2370"/>
      <c r="D218" s="2370"/>
      <c r="E218" s="2370"/>
      <c r="F218" s="2370"/>
      <c r="G218" s="2370"/>
      <c r="H218" s="2370"/>
      <c r="I218" s="2370"/>
      <c r="J218" s="2370"/>
      <c r="K218" s="2371"/>
      <c r="L218" s="2372"/>
      <c r="M218" s="2370"/>
      <c r="N218" s="2370"/>
      <c r="O218" s="2370"/>
      <c r="P218" s="2370"/>
      <c r="Q218" s="2370"/>
      <c r="R218" s="2370"/>
      <c r="S218" s="2370"/>
      <c r="T218" s="2370"/>
    </row>
    <row r="219" spans="1:20">
      <c r="A219" s="2370"/>
      <c r="B219" s="2370"/>
      <c r="C219" s="2370"/>
      <c r="D219" s="2370"/>
      <c r="E219" s="2370"/>
      <c r="F219" s="2370"/>
      <c r="G219" s="2370"/>
      <c r="H219" s="2370"/>
      <c r="I219" s="2370"/>
      <c r="J219" s="2370"/>
      <c r="K219" s="2371"/>
      <c r="L219" s="2372"/>
      <c r="M219" s="2370"/>
      <c r="N219" s="2370"/>
      <c r="O219" s="2370"/>
      <c r="P219" s="2370"/>
      <c r="Q219" s="2370"/>
      <c r="R219" s="2370"/>
      <c r="S219" s="2370"/>
      <c r="T219" s="2370"/>
    </row>
    <row r="220" spans="1:20">
      <c r="A220" s="2370"/>
      <c r="B220" s="2370"/>
      <c r="C220" s="2370"/>
      <c r="D220" s="2370"/>
      <c r="E220" s="2370"/>
      <c r="F220" s="2370"/>
      <c r="G220" s="2370"/>
      <c r="H220" s="2370"/>
      <c r="I220" s="2370"/>
      <c r="J220" s="2370"/>
      <c r="K220" s="2371"/>
      <c r="L220" s="2372"/>
      <c r="M220" s="2370"/>
      <c r="N220" s="2370"/>
      <c r="O220" s="2370"/>
      <c r="P220" s="2370"/>
      <c r="Q220" s="2370"/>
      <c r="R220" s="2370"/>
      <c r="S220" s="2370"/>
      <c r="T220" s="2370"/>
    </row>
    <row r="221" spans="1:20">
      <c r="A221" s="2370"/>
      <c r="B221" s="2370"/>
      <c r="C221" s="2370"/>
      <c r="D221" s="2370"/>
      <c r="E221" s="2370"/>
      <c r="F221" s="2370"/>
      <c r="G221" s="2370"/>
      <c r="H221" s="2370"/>
      <c r="I221" s="2370"/>
      <c r="J221" s="2370"/>
      <c r="K221" s="2371"/>
      <c r="L221" s="2372"/>
      <c r="M221" s="2370"/>
      <c r="N221" s="2370"/>
      <c r="O221" s="2370"/>
      <c r="P221" s="2370"/>
      <c r="Q221" s="2370"/>
      <c r="R221" s="2370"/>
      <c r="S221" s="2370"/>
      <c r="T221" s="2370"/>
    </row>
    <row r="222" spans="1:20">
      <c r="A222" s="2370"/>
      <c r="B222" s="2370"/>
      <c r="C222" s="2370"/>
      <c r="D222" s="2370"/>
      <c r="E222" s="2370"/>
      <c r="F222" s="2370"/>
      <c r="G222" s="2370"/>
      <c r="H222" s="2370"/>
      <c r="I222" s="2370"/>
      <c r="J222" s="2370"/>
      <c r="K222" s="2371"/>
      <c r="L222" s="2372"/>
      <c r="M222" s="2370"/>
      <c r="N222" s="2370"/>
      <c r="O222" s="2370"/>
      <c r="P222" s="2370"/>
      <c r="Q222" s="2370"/>
      <c r="R222" s="2370"/>
      <c r="S222" s="2370"/>
      <c r="T222" s="2370"/>
    </row>
    <row r="223" spans="1:20">
      <c r="A223" s="2370"/>
      <c r="B223" s="2370"/>
      <c r="C223" s="2370"/>
      <c r="D223" s="2370"/>
      <c r="E223" s="2370"/>
      <c r="F223" s="2370"/>
      <c r="G223" s="2370"/>
      <c r="H223" s="2370"/>
      <c r="I223" s="2370"/>
      <c r="J223" s="2370"/>
      <c r="K223" s="2371"/>
      <c r="L223" s="2372"/>
      <c r="M223" s="2370"/>
      <c r="N223" s="2370"/>
      <c r="O223" s="2370"/>
      <c r="P223" s="2370"/>
      <c r="Q223" s="2370"/>
      <c r="R223" s="2370"/>
      <c r="S223" s="2370"/>
      <c r="T223" s="2370"/>
    </row>
    <row r="224" spans="1:20">
      <c r="A224" s="2370"/>
      <c r="B224" s="2370"/>
      <c r="C224" s="2370"/>
      <c r="D224" s="2370"/>
      <c r="E224" s="2370"/>
      <c r="F224" s="2370"/>
      <c r="G224" s="2370"/>
      <c r="H224" s="2370"/>
      <c r="I224" s="2370"/>
      <c r="J224" s="2370"/>
      <c r="K224" s="2371"/>
      <c r="L224" s="2372"/>
      <c r="M224" s="2370"/>
      <c r="N224" s="2370"/>
      <c r="O224" s="2370"/>
      <c r="P224" s="2370"/>
      <c r="Q224" s="2370"/>
      <c r="R224" s="2370"/>
      <c r="S224" s="2370"/>
      <c r="T224" s="2370"/>
    </row>
    <row r="225" spans="1:20">
      <c r="A225" s="2370"/>
      <c r="B225" s="2370"/>
      <c r="C225" s="2370"/>
      <c r="D225" s="2370"/>
      <c r="E225" s="2370"/>
      <c r="F225" s="2370"/>
      <c r="G225" s="2370"/>
      <c r="H225" s="2370"/>
      <c r="I225" s="2370"/>
      <c r="J225" s="2370"/>
      <c r="K225" s="2371"/>
      <c r="L225" s="2372"/>
      <c r="M225" s="2370"/>
      <c r="N225" s="2370"/>
      <c r="O225" s="2370"/>
      <c r="P225" s="2370"/>
      <c r="Q225" s="2370"/>
      <c r="R225" s="2370"/>
      <c r="S225" s="2370"/>
      <c r="T225" s="2370"/>
    </row>
    <row r="226" spans="1:20">
      <c r="A226" s="2370"/>
      <c r="B226" s="2370"/>
      <c r="C226" s="2370"/>
      <c r="D226" s="2370"/>
      <c r="E226" s="2370"/>
      <c r="F226" s="2370"/>
      <c r="G226" s="2370"/>
      <c r="H226" s="2370"/>
      <c r="I226" s="2370"/>
      <c r="J226" s="2370"/>
      <c r="K226" s="2371"/>
      <c r="L226" s="2372"/>
      <c r="M226" s="2370"/>
      <c r="N226" s="2370"/>
      <c r="O226" s="2370"/>
      <c r="P226" s="2370"/>
      <c r="Q226" s="2370"/>
      <c r="R226" s="2370"/>
      <c r="S226" s="2370"/>
      <c r="T226" s="2370"/>
    </row>
    <row r="227" spans="1:20">
      <c r="A227" s="2370"/>
      <c r="B227" s="2370"/>
      <c r="C227" s="2370"/>
      <c r="D227" s="2370"/>
      <c r="E227" s="2370"/>
      <c r="F227" s="2370"/>
      <c r="G227" s="2370"/>
      <c r="H227" s="2370"/>
      <c r="I227" s="2370"/>
      <c r="J227" s="2370"/>
      <c r="K227" s="2371"/>
      <c r="L227" s="2372"/>
      <c r="M227" s="2370"/>
      <c r="N227" s="2370"/>
      <c r="O227" s="2370"/>
      <c r="P227" s="2370"/>
      <c r="Q227" s="2370"/>
      <c r="R227" s="2370"/>
      <c r="S227" s="2370"/>
      <c r="T227" s="2370"/>
    </row>
    <row r="228" spans="1:20">
      <c r="A228" s="2370"/>
      <c r="B228" s="2370"/>
      <c r="C228" s="2370"/>
      <c r="D228" s="2370"/>
      <c r="E228" s="2370"/>
      <c r="F228" s="2370"/>
      <c r="G228" s="2370"/>
      <c r="H228" s="2370"/>
      <c r="I228" s="2370"/>
      <c r="J228" s="2370"/>
      <c r="K228" s="2371"/>
      <c r="L228" s="2372"/>
      <c r="M228" s="2370"/>
      <c r="N228" s="2370"/>
      <c r="O228" s="2370"/>
      <c r="P228" s="2370"/>
      <c r="Q228" s="2370"/>
      <c r="R228" s="2370"/>
      <c r="S228" s="2370"/>
      <c r="T228" s="2370"/>
    </row>
    <row r="229" spans="1:20">
      <c r="A229" s="2370"/>
      <c r="B229" s="2370"/>
      <c r="C229" s="2370"/>
      <c r="D229" s="2370"/>
      <c r="E229" s="2370"/>
      <c r="F229" s="2370"/>
      <c r="G229" s="2370"/>
      <c r="H229" s="2370"/>
      <c r="I229" s="2370"/>
      <c r="J229" s="2370"/>
      <c r="K229" s="2371"/>
      <c r="L229" s="2372"/>
      <c r="M229" s="2370"/>
      <c r="N229" s="2370"/>
      <c r="O229" s="2370"/>
      <c r="P229" s="2370"/>
      <c r="Q229" s="2370"/>
      <c r="R229" s="2370"/>
      <c r="S229" s="2370"/>
      <c r="T229" s="2370"/>
    </row>
    <row r="230" spans="1:20">
      <c r="A230" s="2370"/>
      <c r="B230" s="2370"/>
      <c r="C230" s="2370"/>
      <c r="D230" s="2370"/>
      <c r="E230" s="2370"/>
      <c r="F230" s="2370"/>
      <c r="G230" s="2370"/>
      <c r="H230" s="2370"/>
      <c r="I230" s="2370"/>
      <c r="J230" s="2370"/>
      <c r="K230" s="2371"/>
      <c r="L230" s="2372"/>
      <c r="M230" s="2370"/>
      <c r="N230" s="2370"/>
      <c r="O230" s="2370"/>
      <c r="P230" s="2370"/>
      <c r="Q230" s="2370"/>
      <c r="R230" s="2370"/>
      <c r="S230" s="2370"/>
      <c r="T230" s="2370"/>
    </row>
    <row r="231" spans="1:20">
      <c r="A231" s="2370"/>
      <c r="B231" s="2370"/>
      <c r="C231" s="2370"/>
      <c r="D231" s="2370"/>
      <c r="E231" s="2370"/>
      <c r="F231" s="2370"/>
      <c r="G231" s="2370"/>
      <c r="H231" s="2370"/>
      <c r="I231" s="2370"/>
      <c r="J231" s="2370"/>
      <c r="K231" s="2371"/>
      <c r="L231" s="2372"/>
      <c r="M231" s="2370"/>
      <c r="N231" s="2370"/>
      <c r="O231" s="2370"/>
      <c r="P231" s="2370"/>
      <c r="Q231" s="2370"/>
      <c r="R231" s="2370"/>
      <c r="S231" s="2370"/>
      <c r="T231" s="2370"/>
    </row>
    <row r="232" spans="1:20">
      <c r="A232" s="2370"/>
      <c r="B232" s="2370"/>
      <c r="C232" s="2370"/>
      <c r="D232" s="2370"/>
      <c r="E232" s="2370"/>
      <c r="F232" s="2370"/>
      <c r="G232" s="2370"/>
      <c r="H232" s="2370"/>
      <c r="I232" s="2370"/>
      <c r="J232" s="2370"/>
      <c r="K232" s="2371"/>
      <c r="L232" s="2372"/>
      <c r="M232" s="2370"/>
      <c r="N232" s="2370"/>
      <c r="O232" s="2370"/>
      <c r="P232" s="2370"/>
      <c r="Q232" s="2370"/>
      <c r="R232" s="2370"/>
      <c r="S232" s="2370"/>
      <c r="T232" s="2370"/>
    </row>
    <row r="233" spans="1:20">
      <c r="A233" s="2370"/>
      <c r="B233" s="2370"/>
      <c r="C233" s="2370"/>
      <c r="D233" s="2370"/>
      <c r="E233" s="2370"/>
      <c r="F233" s="2370"/>
      <c r="G233" s="2370"/>
      <c r="H233" s="2370"/>
      <c r="I233" s="2370"/>
      <c r="J233" s="2370"/>
      <c r="K233" s="2371"/>
      <c r="L233" s="2372"/>
      <c r="M233" s="2370"/>
      <c r="N233" s="2370"/>
      <c r="O233" s="2370"/>
      <c r="P233" s="2370"/>
      <c r="Q233" s="2370"/>
      <c r="R233" s="2370"/>
      <c r="S233" s="2370"/>
      <c r="T233" s="2370"/>
    </row>
    <row r="234" spans="1:20">
      <c r="A234" s="2370"/>
      <c r="B234" s="2370"/>
      <c r="C234" s="2370"/>
      <c r="D234" s="2370"/>
      <c r="E234" s="2370"/>
      <c r="F234" s="2370"/>
      <c r="G234" s="2370"/>
      <c r="H234" s="2370"/>
      <c r="I234" s="2370"/>
      <c r="J234" s="2370"/>
      <c r="K234" s="2371"/>
      <c r="L234" s="2372"/>
      <c r="M234" s="2370"/>
      <c r="N234" s="2370"/>
      <c r="O234" s="2370"/>
      <c r="P234" s="2370"/>
      <c r="Q234" s="2370"/>
      <c r="R234" s="2370"/>
      <c r="S234" s="2370"/>
      <c r="T234" s="2370"/>
    </row>
    <row r="235" spans="1:20">
      <c r="A235" s="2370"/>
      <c r="B235" s="2370"/>
      <c r="C235" s="2370"/>
      <c r="D235" s="2370"/>
      <c r="E235" s="2370"/>
      <c r="F235" s="2370"/>
      <c r="G235" s="2370"/>
      <c r="H235" s="2370"/>
      <c r="I235" s="2370"/>
      <c r="J235" s="2370"/>
      <c r="K235" s="2371"/>
      <c r="L235" s="2372"/>
      <c r="M235" s="2370"/>
      <c r="N235" s="2370"/>
      <c r="O235" s="2370"/>
      <c r="P235" s="2370"/>
      <c r="Q235" s="2370"/>
      <c r="R235" s="2370"/>
      <c r="S235" s="2370"/>
      <c r="T235" s="2370"/>
    </row>
    <row r="236" spans="1:20">
      <c r="A236" s="2370"/>
      <c r="B236" s="2370"/>
      <c r="C236" s="2370"/>
      <c r="D236" s="2370"/>
      <c r="E236" s="2370"/>
      <c r="F236" s="2370"/>
      <c r="G236" s="2370"/>
      <c r="H236" s="2370"/>
      <c r="I236" s="2370"/>
      <c r="J236" s="2370"/>
      <c r="K236" s="2371"/>
      <c r="L236" s="2372"/>
      <c r="M236" s="2370"/>
      <c r="N236" s="2370"/>
      <c r="O236" s="2370"/>
      <c r="P236" s="2370"/>
      <c r="Q236" s="2370"/>
      <c r="R236" s="2370"/>
      <c r="S236" s="2370"/>
      <c r="T236" s="2370"/>
    </row>
    <row r="237" spans="1:20">
      <c r="A237" s="2370"/>
      <c r="B237" s="2370"/>
      <c r="C237" s="2370"/>
      <c r="D237" s="2370"/>
      <c r="E237" s="2370"/>
      <c r="F237" s="2370"/>
      <c r="G237" s="2370"/>
      <c r="H237" s="2370"/>
      <c r="I237" s="2370"/>
      <c r="J237" s="2370"/>
      <c r="K237" s="2371"/>
      <c r="L237" s="2372"/>
      <c r="M237" s="2370"/>
      <c r="N237" s="2370"/>
      <c r="O237" s="2370"/>
      <c r="P237" s="2370"/>
      <c r="Q237" s="2370"/>
      <c r="R237" s="2370"/>
      <c r="S237" s="2370"/>
      <c r="T237" s="2370"/>
    </row>
    <row r="238" spans="1:20">
      <c r="A238" s="2370"/>
      <c r="B238" s="2370"/>
      <c r="C238" s="2370"/>
      <c r="D238" s="2370"/>
      <c r="E238" s="2370"/>
      <c r="F238" s="2370"/>
      <c r="G238" s="2370"/>
      <c r="H238" s="2370"/>
      <c r="I238" s="2370"/>
      <c r="J238" s="2370"/>
      <c r="K238" s="2371"/>
      <c r="L238" s="2372"/>
      <c r="M238" s="2370"/>
      <c r="N238" s="2370"/>
      <c r="O238" s="2370"/>
      <c r="P238" s="2370"/>
      <c r="Q238" s="2370"/>
      <c r="R238" s="2370"/>
      <c r="S238" s="2370"/>
      <c r="T238" s="2370"/>
    </row>
    <row r="239" spans="1:20">
      <c r="A239" s="2370"/>
      <c r="B239" s="2370"/>
      <c r="C239" s="2370"/>
      <c r="D239" s="2370"/>
      <c r="E239" s="2370"/>
      <c r="F239" s="2370"/>
      <c r="G239" s="2370"/>
      <c r="H239" s="2370"/>
      <c r="I239" s="2370"/>
      <c r="J239" s="2370"/>
      <c r="K239" s="2371"/>
      <c r="L239" s="2372"/>
      <c r="M239" s="2370"/>
      <c r="N239" s="2370"/>
      <c r="O239" s="2370"/>
      <c r="P239" s="2370"/>
      <c r="Q239" s="2370"/>
      <c r="R239" s="2370"/>
      <c r="S239" s="2370"/>
      <c r="T239" s="2370"/>
    </row>
    <row r="240" spans="1:20">
      <c r="A240" s="2370"/>
      <c r="B240" s="2370"/>
      <c r="C240" s="2370"/>
      <c r="D240" s="2370"/>
      <c r="E240" s="2370"/>
      <c r="F240" s="2370"/>
      <c r="G240" s="2370"/>
      <c r="H240" s="2370"/>
      <c r="I240" s="2370"/>
      <c r="J240" s="2370"/>
      <c r="K240" s="2371"/>
      <c r="L240" s="2372"/>
      <c r="M240" s="2370"/>
      <c r="N240" s="2370"/>
      <c r="O240" s="2370"/>
      <c r="P240" s="2370"/>
      <c r="Q240" s="2370"/>
      <c r="R240" s="2370"/>
      <c r="S240" s="2370"/>
      <c r="T240" s="2370"/>
    </row>
    <row r="241" spans="1:20">
      <c r="A241" s="2370"/>
      <c r="B241" s="2370"/>
      <c r="C241" s="2370"/>
      <c r="D241" s="2370"/>
      <c r="E241" s="2370"/>
      <c r="F241" s="2370"/>
      <c r="G241" s="2370"/>
      <c r="H241" s="2370"/>
      <c r="I241" s="2370"/>
      <c r="J241" s="2370"/>
      <c r="K241" s="2371"/>
      <c r="L241" s="2372"/>
      <c r="M241" s="2370"/>
      <c r="N241" s="2370"/>
      <c r="O241" s="2370"/>
      <c r="P241" s="2370"/>
      <c r="Q241" s="2370"/>
      <c r="R241" s="2370"/>
      <c r="S241" s="2370"/>
      <c r="T241" s="237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I7" sqref="I7"/>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477</v>
      </c>
      <c r="B1" s="738"/>
      <c r="C1" s="739" t="s">
        <v>478</v>
      </c>
      <c r="D1" s="1303"/>
      <c r="E1" s="1303"/>
      <c r="F1" s="1302" t="s">
        <v>385</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341</v>
      </c>
      <c r="B2" s="1080" t="e">
        <f>F66</f>
        <v>#DIV/0!</v>
      </c>
      <c r="C2" s="2339"/>
      <c r="D2" s="2339"/>
      <c r="E2" s="2340"/>
      <c r="F2" s="2341"/>
      <c r="G2" s="2340"/>
      <c r="H2" s="2340"/>
      <c r="I2" s="2340"/>
      <c r="J2" s="2340"/>
      <c r="K2" s="2342"/>
      <c r="L2" s="2343"/>
      <c r="M2" s="2344"/>
      <c r="N2" s="2344"/>
      <c r="O2" s="2344"/>
      <c r="P2" s="1316"/>
      <c r="Q2" s="1316"/>
      <c r="R2" s="1316"/>
      <c r="S2" s="1316"/>
      <c r="T2" s="1316"/>
      <c r="U2" s="1316"/>
      <c r="V2" s="1316"/>
      <c r="W2" s="1316"/>
      <c r="X2" s="1316"/>
      <c r="Y2" s="1316"/>
      <c r="Z2" s="1316"/>
      <c r="AA2" s="1316"/>
      <c r="AB2" s="1316"/>
      <c r="AC2" s="1317"/>
      <c r="AD2" s="740"/>
    </row>
    <row r="3" spans="1:30" s="741" customFormat="1" ht="28.5" customHeight="1" thickBot="1">
      <c r="A3" s="579" t="s">
        <v>342</v>
      </c>
      <c r="B3" s="952" t="e">
        <f>ROUND(IF(D3="",B2*10000/'数据-汇总表'!E3,B2*10000/D3),0)</f>
        <v>#DIV/0!</v>
      </c>
      <c r="C3" s="579" t="s">
        <v>2886</v>
      </c>
      <c r="D3" s="3054"/>
      <c r="E3" s="2340"/>
      <c r="F3" s="2341"/>
      <c r="G3" s="2340"/>
      <c r="H3" s="2340"/>
      <c r="I3" s="2340"/>
      <c r="J3" s="2340"/>
      <c r="K3" s="2342"/>
      <c r="L3" s="2343"/>
      <c r="M3" s="2344"/>
      <c r="N3" s="2344"/>
      <c r="O3" s="2344"/>
      <c r="P3" s="1316"/>
      <c r="Q3" s="1316"/>
      <c r="R3" s="1316"/>
      <c r="S3" s="1316"/>
      <c r="T3" s="1316"/>
      <c r="U3" s="1316"/>
      <c r="V3" s="1316"/>
      <c r="W3" s="1316"/>
      <c r="X3" s="1316"/>
      <c r="Y3" s="1316"/>
      <c r="Z3" s="1316"/>
      <c r="AA3" s="1316"/>
      <c r="AB3" s="1409"/>
      <c r="AC3" s="1399"/>
    </row>
    <row r="4" spans="1:30" ht="15">
      <c r="A4" s="744" t="s">
        <v>386</v>
      </c>
      <c r="B4" s="745"/>
      <c r="C4" s="3674" t="s">
        <v>387</v>
      </c>
      <c r="D4" s="3675"/>
      <c r="E4" s="3676" t="s">
        <v>388</v>
      </c>
      <c r="F4" s="3677"/>
      <c r="G4" s="3674" t="s">
        <v>389</v>
      </c>
      <c r="H4" s="3675"/>
      <c r="I4" s="3674" t="s">
        <v>390</v>
      </c>
      <c r="J4" s="3675"/>
      <c r="K4" s="953" t="s">
        <v>391</v>
      </c>
      <c r="L4" s="2345"/>
      <c r="M4" s="2346"/>
      <c r="N4" s="2346"/>
      <c r="O4" s="2346"/>
      <c r="P4" s="3678" t="s">
        <v>392</v>
      </c>
      <c r="Q4" s="3679"/>
      <c r="R4" s="3661" t="s">
        <v>388</v>
      </c>
      <c r="S4" s="3662"/>
      <c r="T4" s="3661" t="s">
        <v>389</v>
      </c>
      <c r="U4" s="3662"/>
      <c r="V4" s="3686" t="s">
        <v>390</v>
      </c>
      <c r="W4" s="3686"/>
      <c r="X4" s="1318"/>
      <c r="Y4" s="3661" t="s">
        <v>392</v>
      </c>
      <c r="Z4" s="3662"/>
      <c r="AA4" s="3656" t="s">
        <v>388</v>
      </c>
      <c r="AB4" s="3657" t="s">
        <v>389</v>
      </c>
      <c r="AC4" s="3656" t="s">
        <v>390</v>
      </c>
    </row>
    <row r="5" spans="1:30" ht="15">
      <c r="A5" s="747"/>
      <c r="B5" s="748"/>
      <c r="C5" s="3605" t="s">
        <v>1121</v>
      </c>
      <c r="D5" s="3606"/>
      <c r="E5" s="3603" t="s">
        <v>1122</v>
      </c>
      <c r="F5" s="3604"/>
      <c r="G5" s="3605" t="s">
        <v>1125</v>
      </c>
      <c r="H5" s="3606"/>
      <c r="I5" s="3605" t="s">
        <v>1123</v>
      </c>
      <c r="J5" s="3606"/>
      <c r="K5" s="953"/>
      <c r="L5" s="2345"/>
      <c r="M5" s="2346"/>
      <c r="N5" s="2346"/>
      <c r="O5" s="2346"/>
      <c r="P5" s="3680"/>
      <c r="Q5" s="3681"/>
      <c r="R5" s="3663"/>
      <c r="S5" s="3664"/>
      <c r="T5" s="3663"/>
      <c r="U5" s="3664"/>
      <c r="V5" s="3686"/>
      <c r="W5" s="3686"/>
      <c r="X5" s="1318"/>
      <c r="Y5" s="3663"/>
      <c r="Z5" s="3664"/>
      <c r="AA5" s="3657"/>
      <c r="AB5" s="3657"/>
      <c r="AC5" s="3657"/>
    </row>
    <row r="6" spans="1:30" ht="15.75" thickBot="1">
      <c r="A6" s="749"/>
      <c r="B6" s="750"/>
      <c r="C6" s="3607" t="s">
        <v>1124</v>
      </c>
      <c r="D6" s="3608"/>
      <c r="E6" s="3609" t="s">
        <v>1124</v>
      </c>
      <c r="F6" s="3610"/>
      <c r="G6" s="3607" t="s">
        <v>1124</v>
      </c>
      <c r="H6" s="3608"/>
      <c r="I6" s="3607" t="s">
        <v>1124</v>
      </c>
      <c r="J6" s="3608"/>
      <c r="K6" s="953" t="s">
        <v>393</v>
      </c>
      <c r="L6" s="2345"/>
      <c r="M6" s="2346"/>
      <c r="N6" s="2346"/>
      <c r="O6" s="2346"/>
      <c r="P6" s="3682"/>
      <c r="Q6" s="3683"/>
      <c r="R6" s="3663"/>
      <c r="S6" s="3664"/>
      <c r="T6" s="3684"/>
      <c r="U6" s="3685"/>
      <c r="V6" s="3686"/>
      <c r="W6" s="3686"/>
      <c r="X6" s="1318"/>
      <c r="Y6" s="3684"/>
      <c r="Z6" s="3685"/>
      <c r="AA6" s="3658"/>
      <c r="AB6" s="3658"/>
      <c r="AC6" s="3658"/>
    </row>
    <row r="7" spans="1:30" s="407" customFormat="1" ht="15.75" thickBot="1">
      <c r="A7" s="751" t="s">
        <v>394</v>
      </c>
      <c r="B7" s="752"/>
      <c r="C7" s="753">
        <f>'数据-取费表'!B2</f>
        <v>42956</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47"/>
      <c r="M7" s="2348"/>
      <c r="N7" s="2348"/>
      <c r="O7" s="2348"/>
      <c r="P7" s="3659" t="s">
        <v>395</v>
      </c>
      <c r="Q7" s="3687"/>
      <c r="R7" s="1319" t="s">
        <v>61</v>
      </c>
      <c r="S7" s="1320">
        <f t="shared" ref="S7:S15" si="0">F7</f>
        <v>0</v>
      </c>
      <c r="T7" s="1319" t="s">
        <v>61</v>
      </c>
      <c r="U7" s="1320">
        <f t="shared" ref="U7:U15" si="1">H7</f>
        <v>0</v>
      </c>
      <c r="V7" s="1319" t="s">
        <v>61</v>
      </c>
      <c r="W7" s="1320">
        <f t="shared" ref="W7:W15" si="2">J7</f>
        <v>0</v>
      </c>
      <c r="X7" s="1321"/>
      <c r="Y7" s="3659" t="s">
        <v>395</v>
      </c>
      <c r="Z7" s="3660"/>
      <c r="AA7" s="1322" t="e">
        <f>D7/F7</f>
        <v>#DIV/0!</v>
      </c>
      <c r="AB7" s="1322" t="e">
        <f>D7/H7</f>
        <v>#DIV/0!</v>
      </c>
      <c r="AC7" s="1322" t="e">
        <f>D7/J7</f>
        <v>#DIV/0!</v>
      </c>
    </row>
    <row r="8" spans="1:30" s="407" customFormat="1" ht="15.75" thickBot="1">
      <c r="A8" s="751" t="s">
        <v>396</v>
      </c>
      <c r="B8" s="752"/>
      <c r="C8" s="1020" t="s">
        <v>151</v>
      </c>
      <c r="D8" s="754">
        <v>100</v>
      </c>
      <c r="E8" s="1020"/>
      <c r="F8" s="756">
        <f>SUMIF(73:73,E8,74:74)-SUMIF(73:73,C8,74:74)+100</f>
        <v>0</v>
      </c>
      <c r="G8" s="1020"/>
      <c r="H8" s="754">
        <f>SUMIF(73:73,G8,74:74)-SUMIF(73:73,C8,74:74)+100</f>
        <v>0</v>
      </c>
      <c r="I8" s="1020"/>
      <c r="J8" s="754">
        <f>SUMIF(73:73,I8,74:74)-SUMIF(73:73,C8,74:74)+100</f>
        <v>0</v>
      </c>
      <c r="K8" s="954"/>
      <c r="L8" s="2347"/>
      <c r="M8" s="2348"/>
      <c r="N8" s="2348"/>
      <c r="O8" s="2348"/>
      <c r="P8" s="3659" t="s">
        <v>431</v>
      </c>
      <c r="Q8" s="3660"/>
      <c r="R8" s="1319" t="s">
        <v>61</v>
      </c>
      <c r="S8" s="1320">
        <f t="shared" si="0"/>
        <v>0</v>
      </c>
      <c r="T8" s="1319" t="s">
        <v>61</v>
      </c>
      <c r="U8" s="1320">
        <f t="shared" si="1"/>
        <v>0</v>
      </c>
      <c r="V8" s="1319" t="s">
        <v>61</v>
      </c>
      <c r="W8" s="1320">
        <f t="shared" si="2"/>
        <v>0</v>
      </c>
      <c r="X8" s="1321"/>
      <c r="Y8" s="3659" t="s">
        <v>431</v>
      </c>
      <c r="Z8" s="3660"/>
      <c r="AA8" s="1322" t="e">
        <f t="shared" ref="AA8:AA45" si="3">D8/F8</f>
        <v>#DIV/0!</v>
      </c>
      <c r="AB8" s="1322" t="e">
        <f t="shared" ref="AB8:AB45" si="4">D8/H8</f>
        <v>#DIV/0!</v>
      </c>
      <c r="AC8" s="1322" t="e">
        <f t="shared" ref="AC8:AC45" si="5">D8/J8</f>
        <v>#DIV/0!</v>
      </c>
    </row>
    <row r="9" spans="1:30" s="407" customFormat="1">
      <c r="A9" s="758" t="s">
        <v>397</v>
      </c>
      <c r="B9" s="361" t="s">
        <v>415</v>
      </c>
      <c r="C9" s="1022"/>
      <c r="D9" s="425">
        <v>100</v>
      </c>
      <c r="E9" s="1022"/>
      <c r="F9" s="425">
        <f>SUMIF(75:75,E9,76:76)-SUMIF(75:75,C9,76:76)+100</f>
        <v>100</v>
      </c>
      <c r="G9" s="1022"/>
      <c r="H9" s="425">
        <f>SUMIF(75:75,G9,76:76)-SUMIF(75:75,C9,76:76)+100</f>
        <v>100</v>
      </c>
      <c r="I9" s="1022"/>
      <c r="J9" s="425">
        <f>SUMIF(75:75,I9,76:76)-SUMIF(75:75,C9,76:76)+100</f>
        <v>100</v>
      </c>
      <c r="K9" s="954"/>
      <c r="L9" s="2347"/>
      <c r="M9" s="2348"/>
      <c r="N9" s="2348"/>
      <c r="O9" s="2349"/>
      <c r="P9" s="3673" t="s">
        <v>398</v>
      </c>
      <c r="Q9" s="296" t="str">
        <f t="shared" ref="Q9:Q15" si="6">B9</f>
        <v>用途</v>
      </c>
      <c r="R9" s="1319" t="s">
        <v>61</v>
      </c>
      <c r="S9" s="1320">
        <f t="shared" si="0"/>
        <v>100</v>
      </c>
      <c r="T9" s="1319" t="s">
        <v>61</v>
      </c>
      <c r="U9" s="1320">
        <f t="shared" si="1"/>
        <v>100</v>
      </c>
      <c r="V9" s="1319" t="s">
        <v>61</v>
      </c>
      <c r="W9" s="1320">
        <f t="shared" si="2"/>
        <v>100</v>
      </c>
      <c r="X9" s="1321"/>
      <c r="Y9" s="3541" t="s">
        <v>399</v>
      </c>
      <c r="Z9" s="344" t="str">
        <f t="shared" ref="Z9:Z15" si="7">Q9</f>
        <v>用途</v>
      </c>
      <c r="AA9" s="1322">
        <f t="shared" si="3"/>
        <v>1</v>
      </c>
      <c r="AB9" s="1322">
        <f t="shared" si="4"/>
        <v>1</v>
      </c>
      <c r="AC9" s="1322">
        <f t="shared" si="5"/>
        <v>1</v>
      </c>
    </row>
    <row r="10" spans="1:30" s="770" customFormat="1" ht="27">
      <c r="A10" s="764"/>
      <c r="B10" s="765" t="s">
        <v>400</v>
      </c>
      <c r="C10" s="775"/>
      <c r="D10" s="426">
        <v>100</v>
      </c>
      <c r="E10" s="808"/>
      <c r="F10" s="426">
        <f>ROUND(100/'数据-取费表'!G16,0)</f>
        <v>104</v>
      </c>
      <c r="G10" s="806"/>
      <c r="H10" s="426">
        <f>ROUND(100/'数据-取费表'!G16,0)</f>
        <v>104</v>
      </c>
      <c r="I10" s="806"/>
      <c r="J10" s="426">
        <f>ROUND(100/'数据-取费表'!G16,0)</f>
        <v>104</v>
      </c>
      <c r="K10" s="1081"/>
      <c r="L10" s="2350"/>
      <c r="M10" s="2351"/>
      <c r="N10" s="2351"/>
      <c r="O10" s="2352"/>
      <c r="P10" s="3673"/>
      <c r="Q10" s="296" t="str">
        <f t="shared" si="6"/>
        <v>土地使用年限（年）</v>
      </c>
      <c r="R10" s="1319" t="s">
        <v>61</v>
      </c>
      <c r="S10" s="1320">
        <f t="shared" si="0"/>
        <v>104</v>
      </c>
      <c r="T10" s="1319" t="s">
        <v>61</v>
      </c>
      <c r="U10" s="1320">
        <f t="shared" si="1"/>
        <v>104</v>
      </c>
      <c r="V10" s="1319" t="s">
        <v>61</v>
      </c>
      <c r="W10" s="1320">
        <f t="shared" si="2"/>
        <v>104</v>
      </c>
      <c r="X10" s="1321"/>
      <c r="Y10" s="3541"/>
      <c r="Z10" s="344" t="str">
        <f t="shared" si="7"/>
        <v>土地使用年限（年）</v>
      </c>
      <c r="AA10" s="1322">
        <f t="shared" si="3"/>
        <v>0.96153846153846156</v>
      </c>
      <c r="AB10" s="1322">
        <f t="shared" si="4"/>
        <v>0.96153846153846156</v>
      </c>
      <c r="AC10" s="1322">
        <f t="shared" si="5"/>
        <v>0.96153846153846156</v>
      </c>
    </row>
    <row r="11" spans="1:30" ht="15">
      <c r="A11" s="771"/>
      <c r="B11" s="765" t="s">
        <v>401</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3"/>
      <c r="M11" s="2346"/>
      <c r="N11" s="2346"/>
      <c r="O11" s="2354"/>
      <c r="P11" s="3673"/>
      <c r="Q11" s="296" t="str">
        <f t="shared" si="6"/>
        <v>容积率</v>
      </c>
      <c r="R11" s="1319" t="s">
        <v>61</v>
      </c>
      <c r="S11" s="1320" t="e">
        <f t="shared" si="0"/>
        <v>#N/A</v>
      </c>
      <c r="T11" s="1319" t="s">
        <v>61</v>
      </c>
      <c r="U11" s="1320" t="e">
        <f t="shared" si="1"/>
        <v>#N/A</v>
      </c>
      <c r="V11" s="1319" t="s">
        <v>61</v>
      </c>
      <c r="W11" s="1320" t="e">
        <f t="shared" si="2"/>
        <v>#N/A</v>
      </c>
      <c r="X11" s="1321"/>
      <c r="Y11" s="3541"/>
      <c r="Z11" s="344" t="str">
        <f t="shared" si="7"/>
        <v>容积率</v>
      </c>
      <c r="AA11" s="1322" t="e">
        <f t="shared" si="3"/>
        <v>#N/A</v>
      </c>
      <c r="AB11" s="1322" t="e">
        <f t="shared" si="4"/>
        <v>#N/A</v>
      </c>
      <c r="AC11" s="1322" t="e">
        <f t="shared" si="5"/>
        <v>#N/A</v>
      </c>
    </row>
    <row r="12" spans="1:30" s="407" customFormat="1" ht="15">
      <c r="A12" s="774"/>
      <c r="B12" s="1031" t="s">
        <v>156</v>
      </c>
      <c r="C12" s="1024"/>
      <c r="D12" s="776">
        <v>100</v>
      </c>
      <c r="E12" s="1026"/>
      <c r="F12" s="426">
        <f>SUMIF(82:82,E12,83:83)-SUMIF(82:82,C12,83:83)+100</f>
        <v>100</v>
      </c>
      <c r="G12" s="1027"/>
      <c r="H12" s="426">
        <f>SUMIF(82:82,G12,83:83)-SUMIF(82:82,C12,83:83)+100</f>
        <v>100</v>
      </c>
      <c r="I12" s="1026"/>
      <c r="J12" s="426">
        <f>SUMIF(82:82,I12,83:83)-SUMIF(82:82,C12,83:83)+100</f>
        <v>100</v>
      </c>
      <c r="K12" s="1081"/>
      <c r="L12" s="2347"/>
      <c r="M12" s="2348"/>
      <c r="N12" s="2348"/>
      <c r="O12" s="2349"/>
      <c r="P12" s="3673"/>
      <c r="Q12" s="296" t="str">
        <f t="shared" si="6"/>
        <v>配建</v>
      </c>
      <c r="R12" s="1319" t="s">
        <v>61</v>
      </c>
      <c r="S12" s="1320">
        <f t="shared" si="0"/>
        <v>100</v>
      </c>
      <c r="T12" s="1319" t="s">
        <v>61</v>
      </c>
      <c r="U12" s="1320">
        <f t="shared" si="1"/>
        <v>100</v>
      </c>
      <c r="V12" s="1319" t="s">
        <v>61</v>
      </c>
      <c r="W12" s="1320">
        <f t="shared" si="2"/>
        <v>100</v>
      </c>
      <c r="X12" s="1321"/>
      <c r="Y12" s="3541"/>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5"/>
      <c r="M13" s="2346"/>
      <c r="N13" s="2346"/>
      <c r="O13" s="2354"/>
      <c r="P13" s="3673"/>
      <c r="Q13" s="296">
        <f t="shared" si="6"/>
        <v>111</v>
      </c>
      <c r="R13" s="1319" t="s">
        <v>61</v>
      </c>
      <c r="S13" s="1320">
        <f t="shared" si="0"/>
        <v>100</v>
      </c>
      <c r="T13" s="1319" t="s">
        <v>61</v>
      </c>
      <c r="U13" s="1320">
        <f t="shared" si="1"/>
        <v>100</v>
      </c>
      <c r="V13" s="1319" t="s">
        <v>61</v>
      </c>
      <c r="W13" s="1320">
        <f t="shared" si="2"/>
        <v>100</v>
      </c>
      <c r="X13" s="1321"/>
      <c r="Y13" s="3541"/>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5"/>
      <c r="M14" s="2346"/>
      <c r="N14" s="2346"/>
      <c r="O14" s="2354"/>
      <c r="P14" s="3673"/>
      <c r="Q14" s="296">
        <f t="shared" si="6"/>
        <v>111</v>
      </c>
      <c r="R14" s="1319" t="s">
        <v>61</v>
      </c>
      <c r="S14" s="1320">
        <f t="shared" si="0"/>
        <v>100</v>
      </c>
      <c r="T14" s="1319" t="s">
        <v>61</v>
      </c>
      <c r="U14" s="1320">
        <f t="shared" si="1"/>
        <v>100</v>
      </c>
      <c r="V14" s="1319" t="s">
        <v>61</v>
      </c>
      <c r="W14" s="1320">
        <f t="shared" si="2"/>
        <v>100</v>
      </c>
      <c r="X14" s="1321"/>
      <c r="Y14" s="3541"/>
      <c r="Z14" s="344">
        <f t="shared" si="7"/>
        <v>111</v>
      </c>
      <c r="AA14" s="1322">
        <f>D14/F14</f>
        <v>1</v>
      </c>
      <c r="AB14" s="1322">
        <f>D14/H14</f>
        <v>1</v>
      </c>
      <c r="AC14" s="1322">
        <f>D14/J14</f>
        <v>1</v>
      </c>
    </row>
    <row r="15" spans="1:30" ht="94.5">
      <c r="A15" s="783" t="s">
        <v>402</v>
      </c>
      <c r="B15" s="359" t="s">
        <v>282</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5"/>
      <c r="M15" s="2346"/>
      <c r="N15" s="2346"/>
      <c r="O15" s="2354"/>
      <c r="P15" s="3688" t="s">
        <v>403</v>
      </c>
      <c r="Q15" s="1323" t="str">
        <f t="shared" si="6"/>
        <v>居住社区成熟度</v>
      </c>
      <c r="R15" s="1324" t="s">
        <v>61</v>
      </c>
      <c r="S15" s="1325">
        <f t="shared" si="0"/>
        <v>100</v>
      </c>
      <c r="T15" s="1324" t="s">
        <v>61</v>
      </c>
      <c r="U15" s="1325">
        <f t="shared" si="1"/>
        <v>100</v>
      </c>
      <c r="V15" s="1324" t="s">
        <v>61</v>
      </c>
      <c r="W15" s="1325">
        <f t="shared" si="2"/>
        <v>100</v>
      </c>
      <c r="X15" s="1318"/>
      <c r="Y15" s="3688" t="s">
        <v>403</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5"/>
      <c r="M16" s="2346"/>
      <c r="N16" s="2346"/>
      <c r="O16" s="2354"/>
      <c r="P16" s="3689"/>
      <c r="Q16" s="1323"/>
      <c r="R16" s="1324"/>
      <c r="S16" s="1325"/>
      <c r="T16" s="1324"/>
      <c r="U16" s="1325"/>
      <c r="V16" s="1324"/>
      <c r="W16" s="1325"/>
      <c r="X16" s="1318"/>
      <c r="Y16" s="3689"/>
      <c r="Z16" s="1326"/>
      <c r="AA16" s="1327">
        <v>1</v>
      </c>
      <c r="AB16" s="1327">
        <v>1</v>
      </c>
      <c r="AC16" s="1327">
        <v>1</v>
      </c>
    </row>
    <row r="17" spans="1:29" ht="81">
      <c r="A17" s="771"/>
      <c r="B17" s="794" t="s">
        <v>432</v>
      </c>
      <c r="C17" s="190" t="str">
        <f>估价对象房地状况!C16</f>
        <v>估价对象位于科技园商圈，周边商业氛围一般，人流量一般，商业繁华度一般</v>
      </c>
      <c r="D17" s="793">
        <v>100</v>
      </c>
      <c r="E17" s="795"/>
      <c r="F17" s="793">
        <f>SUMIF(90:90,E18,91:91)-SUMIF(90:90,C18,91:91)+100</f>
        <v>100</v>
      </c>
      <c r="G17" s="795"/>
      <c r="H17" s="798">
        <f>SUMIF(90:90,G18,91:91)-SUMIF(90:90,C18,91:91)+100</f>
        <v>100</v>
      </c>
      <c r="I17" s="797"/>
      <c r="J17" s="798">
        <f>SUMIF(90:90,I18,91:91)-SUMIF(90:90,C18,91:91)+100</f>
        <v>100</v>
      </c>
      <c r="K17" s="1082"/>
      <c r="L17" s="2355"/>
      <c r="M17" s="2346"/>
      <c r="N17" s="2346"/>
      <c r="O17" s="2354"/>
      <c r="P17" s="3689"/>
      <c r="Q17" s="1323" t="str">
        <f>B17</f>
        <v>商业繁华度</v>
      </c>
      <c r="R17" s="1324" t="s">
        <v>61</v>
      </c>
      <c r="S17" s="1325">
        <f>F17</f>
        <v>100</v>
      </c>
      <c r="T17" s="1324" t="s">
        <v>61</v>
      </c>
      <c r="U17" s="1325">
        <f>H17</f>
        <v>100</v>
      </c>
      <c r="V17" s="1324" t="s">
        <v>61</v>
      </c>
      <c r="W17" s="1325">
        <f>J17</f>
        <v>100</v>
      </c>
      <c r="X17" s="1318"/>
      <c r="Y17" s="3689"/>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5"/>
      <c r="M18" s="2346"/>
      <c r="N18" s="2346"/>
      <c r="O18" s="2354"/>
      <c r="P18" s="3689"/>
      <c r="Q18" s="1323"/>
      <c r="R18" s="1324"/>
      <c r="S18" s="1325"/>
      <c r="T18" s="1324"/>
      <c r="U18" s="1325"/>
      <c r="V18" s="1324"/>
      <c r="W18" s="1325"/>
      <c r="X18" s="1318"/>
      <c r="Y18" s="3689"/>
      <c r="Z18" s="1326"/>
      <c r="AA18" s="1327">
        <v>1</v>
      </c>
      <c r="AB18" s="1327">
        <v>1</v>
      </c>
      <c r="AC18" s="1327">
        <v>1</v>
      </c>
    </row>
    <row r="19" spans="1:29" ht="94.5">
      <c r="A19" s="771"/>
      <c r="B19" s="794" t="s">
        <v>437</v>
      </c>
      <c r="C19" s="190" t="str">
        <f>估价对象房地状况!C17</f>
        <v>估价对象位于丰台科技园商圈，周边办公楼项目较多，入驻率高，办公集聚程度较好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5"/>
      <c r="M19" s="2346"/>
      <c r="N19" s="2346"/>
      <c r="O19" s="2354"/>
      <c r="P19" s="3689"/>
      <c r="Q19" s="1323" t="str">
        <f>B19</f>
        <v>办公集聚程度</v>
      </c>
      <c r="R19" s="1324" t="s">
        <v>61</v>
      </c>
      <c r="S19" s="1325">
        <f>F19</f>
        <v>100</v>
      </c>
      <c r="T19" s="1324" t="s">
        <v>61</v>
      </c>
      <c r="U19" s="1325">
        <f>H19</f>
        <v>100</v>
      </c>
      <c r="V19" s="1324" t="s">
        <v>61</v>
      </c>
      <c r="W19" s="1325">
        <f>J19</f>
        <v>100</v>
      </c>
      <c r="X19" s="1318"/>
      <c r="Y19" s="3689"/>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5"/>
      <c r="M20" s="2346"/>
      <c r="N20" s="2346"/>
      <c r="O20" s="2354"/>
      <c r="P20" s="3689"/>
      <c r="Q20" s="1323"/>
      <c r="R20" s="1324"/>
      <c r="S20" s="1325"/>
      <c r="T20" s="1324"/>
      <c r="U20" s="1325"/>
      <c r="V20" s="1324"/>
      <c r="W20" s="1325"/>
      <c r="X20" s="1318"/>
      <c r="Y20" s="3689"/>
      <c r="Z20" s="1326"/>
      <c r="AA20" s="1327">
        <v>1</v>
      </c>
      <c r="AB20" s="1327">
        <v>1</v>
      </c>
      <c r="AC20" s="1327">
        <v>1</v>
      </c>
    </row>
    <row r="21" spans="1:29" ht="94.5">
      <c r="A21" s="771"/>
      <c r="B21" s="794" t="s">
        <v>452</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5"/>
      <c r="M21" s="2346"/>
      <c r="N21" s="2346"/>
      <c r="O21" s="2354"/>
      <c r="P21" s="3689"/>
      <c r="Q21" s="1323" t="str">
        <f>B21</f>
        <v>交通便捷度</v>
      </c>
      <c r="R21" s="1324" t="s">
        <v>61</v>
      </c>
      <c r="S21" s="1325">
        <f>F21</f>
        <v>100</v>
      </c>
      <c r="T21" s="1324" t="s">
        <v>61</v>
      </c>
      <c r="U21" s="1325">
        <f>H21</f>
        <v>100</v>
      </c>
      <c r="V21" s="1324" t="s">
        <v>61</v>
      </c>
      <c r="W21" s="1325">
        <f>J21</f>
        <v>100</v>
      </c>
      <c r="X21" s="1318"/>
      <c r="Y21" s="3689"/>
      <c r="Z21" s="1326" t="str">
        <f>Q21</f>
        <v>交通便捷度</v>
      </c>
      <c r="AA21" s="1327">
        <f t="shared" si="3"/>
        <v>1</v>
      </c>
      <c r="AB21" s="1327">
        <f t="shared" si="4"/>
        <v>1</v>
      </c>
      <c r="AC21" s="1327">
        <f t="shared" si="5"/>
        <v>1</v>
      </c>
    </row>
    <row r="22" spans="1:29" ht="15">
      <c r="A22" s="771"/>
      <c r="B22" s="2766"/>
      <c r="C22" s="97"/>
      <c r="D22" s="793"/>
      <c r="E22" s="98"/>
      <c r="F22" s="791"/>
      <c r="G22" s="98"/>
      <c r="H22" s="791"/>
      <c r="I22" s="99"/>
      <c r="J22" s="791"/>
      <c r="K22" s="1081"/>
      <c r="L22" s="2355"/>
      <c r="M22" s="2346"/>
      <c r="N22" s="2346"/>
      <c r="O22" s="2354"/>
      <c r="P22" s="3689"/>
      <c r="Q22" s="1323"/>
      <c r="R22" s="1324"/>
      <c r="S22" s="1325"/>
      <c r="T22" s="1324"/>
      <c r="U22" s="1325"/>
      <c r="V22" s="1324"/>
      <c r="W22" s="1325"/>
      <c r="X22" s="1318"/>
      <c r="Y22" s="3689"/>
      <c r="Z22" s="1326"/>
      <c r="AA22" s="1327">
        <v>1</v>
      </c>
      <c r="AB22" s="1327">
        <v>1</v>
      </c>
      <c r="AC22" s="1327">
        <v>1</v>
      </c>
    </row>
    <row r="23" spans="1:29" ht="27">
      <c r="A23" s="747"/>
      <c r="B23" s="794" t="s">
        <v>479</v>
      </c>
      <c r="C23" s="2771">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5"/>
      <c r="M23" s="2346"/>
      <c r="N23" s="2346"/>
      <c r="O23" s="2354"/>
      <c r="P23" s="3689"/>
      <c r="Q23" s="1323" t="str">
        <f t="shared" ref="Q23:Q37" si="8">B23</f>
        <v>区域土地利用方向</v>
      </c>
      <c r="R23" s="1324" t="s">
        <v>61</v>
      </c>
      <c r="S23" s="1325">
        <f>F23</f>
        <v>100</v>
      </c>
      <c r="T23" s="1324" t="s">
        <v>61</v>
      </c>
      <c r="U23" s="1325">
        <f>H23</f>
        <v>100</v>
      </c>
      <c r="V23" s="1324" t="s">
        <v>61</v>
      </c>
      <c r="W23" s="1325">
        <f>J23</f>
        <v>100</v>
      </c>
      <c r="X23" s="1318"/>
      <c r="Y23" s="3689"/>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2"/>
      <c r="L24" s="2355"/>
      <c r="M24" s="2346"/>
      <c r="N24" s="2346"/>
      <c r="O24" s="2354"/>
      <c r="P24" s="3689"/>
      <c r="Q24" s="1470"/>
      <c r="R24" s="1324"/>
      <c r="S24" s="1325"/>
      <c r="T24" s="1324"/>
      <c r="U24" s="1325"/>
      <c r="V24" s="1324"/>
      <c r="W24" s="1325"/>
      <c r="X24" s="1469"/>
      <c r="Y24" s="3689"/>
      <c r="Z24" s="1471"/>
      <c r="AA24" s="1327"/>
      <c r="AB24" s="1327"/>
      <c r="AC24" s="1327"/>
    </row>
    <row r="25" spans="1:29" ht="54">
      <c r="A25" s="747"/>
      <c r="B25" s="2766" t="s">
        <v>480</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5"/>
      <c r="M25" s="2346"/>
      <c r="N25" s="2346"/>
      <c r="O25" s="2354"/>
      <c r="P25" s="3689"/>
      <c r="Q25" s="1323" t="str">
        <f t="shared" si="8"/>
        <v>自然及人文环境状况</v>
      </c>
      <c r="R25" s="1324" t="s">
        <v>61</v>
      </c>
      <c r="S25" s="1325">
        <f>F25</f>
        <v>100</v>
      </c>
      <c r="T25" s="1324" t="s">
        <v>61</v>
      </c>
      <c r="U25" s="1325">
        <f>H25</f>
        <v>100</v>
      </c>
      <c r="V25" s="1324" t="s">
        <v>61</v>
      </c>
      <c r="W25" s="1325">
        <f>J25</f>
        <v>100</v>
      </c>
      <c r="X25" s="1318"/>
      <c r="Y25" s="3689"/>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5"/>
      <c r="M26" s="2346"/>
      <c r="N26" s="2346"/>
      <c r="O26" s="2354"/>
      <c r="P26" s="3689"/>
      <c r="Q26" s="1323"/>
      <c r="R26" s="1324"/>
      <c r="S26" s="1325"/>
      <c r="T26" s="1324"/>
      <c r="U26" s="1325"/>
      <c r="V26" s="1324"/>
      <c r="W26" s="1325"/>
      <c r="X26" s="1318"/>
      <c r="Y26" s="3689"/>
      <c r="Z26" s="1326"/>
      <c r="AA26" s="1327">
        <v>1</v>
      </c>
      <c r="AB26" s="1327">
        <v>1</v>
      </c>
      <c r="AC26" s="1327">
        <v>1</v>
      </c>
    </row>
    <row r="27" spans="1:29" s="407" customFormat="1" ht="40.5">
      <c r="A27" s="992"/>
      <c r="B27" s="1412" t="s">
        <v>2666</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47"/>
      <c r="M27" s="2348"/>
      <c r="N27" s="2348"/>
      <c r="O27" s="2349"/>
      <c r="P27" s="3689"/>
      <c r="Q27" s="296" t="str">
        <f t="shared" si="8"/>
        <v>公共配套设施</v>
      </c>
      <c r="R27" s="1319" t="s">
        <v>61</v>
      </c>
      <c r="S27" s="1320">
        <f>F27</f>
        <v>100</v>
      </c>
      <c r="T27" s="1319" t="s">
        <v>61</v>
      </c>
      <c r="U27" s="1320">
        <f>H27</f>
        <v>100</v>
      </c>
      <c r="V27" s="1319" t="s">
        <v>61</v>
      </c>
      <c r="W27" s="1320">
        <f>J27</f>
        <v>100</v>
      </c>
      <c r="X27" s="1321"/>
      <c r="Y27" s="3689"/>
      <c r="Z27" s="344" t="str">
        <f>Q27</f>
        <v>公共配套设施</v>
      </c>
      <c r="AA27" s="1327">
        <f>D27/F27</f>
        <v>1</v>
      </c>
      <c r="AB27" s="1327">
        <f>D27/H27</f>
        <v>1</v>
      </c>
      <c r="AC27" s="1327">
        <f>D27/J27</f>
        <v>1</v>
      </c>
    </row>
    <row r="28" spans="1:29" s="407" customFormat="1" ht="15">
      <c r="A28" s="992"/>
      <c r="B28" s="799"/>
      <c r="C28" s="2772"/>
      <c r="D28" s="791"/>
      <c r="E28" s="192"/>
      <c r="F28" s="791"/>
      <c r="G28" s="192"/>
      <c r="H28" s="791"/>
      <c r="I28" s="97"/>
      <c r="J28" s="791"/>
      <c r="K28" s="1081"/>
      <c r="L28" s="2347"/>
      <c r="M28" s="2348"/>
      <c r="N28" s="2348"/>
      <c r="O28" s="2349"/>
      <c r="P28" s="3689"/>
      <c r="Q28" s="296"/>
      <c r="R28" s="1319"/>
      <c r="S28" s="1320"/>
      <c r="T28" s="1319"/>
      <c r="U28" s="1320"/>
      <c r="V28" s="1319"/>
      <c r="W28" s="1320"/>
      <c r="X28" s="1321"/>
      <c r="Y28" s="3689"/>
      <c r="Z28" s="344"/>
      <c r="AA28" s="1327">
        <v>1</v>
      </c>
      <c r="AB28" s="1327">
        <v>1</v>
      </c>
      <c r="AC28" s="1327">
        <v>1</v>
      </c>
    </row>
    <row r="29" spans="1:29" s="407" customFormat="1" ht="40.5">
      <c r="A29" s="992"/>
      <c r="B29" s="1412" t="s">
        <v>2667</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47"/>
      <c r="M29" s="2348"/>
      <c r="N29" s="2348"/>
      <c r="O29" s="2349"/>
      <c r="P29" s="3689"/>
      <c r="Q29" s="2741" t="str">
        <f t="shared" ref="Q29" si="9">B29</f>
        <v>基础设施水平</v>
      </c>
      <c r="R29" s="1319" t="s">
        <v>61</v>
      </c>
      <c r="S29" s="1320">
        <f>F29</f>
        <v>100</v>
      </c>
      <c r="T29" s="1319" t="s">
        <v>61</v>
      </c>
      <c r="U29" s="1320">
        <f>H29</f>
        <v>100</v>
      </c>
      <c r="V29" s="1319" t="s">
        <v>61</v>
      </c>
      <c r="W29" s="1320">
        <f>J29</f>
        <v>100</v>
      </c>
      <c r="X29" s="1321"/>
      <c r="Y29" s="3689"/>
      <c r="Z29" s="344" t="str">
        <f>Q29</f>
        <v>基础设施水平</v>
      </c>
      <c r="AA29" s="1327">
        <f>D29/F29</f>
        <v>1</v>
      </c>
      <c r="AB29" s="1327">
        <f>D29/H29</f>
        <v>1</v>
      </c>
      <c r="AC29" s="1327">
        <f>D29/J29</f>
        <v>1</v>
      </c>
    </row>
    <row r="30" spans="1:29" s="407" customFormat="1" ht="15">
      <c r="A30" s="992"/>
      <c r="B30" s="799"/>
      <c r="C30" s="2772"/>
      <c r="D30" s="791"/>
      <c r="E30" s="1037"/>
      <c r="F30" s="791"/>
      <c r="G30" s="1037"/>
      <c r="H30" s="791"/>
      <c r="I30" s="1037"/>
      <c r="J30" s="791"/>
      <c r="K30" s="1081"/>
      <c r="L30" s="2347"/>
      <c r="M30" s="2348"/>
      <c r="N30" s="2348"/>
      <c r="O30" s="2349"/>
      <c r="P30" s="3689"/>
      <c r="Q30" s="2741"/>
      <c r="R30" s="1319"/>
      <c r="S30" s="1320"/>
      <c r="T30" s="1319"/>
      <c r="U30" s="1320"/>
      <c r="V30" s="1319"/>
      <c r="W30" s="1320"/>
      <c r="X30" s="1321"/>
      <c r="Y30" s="3689"/>
      <c r="Z30" s="344"/>
      <c r="AA30" s="1327">
        <v>1</v>
      </c>
      <c r="AB30" s="1327">
        <v>1</v>
      </c>
      <c r="AC30" s="1327">
        <v>1</v>
      </c>
    </row>
    <row r="31" spans="1:29" ht="15">
      <c r="A31" s="771"/>
      <c r="B31" s="799" t="s">
        <v>433</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5"/>
      <c r="M31" s="2346"/>
      <c r="N31" s="2346"/>
      <c r="O31" s="2354"/>
      <c r="P31" s="3689"/>
      <c r="Q31" s="1323" t="str">
        <f t="shared" si="8"/>
        <v>临街状况</v>
      </c>
      <c r="R31" s="1324" t="s">
        <v>61</v>
      </c>
      <c r="S31" s="1325">
        <f t="shared" ref="S31:S45" si="10">F31</f>
        <v>100</v>
      </c>
      <c r="T31" s="1324" t="s">
        <v>61</v>
      </c>
      <c r="U31" s="1325">
        <f t="shared" ref="U31:U45" si="11">H31</f>
        <v>100</v>
      </c>
      <c r="V31" s="1324" t="s">
        <v>61</v>
      </c>
      <c r="W31" s="1325">
        <f t="shared" ref="W31:W45" si="12">J31</f>
        <v>100</v>
      </c>
      <c r="X31" s="1318"/>
      <c r="Y31" s="3689"/>
      <c r="Z31" s="1326" t="str">
        <f t="shared" ref="Z31:Z45" si="13">Q31</f>
        <v>临街状况</v>
      </c>
      <c r="AA31" s="1327">
        <f t="shared" si="3"/>
        <v>1</v>
      </c>
      <c r="AB31" s="1327">
        <f t="shared" si="4"/>
        <v>1</v>
      </c>
      <c r="AC31" s="1327">
        <f t="shared" si="5"/>
        <v>1</v>
      </c>
    </row>
    <row r="32" spans="1:29" ht="27">
      <c r="A32" s="771"/>
      <c r="B32" s="2766" t="s">
        <v>438</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5"/>
      <c r="M32" s="2346"/>
      <c r="N32" s="2346"/>
      <c r="O32" s="2354"/>
      <c r="P32" s="3689"/>
      <c r="Q32" s="1323" t="str">
        <f t="shared" si="8"/>
        <v>毗邻道路的类型与等级</v>
      </c>
      <c r="R32" s="1324" t="s">
        <v>61</v>
      </c>
      <c r="S32" s="1325">
        <f t="shared" si="10"/>
        <v>100</v>
      </c>
      <c r="T32" s="1324" t="s">
        <v>61</v>
      </c>
      <c r="U32" s="1325">
        <f t="shared" si="11"/>
        <v>100</v>
      </c>
      <c r="V32" s="1324" t="s">
        <v>61</v>
      </c>
      <c r="W32" s="1325">
        <f t="shared" si="12"/>
        <v>100</v>
      </c>
      <c r="X32" s="1318"/>
      <c r="Y32" s="3689"/>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5"/>
      <c r="M33" s="2346"/>
      <c r="N33" s="2346"/>
      <c r="O33" s="2354"/>
      <c r="P33" s="3689"/>
      <c r="Q33" s="1323"/>
      <c r="R33" s="1324"/>
      <c r="S33" s="1325"/>
      <c r="T33" s="1324"/>
      <c r="U33" s="1325"/>
      <c r="V33" s="1324"/>
      <c r="W33" s="1325"/>
      <c r="X33" s="1318"/>
      <c r="Y33" s="3689"/>
      <c r="Z33" s="1326"/>
      <c r="AA33" s="1327">
        <v>1</v>
      </c>
      <c r="AB33" s="1327">
        <v>1</v>
      </c>
      <c r="AC33" s="1327">
        <v>1</v>
      </c>
    </row>
    <row r="34" spans="1:29" ht="15">
      <c r="A34" s="771"/>
      <c r="B34" s="765" t="s">
        <v>481</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5"/>
      <c r="M34" s="2346"/>
      <c r="N34" s="2346"/>
      <c r="O34" s="2354"/>
      <c r="P34" s="3689"/>
      <c r="Q34" s="1323" t="str">
        <f t="shared" si="8"/>
        <v>土地级别</v>
      </c>
      <c r="R34" s="1324" t="s">
        <v>61</v>
      </c>
      <c r="S34" s="1325">
        <f t="shared" si="10"/>
        <v>100</v>
      </c>
      <c r="T34" s="1324" t="s">
        <v>61</v>
      </c>
      <c r="U34" s="1325">
        <f t="shared" si="11"/>
        <v>100</v>
      </c>
      <c r="V34" s="1324" t="s">
        <v>61</v>
      </c>
      <c r="W34" s="1325">
        <f t="shared" si="12"/>
        <v>100</v>
      </c>
      <c r="X34" s="1318"/>
      <c r="Y34" s="3689"/>
      <c r="Z34" s="1326" t="str">
        <f t="shared" si="13"/>
        <v>土地级别</v>
      </c>
      <c r="AA34" s="1327">
        <f t="shared" si="3"/>
        <v>1</v>
      </c>
      <c r="AB34" s="1327">
        <f t="shared" si="4"/>
        <v>1</v>
      </c>
      <c r="AC34" s="1327">
        <f t="shared" si="5"/>
        <v>1</v>
      </c>
    </row>
    <row r="35" spans="1:29" ht="15">
      <c r="A35" s="747"/>
      <c r="B35" s="2768">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5"/>
      <c r="M35" s="2346"/>
      <c r="N35" s="2346"/>
      <c r="O35" s="2354"/>
      <c r="P35" s="3689"/>
      <c r="Q35" s="1323">
        <f t="shared" si="8"/>
        <v>111</v>
      </c>
      <c r="R35" s="1324" t="s">
        <v>61</v>
      </c>
      <c r="S35" s="1325">
        <f t="shared" si="10"/>
        <v>100</v>
      </c>
      <c r="T35" s="1324" t="s">
        <v>61</v>
      </c>
      <c r="U35" s="1325">
        <f t="shared" si="11"/>
        <v>100</v>
      </c>
      <c r="V35" s="1324" t="s">
        <v>61</v>
      </c>
      <c r="W35" s="1325">
        <f t="shared" si="12"/>
        <v>100</v>
      </c>
      <c r="X35" s="1318"/>
      <c r="Y35" s="3689"/>
      <c r="Z35" s="1326">
        <f t="shared" si="13"/>
        <v>111</v>
      </c>
      <c r="AA35" s="1327">
        <f t="shared" si="3"/>
        <v>1</v>
      </c>
      <c r="AB35" s="1327">
        <f t="shared" si="4"/>
        <v>1</v>
      </c>
      <c r="AC35" s="1327">
        <f t="shared" si="5"/>
        <v>1</v>
      </c>
    </row>
    <row r="36" spans="1:29" ht="15">
      <c r="A36" s="1084"/>
      <c r="B36" s="2769">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5"/>
      <c r="M36" s="2346"/>
      <c r="N36" s="2346"/>
      <c r="O36" s="2354"/>
      <c r="P36" s="3690" t="s">
        <v>405</v>
      </c>
      <c r="Q36" s="1323">
        <f t="shared" si="8"/>
        <v>111</v>
      </c>
      <c r="R36" s="1324" t="s">
        <v>61</v>
      </c>
      <c r="S36" s="1325">
        <f t="shared" si="10"/>
        <v>100</v>
      </c>
      <c r="T36" s="1324" t="s">
        <v>61</v>
      </c>
      <c r="U36" s="1325">
        <f t="shared" si="11"/>
        <v>100</v>
      </c>
      <c r="V36" s="1324" t="s">
        <v>61</v>
      </c>
      <c r="W36" s="1325">
        <f t="shared" si="12"/>
        <v>100</v>
      </c>
      <c r="X36" s="1318"/>
      <c r="Y36" s="3691" t="s">
        <v>405</v>
      </c>
      <c r="Z36" s="1326">
        <f t="shared" si="13"/>
        <v>111</v>
      </c>
      <c r="AA36" s="1327">
        <f t="shared" si="3"/>
        <v>1</v>
      </c>
      <c r="AB36" s="1327">
        <f t="shared" si="4"/>
        <v>1</v>
      </c>
      <c r="AC36" s="1327">
        <f t="shared" si="5"/>
        <v>1</v>
      </c>
    </row>
    <row r="37" spans="1:29" s="814" customFormat="1" ht="15.75" thickBot="1">
      <c r="A37" s="1085"/>
      <c r="B37" s="2770">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3"/>
      <c r="M37" s="2356"/>
      <c r="N37" s="2356"/>
      <c r="O37" s="2357"/>
      <c r="P37" s="3691"/>
      <c r="Q37" s="1323">
        <f t="shared" si="8"/>
        <v>111</v>
      </c>
      <c r="R37" s="1329" t="s">
        <v>61</v>
      </c>
      <c r="S37" s="1330">
        <f t="shared" si="10"/>
        <v>100</v>
      </c>
      <c r="T37" s="1329" t="s">
        <v>61</v>
      </c>
      <c r="U37" s="1330">
        <f t="shared" si="11"/>
        <v>100</v>
      </c>
      <c r="V37" s="1329" t="s">
        <v>61</v>
      </c>
      <c r="W37" s="1330">
        <f t="shared" si="12"/>
        <v>100</v>
      </c>
      <c r="X37" s="1331"/>
      <c r="Y37" s="3691"/>
      <c r="Z37" s="1332">
        <f t="shared" si="13"/>
        <v>111</v>
      </c>
      <c r="AA37" s="1327">
        <f t="shared" si="3"/>
        <v>1</v>
      </c>
      <c r="AB37" s="1327">
        <f t="shared" si="4"/>
        <v>1</v>
      </c>
      <c r="AC37" s="1327">
        <f t="shared" si="5"/>
        <v>1</v>
      </c>
    </row>
    <row r="38" spans="1:29" ht="15">
      <c r="A38" s="815" t="s">
        <v>404</v>
      </c>
      <c r="B38" s="799" t="s">
        <v>482</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5"/>
      <c r="M38" s="2346"/>
      <c r="N38" s="2346"/>
      <c r="O38" s="2354"/>
      <c r="P38" s="3691"/>
      <c r="Q38" s="1323" t="str">
        <f>B38</f>
        <v>宗地面积</v>
      </c>
      <c r="R38" s="1324" t="s">
        <v>61</v>
      </c>
      <c r="S38" s="1325" t="e">
        <f t="shared" si="10"/>
        <v>#N/A</v>
      </c>
      <c r="T38" s="1324" t="s">
        <v>61</v>
      </c>
      <c r="U38" s="1325" t="e">
        <f t="shared" si="11"/>
        <v>#N/A</v>
      </c>
      <c r="V38" s="1324" t="s">
        <v>61</v>
      </c>
      <c r="W38" s="1325" t="e">
        <f t="shared" si="12"/>
        <v>#N/A</v>
      </c>
      <c r="X38" s="1318"/>
      <c r="Y38" s="3691"/>
      <c r="Z38" s="1326" t="str">
        <f t="shared" si="13"/>
        <v>宗地面积</v>
      </c>
      <c r="AA38" s="1327" t="e">
        <f t="shared" si="3"/>
        <v>#N/A</v>
      </c>
      <c r="AB38" s="1327" t="e">
        <f t="shared" si="4"/>
        <v>#N/A</v>
      </c>
      <c r="AC38" s="1327" t="e">
        <f t="shared" si="5"/>
        <v>#N/A</v>
      </c>
    </row>
    <row r="39" spans="1:29" ht="15">
      <c r="A39" s="815"/>
      <c r="B39" s="765" t="s">
        <v>483</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5"/>
      <c r="M39" s="2346"/>
      <c r="N39" s="2346"/>
      <c r="O39" s="2354"/>
      <c r="P39" s="3691"/>
      <c r="Q39" s="1323" t="str">
        <f t="shared" ref="Q39:Q45" si="14">B39</f>
        <v>宗地形状</v>
      </c>
      <c r="R39" s="1324" t="s">
        <v>61</v>
      </c>
      <c r="S39" s="1325">
        <f t="shared" si="10"/>
        <v>100</v>
      </c>
      <c r="T39" s="1324" t="s">
        <v>61</v>
      </c>
      <c r="U39" s="1325">
        <f t="shared" si="11"/>
        <v>100</v>
      </c>
      <c r="V39" s="1324" t="s">
        <v>61</v>
      </c>
      <c r="W39" s="1325">
        <f t="shared" si="12"/>
        <v>100</v>
      </c>
      <c r="X39" s="1318"/>
      <c r="Y39" s="3691"/>
      <c r="Z39" s="1326" t="str">
        <f t="shared" si="13"/>
        <v>宗地形状</v>
      </c>
      <c r="AA39" s="1327">
        <f t="shared" si="3"/>
        <v>1</v>
      </c>
      <c r="AB39" s="1327">
        <f t="shared" si="4"/>
        <v>1</v>
      </c>
      <c r="AC39" s="1327">
        <f t="shared" si="5"/>
        <v>1</v>
      </c>
    </row>
    <row r="40" spans="1:29" ht="15">
      <c r="A40" s="815"/>
      <c r="B40" s="765" t="s">
        <v>484</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5"/>
      <c r="M40" s="2346"/>
      <c r="N40" s="2346"/>
      <c r="O40" s="2354"/>
      <c r="P40" s="3691"/>
      <c r="Q40" s="1323" t="str">
        <f t="shared" si="14"/>
        <v>临街宽度及深度</v>
      </c>
      <c r="R40" s="1324" t="s">
        <v>61</v>
      </c>
      <c r="S40" s="1325">
        <f t="shared" si="10"/>
        <v>100</v>
      </c>
      <c r="T40" s="1324" t="s">
        <v>61</v>
      </c>
      <c r="U40" s="1325">
        <f t="shared" si="11"/>
        <v>100</v>
      </c>
      <c r="V40" s="1324" t="s">
        <v>61</v>
      </c>
      <c r="W40" s="1325">
        <f t="shared" si="12"/>
        <v>100</v>
      </c>
      <c r="X40" s="1318"/>
      <c r="Y40" s="3691"/>
      <c r="Z40" s="1326" t="str">
        <f t="shared" si="13"/>
        <v>临街宽度及深度</v>
      </c>
      <c r="AA40" s="1327">
        <f t="shared" si="3"/>
        <v>1</v>
      </c>
      <c r="AB40" s="1327">
        <f t="shared" si="4"/>
        <v>1</v>
      </c>
      <c r="AC40" s="1327">
        <f t="shared" si="5"/>
        <v>1</v>
      </c>
    </row>
    <row r="41" spans="1:29" s="407" customFormat="1" ht="15">
      <c r="A41" s="816"/>
      <c r="B41" s="2607" t="s">
        <v>2498</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47"/>
      <c r="M41" s="2348"/>
      <c r="N41" s="2348"/>
      <c r="O41" s="2349"/>
      <c r="P41" s="3691"/>
      <c r="Q41" s="1323" t="str">
        <f t="shared" si="14"/>
        <v>宗地开发程度</v>
      </c>
      <c r="R41" s="1319" t="s">
        <v>61</v>
      </c>
      <c r="S41" s="1320">
        <f t="shared" si="10"/>
        <v>100</v>
      </c>
      <c r="T41" s="1319" t="s">
        <v>61</v>
      </c>
      <c r="U41" s="1320">
        <f t="shared" si="11"/>
        <v>100</v>
      </c>
      <c r="V41" s="1319" t="s">
        <v>61</v>
      </c>
      <c r="W41" s="1320">
        <f t="shared" si="12"/>
        <v>100</v>
      </c>
      <c r="X41" s="1321"/>
      <c r="Y41" s="3691"/>
      <c r="Z41" s="344" t="str">
        <f t="shared" si="13"/>
        <v>宗地开发程度</v>
      </c>
      <c r="AA41" s="1322">
        <f t="shared" si="3"/>
        <v>1</v>
      </c>
      <c r="AB41" s="1322">
        <f t="shared" si="4"/>
        <v>1</v>
      </c>
      <c r="AC41" s="1322">
        <f t="shared" si="5"/>
        <v>1</v>
      </c>
    </row>
    <row r="42" spans="1:29" ht="15">
      <c r="A42" s="815"/>
      <c r="B42" s="765" t="s">
        <v>485</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5"/>
      <c r="M42" s="2346"/>
      <c r="N42" s="2346"/>
      <c r="O42" s="2354"/>
      <c r="P42" s="3691" t="s">
        <v>405</v>
      </c>
      <c r="Q42" s="1323" t="str">
        <f t="shared" si="14"/>
        <v>工程地质条件</v>
      </c>
      <c r="R42" s="1324" t="s">
        <v>61</v>
      </c>
      <c r="S42" s="1325">
        <f t="shared" si="10"/>
        <v>100</v>
      </c>
      <c r="T42" s="1324" t="s">
        <v>61</v>
      </c>
      <c r="U42" s="1325">
        <f t="shared" si="11"/>
        <v>100</v>
      </c>
      <c r="V42" s="1324" t="s">
        <v>61</v>
      </c>
      <c r="W42" s="1325">
        <f t="shared" si="12"/>
        <v>100</v>
      </c>
      <c r="X42" s="1318"/>
      <c r="Y42" s="3691" t="s">
        <v>405</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5"/>
      <c r="M43" s="2346"/>
      <c r="N43" s="2346"/>
      <c r="O43" s="2354"/>
      <c r="P43" s="3691"/>
      <c r="Q43" s="1323">
        <f t="shared" si="14"/>
        <v>111</v>
      </c>
      <c r="R43" s="1324" t="s">
        <v>61</v>
      </c>
      <c r="S43" s="1325">
        <f t="shared" si="10"/>
        <v>100</v>
      </c>
      <c r="T43" s="1324" t="s">
        <v>61</v>
      </c>
      <c r="U43" s="1325">
        <f t="shared" si="11"/>
        <v>100</v>
      </c>
      <c r="V43" s="1324" t="s">
        <v>61</v>
      </c>
      <c r="W43" s="1325">
        <f t="shared" si="12"/>
        <v>100</v>
      </c>
      <c r="X43" s="1318"/>
      <c r="Y43" s="3691"/>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5"/>
      <c r="M44" s="2346"/>
      <c r="N44" s="2346"/>
      <c r="O44" s="2354"/>
      <c r="P44" s="3691"/>
      <c r="Q44" s="1323">
        <f t="shared" si="14"/>
        <v>111</v>
      </c>
      <c r="R44" s="1324" t="s">
        <v>61</v>
      </c>
      <c r="S44" s="1325">
        <f t="shared" si="10"/>
        <v>100</v>
      </c>
      <c r="T44" s="1324" t="s">
        <v>61</v>
      </c>
      <c r="U44" s="1325">
        <f t="shared" si="11"/>
        <v>100</v>
      </c>
      <c r="V44" s="1324" t="s">
        <v>61</v>
      </c>
      <c r="W44" s="1325">
        <f t="shared" si="12"/>
        <v>100</v>
      </c>
      <c r="X44" s="1318"/>
      <c r="Y44" s="3691"/>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3"/>
      <c r="M45" s="2356"/>
      <c r="N45" s="2356"/>
      <c r="O45" s="2357"/>
      <c r="P45" s="3691"/>
      <c r="Q45" s="1323">
        <f t="shared" si="14"/>
        <v>111</v>
      </c>
      <c r="R45" s="1329" t="s">
        <v>61</v>
      </c>
      <c r="S45" s="1330">
        <f t="shared" si="10"/>
        <v>100</v>
      </c>
      <c r="T45" s="1329" t="s">
        <v>61</v>
      </c>
      <c r="U45" s="1330">
        <f t="shared" si="11"/>
        <v>100</v>
      </c>
      <c r="V45" s="1329" t="s">
        <v>61</v>
      </c>
      <c r="W45" s="1330">
        <f t="shared" si="12"/>
        <v>100</v>
      </c>
      <c r="X45" s="1331"/>
      <c r="Y45" s="3691"/>
      <c r="Z45" s="1332">
        <f t="shared" si="13"/>
        <v>111</v>
      </c>
      <c r="AA45" s="1327">
        <f t="shared" si="3"/>
        <v>1</v>
      </c>
      <c r="AB45" s="1327">
        <f t="shared" si="4"/>
        <v>1</v>
      </c>
      <c r="AC45" s="1327">
        <f t="shared" si="5"/>
        <v>1</v>
      </c>
    </row>
    <row r="46" spans="1:29" ht="15">
      <c r="A46" s="822" t="s">
        <v>486</v>
      </c>
      <c r="B46" s="207" t="s">
        <v>154</v>
      </c>
      <c r="C46" s="1091" t="s">
        <v>23</v>
      </c>
      <c r="D46" s="824"/>
      <c r="E46" s="825"/>
      <c r="F46" s="826"/>
      <c r="G46" s="827"/>
      <c r="H46" s="828"/>
      <c r="I46" s="825"/>
      <c r="J46" s="828"/>
      <c r="K46" s="1400"/>
      <c r="L46" s="2358"/>
      <c r="M46" s="2359"/>
      <c r="N46" s="2346"/>
      <c r="O46" s="2359"/>
      <c r="P46" s="3673" t="str">
        <f>A46</f>
        <v>成交单价</v>
      </c>
      <c r="Q46" s="3673"/>
      <c r="R46" s="3686">
        <f>E46</f>
        <v>0</v>
      </c>
      <c r="S46" s="3686"/>
      <c r="T46" s="3686">
        <f>G46</f>
        <v>0</v>
      </c>
      <c r="U46" s="3686"/>
      <c r="V46" s="3686">
        <f>I46</f>
        <v>0</v>
      </c>
      <c r="W46" s="3686"/>
      <c r="X46" s="1307"/>
      <c r="Y46" s="1333"/>
      <c r="Z46" s="1307"/>
      <c r="AA46" s="1307"/>
      <c r="AB46" s="1307"/>
      <c r="AC46" s="1307"/>
    </row>
    <row r="47" spans="1:29" ht="15.75" thickBot="1">
      <c r="A47" s="829" t="s">
        <v>407</v>
      </c>
      <c r="B47" s="1092"/>
      <c r="C47" s="833" t="e">
        <f>R48</f>
        <v>#DIV/0!</v>
      </c>
      <c r="D47" s="832"/>
      <c r="E47" s="833" t="e">
        <f>R47</f>
        <v>#DIV/0!</v>
      </c>
      <c r="F47" s="834"/>
      <c r="G47" s="831" t="e">
        <f>T47</f>
        <v>#DIV/0!</v>
      </c>
      <c r="H47" s="832"/>
      <c r="I47" s="833" t="e">
        <f>V47</f>
        <v>#DIV/0!</v>
      </c>
      <c r="J47" s="832"/>
      <c r="K47" s="1401"/>
      <c r="L47" s="2358"/>
      <c r="M47" s="2359"/>
      <c r="N47" s="2359"/>
      <c r="O47" s="2359"/>
      <c r="P47" s="3673" t="str">
        <f>A47</f>
        <v>比较价值（元/平方米）</v>
      </c>
      <c r="Q47" s="3673"/>
      <c r="R47" s="3696" t="e">
        <f>ROUND(PRODUCT(R46,AA7:AA45),0)</f>
        <v>#DIV/0!</v>
      </c>
      <c r="S47" s="3696"/>
      <c r="T47" s="3696" t="e">
        <f>ROUND(PRODUCT(T46,AB7:AB45),0)</f>
        <v>#DIV/0!</v>
      </c>
      <c r="U47" s="3696"/>
      <c r="V47" s="3696" t="e">
        <f>ROUND(PRODUCT(V46,AC7:AC45),0)</f>
        <v>#DIV/0!</v>
      </c>
      <c r="W47" s="3696"/>
      <c r="X47" s="1307"/>
      <c r="Y47" s="1307"/>
      <c r="Z47" s="1307"/>
      <c r="AA47" s="1307"/>
      <c r="AB47" s="1307"/>
      <c r="AC47" s="1307"/>
    </row>
    <row r="48" spans="1:29" ht="15.75" thickBot="1">
      <c r="A48" s="115" t="s">
        <v>512</v>
      </c>
      <c r="B48" s="836"/>
      <c r="C48" s="837" t="e">
        <f>R48</f>
        <v>#DIV/0!</v>
      </c>
      <c r="D48" s="837"/>
      <c r="E48" s="837"/>
      <c r="F48" s="837"/>
      <c r="G48" s="837"/>
      <c r="H48" s="837"/>
      <c r="I48" s="837"/>
      <c r="J48" s="837"/>
      <c r="K48" s="1402"/>
      <c r="L48" s="2358"/>
      <c r="M48" s="2359"/>
      <c r="N48" s="2359"/>
      <c r="O48" s="2359"/>
      <c r="P48" s="3693" t="str">
        <f>A48</f>
        <v>估价对象XX用房的比较价值（楼面单价，元/平方米）</v>
      </c>
      <c r="Q48" s="3694"/>
      <c r="R48" s="3697" t="e">
        <f>ROUND(AVERAGE(R47:V47),0)</f>
        <v>#DIV/0!</v>
      </c>
      <c r="S48" s="3697"/>
      <c r="T48" s="3697"/>
      <c r="U48" s="3697"/>
      <c r="V48" s="3697"/>
      <c r="W48" s="3697"/>
      <c r="X48" s="1307"/>
      <c r="Y48" s="1307"/>
      <c r="Z48" s="1307"/>
      <c r="AA48" s="1307"/>
      <c r="AB48" s="1307"/>
      <c r="AC48" s="1307"/>
    </row>
    <row r="49" spans="1:15">
      <c r="A49" s="2359"/>
      <c r="B49" s="2359"/>
      <c r="C49" s="2359"/>
      <c r="D49" s="2359"/>
      <c r="E49" s="2359"/>
      <c r="F49" s="2359"/>
      <c r="G49" s="2362"/>
      <c r="H49" s="2359"/>
      <c r="I49" s="2359"/>
      <c r="J49" s="2359"/>
      <c r="K49" s="2185"/>
      <c r="L49" s="2186"/>
      <c r="M49" s="2359"/>
      <c r="N49" s="2359"/>
      <c r="O49" s="2359"/>
    </row>
    <row r="50" spans="1:15">
      <c r="A50" s="2359"/>
      <c r="B50" s="2359"/>
      <c r="C50" s="2359"/>
      <c r="D50" s="2359"/>
      <c r="E50" s="2359"/>
      <c r="F50" s="2359"/>
      <c r="G50" s="2359"/>
      <c r="H50" s="2359"/>
      <c r="I50" s="2359"/>
      <c r="J50" s="2359"/>
      <c r="K50" s="2185"/>
      <c r="L50" s="2186"/>
      <c r="M50" s="2359"/>
      <c r="N50" s="2359"/>
      <c r="O50" s="2359"/>
    </row>
    <row r="51" spans="1:15" ht="13.5" customHeight="1">
      <c r="A51" s="2359"/>
      <c r="B51" s="2359"/>
      <c r="C51" s="840" t="s">
        <v>408</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5"/>
      <c r="L51" s="2186"/>
      <c r="M51" s="2359"/>
      <c r="N51" s="2359"/>
      <c r="O51" s="2359"/>
    </row>
    <row r="52" spans="1:15" ht="13.5" customHeight="1">
      <c r="A52" s="2359"/>
      <c r="B52" s="2359"/>
      <c r="C52" s="840" t="s">
        <v>409</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5"/>
      <c r="L52" s="2186"/>
      <c r="M52" s="2359"/>
      <c r="N52" s="2359"/>
      <c r="O52" s="2359"/>
    </row>
    <row r="53" spans="1:15" s="845" customFormat="1" ht="13.5" customHeight="1">
      <c r="A53" s="2360"/>
      <c r="B53" s="2360"/>
      <c r="C53" s="840" t="s">
        <v>410</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3"/>
      <c r="L53" s="2364"/>
      <c r="M53" s="2360"/>
      <c r="N53" s="2360"/>
      <c r="O53" s="2360"/>
    </row>
    <row r="54" spans="1:15" s="845" customFormat="1" ht="15" thickBot="1">
      <c r="A54" s="2360"/>
      <c r="B54" s="2361"/>
      <c r="C54" s="1310"/>
      <c r="D54" s="1308"/>
      <c r="E54" s="1308"/>
      <c r="F54" s="1308"/>
      <c r="G54" s="1308"/>
      <c r="H54" s="1308"/>
      <c r="I54" s="1308"/>
      <c r="J54" s="1308"/>
      <c r="K54" s="2363"/>
      <c r="L54" s="2364"/>
      <c r="M54" s="2360"/>
      <c r="N54" s="2360"/>
      <c r="O54" s="2360"/>
    </row>
    <row r="55" spans="1:15" ht="27" customHeight="1">
      <c r="A55" s="1093" t="s">
        <v>487</v>
      </c>
      <c r="B55" s="1094" t="s">
        <v>488</v>
      </c>
      <c r="C55" s="1774" t="s">
        <v>1882</v>
      </c>
      <c r="D55" s="2390" t="s">
        <v>2322</v>
      </c>
      <c r="E55" s="1095" t="s">
        <v>489</v>
      </c>
      <c r="F55" s="2187" t="s">
        <v>490</v>
      </c>
      <c r="G55" s="3698" t="s">
        <v>2315</v>
      </c>
      <c r="H55" s="3699"/>
      <c r="I55" s="2188" t="s">
        <v>1881</v>
      </c>
      <c r="J55" s="2192">
        <f>项目基本情况!F35</f>
        <v>0</v>
      </c>
      <c r="K55" s="2373" t="s">
        <v>1883</v>
      </c>
      <c r="L55" s="2186"/>
      <c r="M55" s="2359"/>
      <c r="N55" s="2359"/>
      <c r="O55" s="2359"/>
    </row>
    <row r="56" spans="1:15" s="1101" customFormat="1">
      <c r="A56" s="1097" t="s">
        <v>491</v>
      </c>
      <c r="B56" s="1098" t="e">
        <f>C48</f>
        <v>#DIV/0!</v>
      </c>
      <c r="C56" s="1099">
        <v>1</v>
      </c>
      <c r="D56" s="2391">
        <v>1</v>
      </c>
      <c r="E56" s="1099">
        <f>'数据-汇总表'!E8+'数据-汇总表'!E9</f>
        <v>66965.320000000065</v>
      </c>
      <c r="F56" s="2183" t="e">
        <f t="shared" ref="F56:F65" si="15">ROUND(B56*E56/10000,0)</f>
        <v>#DIV/0!</v>
      </c>
      <c r="G56" s="3700"/>
      <c r="H56" s="3701"/>
      <c r="I56" s="2189">
        <v>1</v>
      </c>
      <c r="J56" s="2193">
        <v>1</v>
      </c>
      <c r="K56" s="2360"/>
      <c r="L56" s="1771"/>
      <c r="M56" s="1771"/>
      <c r="N56" s="1771"/>
      <c r="O56" s="1771"/>
    </row>
    <row r="57" spans="1:15" s="1101" customFormat="1">
      <c r="A57" s="1102" t="s">
        <v>492</v>
      </c>
      <c r="B57" s="594" t="e">
        <f>ROUND($C$48*C57*D57,0)</f>
        <v>#DIV/0!</v>
      </c>
      <c r="C57" s="532">
        <f t="shared" ref="C57:C65" si="16">IF($C$55="北京市系数",I57,J57)</f>
        <v>0.7</v>
      </c>
      <c r="D57" s="2392">
        <v>0.25</v>
      </c>
      <c r="E57" s="1103"/>
      <c r="F57" s="2183" t="e">
        <f t="shared" si="15"/>
        <v>#DIV/0!</v>
      </c>
      <c r="G57" s="3702" t="s">
        <v>2316</v>
      </c>
      <c r="H57" s="2184" t="str">
        <f>项目基本情况!B37</f>
        <v>五级</v>
      </c>
      <c r="I57" s="2189">
        <f>SUMIF(修正!A45:A56,H57,修正!B45:B56)</f>
        <v>0.7</v>
      </c>
      <c r="J57" s="2194"/>
      <c r="K57" s="2359"/>
      <c r="L57" s="1771"/>
      <c r="M57" s="1771"/>
      <c r="N57" s="1771"/>
      <c r="O57" s="1771"/>
    </row>
    <row r="58" spans="1:15" s="1101" customFormat="1">
      <c r="A58" s="1102" t="s">
        <v>493</v>
      </c>
      <c r="B58" s="594" t="e">
        <f t="shared" ref="B58:B65" si="17">ROUND($C$48*C58*D58,0)</f>
        <v>#DIV/0!</v>
      </c>
      <c r="C58" s="532">
        <f t="shared" si="16"/>
        <v>0.4</v>
      </c>
      <c r="D58" s="2392">
        <v>0.25</v>
      </c>
      <c r="E58" s="1103"/>
      <c r="F58" s="2183" t="e">
        <f t="shared" si="15"/>
        <v>#DIV/0!</v>
      </c>
      <c r="G58" s="3702"/>
      <c r="H58" s="2184" t="str">
        <f>项目基本情况!B37</f>
        <v>五级</v>
      </c>
      <c r="I58" s="2189">
        <f>SUMIF(修正!A45:A56,H58,修正!C45:C56)</f>
        <v>0.4</v>
      </c>
      <c r="J58" s="2194"/>
      <c r="K58" s="2360"/>
      <c r="L58" s="1771"/>
      <c r="M58" s="1771"/>
      <c r="N58" s="1771"/>
      <c r="O58" s="1771"/>
    </row>
    <row r="59" spans="1:15" s="1101" customFormat="1">
      <c r="A59" s="1102" t="s">
        <v>494</v>
      </c>
      <c r="B59" s="594" t="e">
        <f t="shared" si="17"/>
        <v>#DIV/0!</v>
      </c>
      <c r="C59" s="532">
        <f t="shared" si="16"/>
        <v>0.28000000000000003</v>
      </c>
      <c r="D59" s="2392">
        <v>0.25</v>
      </c>
      <c r="E59" s="1103"/>
      <c r="F59" s="2183" t="e">
        <f t="shared" si="15"/>
        <v>#DIV/0!</v>
      </c>
      <c r="G59" s="3702"/>
      <c r="H59" s="2184" t="str">
        <f>项目基本情况!B37</f>
        <v>五级</v>
      </c>
      <c r="I59" s="2189">
        <f>SUMIF(修正!A45:A56,H59,修正!D45:D56)</f>
        <v>0.28000000000000003</v>
      </c>
      <c r="J59" s="2194"/>
      <c r="K59" s="2359"/>
      <c r="L59" s="1771"/>
      <c r="M59" s="1771"/>
      <c r="N59" s="1771"/>
      <c r="O59" s="1771"/>
    </row>
    <row r="60" spans="1:15" s="1101" customFormat="1">
      <c r="A60" s="1102" t="s">
        <v>495</v>
      </c>
      <c r="B60" s="594" t="e">
        <f t="shared" si="17"/>
        <v>#DIV/0!</v>
      </c>
      <c r="C60" s="532">
        <f t="shared" si="16"/>
        <v>0.25</v>
      </c>
      <c r="D60" s="2392">
        <v>0.25</v>
      </c>
      <c r="E60" s="1103"/>
      <c r="F60" s="2183" t="e">
        <f t="shared" si="15"/>
        <v>#DIV/0!</v>
      </c>
      <c r="G60" s="3702"/>
      <c r="H60" s="2184" t="str">
        <f>项目基本情况!B37</f>
        <v>五级</v>
      </c>
      <c r="I60" s="2189">
        <f>SUMIF(修正!A45:A56,H60,修正!E45:E56)</f>
        <v>0.25</v>
      </c>
      <c r="J60" s="2194"/>
      <c r="K60" s="2360"/>
      <c r="L60" s="1771"/>
      <c r="M60" s="1771"/>
      <c r="N60" s="1771"/>
      <c r="O60" s="1771"/>
    </row>
    <row r="61" spans="1:15" s="1101" customFormat="1">
      <c r="A61" s="2512" t="s">
        <v>2397</v>
      </c>
      <c r="B61" s="594" t="e">
        <f t="shared" si="17"/>
        <v>#DIV/0!</v>
      </c>
      <c r="C61" s="532">
        <f t="shared" si="16"/>
        <v>0.25</v>
      </c>
      <c r="D61" s="2392">
        <v>0.25</v>
      </c>
      <c r="E61" s="593">
        <f>'数据-汇总表'!E11</f>
        <v>0</v>
      </c>
      <c r="F61" s="2183" t="e">
        <f t="shared" si="15"/>
        <v>#DIV/0!</v>
      </c>
      <c r="G61" s="2196" t="s">
        <v>2317</v>
      </c>
      <c r="H61" s="2184" t="str">
        <f>项目基本情况!C37</f>
        <v>五级</v>
      </c>
      <c r="I61" s="2189">
        <f>SUMIF(修正!A45:A56,H61,修正!F45:F56)</f>
        <v>0.25</v>
      </c>
      <c r="J61" s="2194"/>
      <c r="K61" s="2359"/>
      <c r="L61" s="1771"/>
      <c r="M61" s="1771"/>
      <c r="N61" s="1771"/>
      <c r="O61" s="1771"/>
    </row>
    <row r="62" spans="1:15" s="1101" customFormat="1">
      <c r="A62" s="1102" t="s">
        <v>496</v>
      </c>
      <c r="B62" s="594" t="e">
        <f t="shared" si="17"/>
        <v>#DIV/0!</v>
      </c>
      <c r="C62" s="532">
        <f t="shared" si="16"/>
        <v>0.25</v>
      </c>
      <c r="D62" s="2392">
        <v>0.25</v>
      </c>
      <c r="E62" s="593">
        <f>'数据-汇总表'!E12</f>
        <v>0</v>
      </c>
      <c r="F62" s="2183" t="e">
        <f t="shared" si="15"/>
        <v>#DIV/0!</v>
      </c>
      <c r="G62" s="2190" t="s">
        <v>137</v>
      </c>
      <c r="H62" s="2184" t="str">
        <f>IF(G62="商业",项目基本情况!B37,IF(G62="办公",项目基本情况!C37,IF(G62="住宅",项目基本情况!D37,项目基本情况!E37)))</f>
        <v>五级</v>
      </c>
      <c r="I62" s="2189">
        <f>SUMIF(修正!A45:A56,H62,修正!G45:G56)</f>
        <v>0.25</v>
      </c>
      <c r="J62" s="2194"/>
      <c r="K62" s="2360"/>
      <c r="L62" s="1771"/>
      <c r="M62" s="1771"/>
      <c r="N62" s="1771"/>
      <c r="O62" s="1771"/>
    </row>
    <row r="63" spans="1:15" s="1101" customFormat="1">
      <c r="A63" s="1102" t="s">
        <v>497</v>
      </c>
      <c r="B63" s="594" t="e">
        <f t="shared" si="17"/>
        <v>#DIV/0!</v>
      </c>
      <c r="C63" s="532">
        <f t="shared" si="16"/>
        <v>0</v>
      </c>
      <c r="D63" s="2392">
        <v>0.25</v>
      </c>
      <c r="E63" s="593">
        <f>'数据-汇总表'!E13</f>
        <v>0</v>
      </c>
      <c r="F63" s="2183" t="e">
        <f t="shared" si="15"/>
        <v>#DIV/0!</v>
      </c>
      <c r="G63" s="2190" t="s">
        <v>40</v>
      </c>
      <c r="H63" s="2184">
        <f>IF(G63="商业",项目基本情况!B37,IF(G63="办公",项目基本情况!C37,IF(G63="住宅",项目基本情况!D37,项目基本情况!E37)))</f>
        <v>0</v>
      </c>
      <c r="I63" s="2189">
        <f>SUMIF(修正!A45:A56,H63,修正!H45:H56)</f>
        <v>0</v>
      </c>
      <c r="J63" s="2194"/>
      <c r="K63" s="2359"/>
      <c r="L63" s="1771"/>
      <c r="M63" s="1771"/>
      <c r="N63" s="1771"/>
      <c r="O63" s="1771"/>
    </row>
    <row r="64" spans="1:15" s="1101" customFormat="1">
      <c r="A64" s="1102" t="s">
        <v>498</v>
      </c>
      <c r="B64" s="594" t="e">
        <f t="shared" si="17"/>
        <v>#DIV/0!</v>
      </c>
      <c r="C64" s="532">
        <f t="shared" si="16"/>
        <v>0.2</v>
      </c>
      <c r="D64" s="2392">
        <v>0.25</v>
      </c>
      <c r="E64" s="593">
        <f>'数据-汇总表'!E14</f>
        <v>0</v>
      </c>
      <c r="F64" s="2183" t="e">
        <f t="shared" si="15"/>
        <v>#DIV/0!</v>
      </c>
      <c r="G64" s="2196" t="s">
        <v>2318</v>
      </c>
      <c r="H64" s="2184" t="str">
        <f>项目基本情况!B37</f>
        <v>五级</v>
      </c>
      <c r="I64" s="2189">
        <f>SUMIF(修正!A45:A56,H64,修正!H45:H56)</f>
        <v>0.2</v>
      </c>
      <c r="J64" s="2194"/>
      <c r="K64" s="2360"/>
      <c r="L64" s="1771"/>
      <c r="M64" s="1771"/>
      <c r="N64" s="1771"/>
      <c r="O64" s="1771"/>
    </row>
    <row r="65" spans="1:17" s="1101" customFormat="1" ht="15" thickBot="1">
      <c r="A65" s="1102" t="s">
        <v>499</v>
      </c>
      <c r="B65" s="594" t="e">
        <f t="shared" si="17"/>
        <v>#DIV/0!</v>
      </c>
      <c r="C65" s="532">
        <f t="shared" si="16"/>
        <v>0.2</v>
      </c>
      <c r="D65" s="2392">
        <v>0.25</v>
      </c>
      <c r="E65" s="593">
        <f>'数据-汇总表'!E15</f>
        <v>0</v>
      </c>
      <c r="F65" s="2183" t="e">
        <f t="shared" si="15"/>
        <v>#DIV/0!</v>
      </c>
      <c r="G65" s="2197" t="s">
        <v>2317</v>
      </c>
      <c r="H65" s="2198" t="str">
        <f>项目基本情况!C37</f>
        <v>五级</v>
      </c>
      <c r="I65" s="2191">
        <f>SUMIF(修正!A45:A56,H65,修正!H45:H56)</f>
        <v>0.2</v>
      </c>
      <c r="J65" s="2195"/>
      <c r="K65" s="2359"/>
      <c r="L65" s="1771"/>
      <c r="M65" s="1771"/>
      <c r="N65" s="1771"/>
      <c r="O65" s="1771"/>
    </row>
    <row r="66" spans="1:17" s="1101" customFormat="1" ht="13.5" thickBot="1">
      <c r="A66" s="1104" t="s">
        <v>500</v>
      </c>
      <c r="B66" s="1105" t="s">
        <v>152</v>
      </c>
      <c r="C66" s="1105" t="s">
        <v>153</v>
      </c>
      <c r="D66" s="1105" t="s">
        <v>2323</v>
      </c>
      <c r="E66" s="1105">
        <f>IF(B46="楼面地价",SUM(E56:E65),'数据-汇总表'!D3)</f>
        <v>66965.320000000065</v>
      </c>
      <c r="F66" s="1106" t="e">
        <f>IF(B46="楼面地价",SUM(F56:F65),ROUND(C48*E66/10000,0))</f>
        <v>#DIV/0!</v>
      </c>
      <c r="G66" s="1415"/>
      <c r="H66" s="1415"/>
      <c r="I66" s="1415"/>
      <c r="J66" s="1415"/>
      <c r="K66" s="2374"/>
      <c r="L66" s="1771"/>
      <c r="M66" s="1771"/>
      <c r="N66" s="1771"/>
      <c r="O66" s="1771"/>
    </row>
    <row r="67" spans="1:17">
      <c r="A67" s="1307"/>
      <c r="B67" s="1309"/>
      <c r="C67" s="1310"/>
      <c r="D67" s="1307"/>
      <c r="E67" s="1307"/>
      <c r="F67" s="1307"/>
      <c r="G67" s="1307"/>
      <c r="H67" s="1307"/>
      <c r="I67" s="1307"/>
      <c r="J67" s="2359"/>
      <c r="K67" s="2185"/>
      <c r="L67" s="2186"/>
      <c r="M67" s="2359"/>
      <c r="N67" s="2359"/>
      <c r="O67" s="2359"/>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411</v>
      </c>
      <c r="B69" s="1307"/>
      <c r="C69" s="1312"/>
      <c r="D69" s="1312"/>
      <c r="E69" s="1312"/>
      <c r="F69" s="1313"/>
      <c r="G69" s="1313"/>
      <c r="H69" s="1312"/>
      <c r="I69" s="1312"/>
      <c r="J69" s="2375"/>
      <c r="K69" s="2376"/>
      <c r="L69" s="2377"/>
      <c r="M69" s="2375"/>
      <c r="N69" s="2375"/>
      <c r="O69" s="2375"/>
      <c r="P69" s="846"/>
      <c r="Q69" s="847"/>
    </row>
    <row r="70" spans="1:17" s="851" customFormat="1" ht="15">
      <c r="A70" s="2703" t="s">
        <v>2790</v>
      </c>
      <c r="B70" s="2704"/>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50"/>
    </row>
    <row r="71" spans="1:17" s="407" customFormat="1" ht="30" customHeight="1">
      <c r="A71" s="3041"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2"/>
      <c r="N71" s="938"/>
      <c r="O71" s="3033"/>
      <c r="P71" s="847"/>
    </row>
    <row r="72" spans="1:17" s="407" customFormat="1" ht="15.75" thickBot="1">
      <c r="A72" s="858" t="s">
        <v>412</v>
      </c>
      <c r="B72" s="859"/>
      <c r="C72" s="860"/>
      <c r="D72" s="861"/>
      <c r="E72" s="861"/>
      <c r="F72" s="861"/>
      <c r="G72" s="861"/>
      <c r="H72" s="861"/>
      <c r="I72" s="861"/>
      <c r="J72" s="861"/>
      <c r="K72" s="861"/>
      <c r="L72" s="861"/>
      <c r="M72" s="862"/>
      <c r="N72" s="861"/>
      <c r="O72" s="2378"/>
      <c r="P72" s="847"/>
      <c r="Q72" s="847"/>
    </row>
    <row r="73" spans="1:17" s="407" customFormat="1" ht="15">
      <c r="A73" s="864" t="s">
        <v>396</v>
      </c>
      <c r="B73" s="853"/>
      <c r="C73" s="865" t="s">
        <v>413</v>
      </c>
      <c r="D73" s="140"/>
      <c r="E73" s="140"/>
      <c r="F73" s="140"/>
      <c r="G73" s="140"/>
      <c r="H73" s="140"/>
      <c r="I73" s="140"/>
      <c r="J73" s="140"/>
      <c r="K73" s="140"/>
      <c r="L73" s="141"/>
      <c r="M73" s="1051"/>
      <c r="N73" s="2366"/>
      <c r="O73" s="2366"/>
      <c r="P73" s="869"/>
      <c r="Q73" s="847"/>
    </row>
    <row r="74" spans="1:17" s="407" customFormat="1" ht="15.75" thickBot="1">
      <c r="A74" s="864"/>
      <c r="B74" s="853"/>
      <c r="C74" s="982">
        <v>100</v>
      </c>
      <c r="D74" s="855"/>
      <c r="E74" s="855"/>
      <c r="F74" s="855"/>
      <c r="G74" s="855"/>
      <c r="H74" s="855"/>
      <c r="I74" s="855"/>
      <c r="J74" s="855"/>
      <c r="K74" s="855"/>
      <c r="L74" s="855"/>
      <c r="M74" s="857"/>
      <c r="N74" s="2366"/>
      <c r="O74" s="2366"/>
      <c r="P74" s="847"/>
      <c r="Q74" s="847"/>
    </row>
    <row r="75" spans="1:17">
      <c r="A75" s="870" t="s">
        <v>414</v>
      </c>
      <c r="B75" s="871" t="s">
        <v>415</v>
      </c>
      <c r="C75" s="122"/>
      <c r="D75" s="122"/>
      <c r="E75" s="122"/>
      <c r="F75" s="122"/>
      <c r="G75" s="122"/>
      <c r="H75" s="122"/>
      <c r="I75" s="122"/>
      <c r="J75" s="122"/>
      <c r="K75" s="123"/>
      <c r="L75" s="124"/>
      <c r="M75" s="125"/>
      <c r="N75" s="2367"/>
      <c r="O75" s="2367"/>
      <c r="P75" s="334"/>
      <c r="Q75" s="847"/>
    </row>
    <row r="76" spans="1:17" ht="15.75" thickBot="1">
      <c r="A76" s="877"/>
      <c r="B76" s="878"/>
      <c r="C76" s="879"/>
      <c r="D76" s="879"/>
      <c r="E76" s="879"/>
      <c r="F76" s="879"/>
      <c r="G76" s="879"/>
      <c r="H76" s="879"/>
      <c r="I76" s="879"/>
      <c r="J76" s="879"/>
      <c r="K76" s="879"/>
      <c r="L76" s="879"/>
      <c r="M76" s="880"/>
      <c r="N76" s="2368"/>
      <c r="O76" s="2368"/>
      <c r="P76" s="334"/>
      <c r="Q76" s="847"/>
    </row>
    <row r="77" spans="1:17" ht="27.75" thickTop="1">
      <c r="A77" s="877"/>
      <c r="B77" s="881" t="s">
        <v>400</v>
      </c>
      <c r="C77" s="882"/>
      <c r="D77" s="882"/>
      <c r="E77" s="882"/>
      <c r="F77" s="882"/>
      <c r="G77" s="882"/>
      <c r="H77" s="882"/>
      <c r="I77" s="882"/>
      <c r="J77" s="882"/>
      <c r="K77" s="883"/>
      <c r="L77" s="884"/>
      <c r="M77" s="885"/>
      <c r="N77" s="2367"/>
      <c r="O77" s="2367"/>
      <c r="P77" s="334"/>
      <c r="Q77" s="847"/>
    </row>
    <row r="78" spans="1:17" ht="15.75" thickBot="1">
      <c r="A78" s="877"/>
      <c r="B78" s="886"/>
      <c r="C78" s="887"/>
      <c r="D78" s="887"/>
      <c r="E78" s="887"/>
      <c r="F78" s="887"/>
      <c r="G78" s="887"/>
      <c r="H78" s="887"/>
      <c r="I78" s="887"/>
      <c r="J78" s="887"/>
      <c r="K78" s="887"/>
      <c r="L78" s="887"/>
      <c r="M78" s="888"/>
      <c r="N78" s="2368"/>
      <c r="O78" s="2368"/>
      <c r="P78" s="334"/>
      <c r="Q78" s="847"/>
    </row>
    <row r="79" spans="1:17" ht="15.75" thickTop="1">
      <c r="A79" s="877"/>
      <c r="B79" s="889" t="s">
        <v>401</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68"/>
      <c r="O79" s="2368"/>
      <c r="P79" s="334"/>
      <c r="Q79" s="847"/>
    </row>
    <row r="80" spans="1:17" ht="15">
      <c r="A80" s="877"/>
      <c r="B80" s="891"/>
      <c r="C80" s="892"/>
      <c r="D80" s="892"/>
      <c r="E80" s="892"/>
      <c r="F80" s="892"/>
      <c r="G80" s="892"/>
      <c r="H80" s="892"/>
      <c r="I80" s="892"/>
      <c r="J80" s="892"/>
      <c r="K80" s="893"/>
      <c r="L80" s="894"/>
      <c r="M80" s="895"/>
      <c r="N80" s="2367"/>
      <c r="O80" s="2367"/>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68"/>
      <c r="O81" s="2368"/>
      <c r="P81" s="334"/>
      <c r="Q81" s="847"/>
    </row>
    <row r="82" spans="1:17" s="814" customFormat="1" ht="15.75" thickTop="1">
      <c r="A82" s="896"/>
      <c r="B82" s="881" t="str">
        <f>B12</f>
        <v>配建</v>
      </c>
      <c r="C82" s="139"/>
      <c r="D82" s="139"/>
      <c r="E82" s="139"/>
      <c r="F82" s="139"/>
      <c r="G82" s="139"/>
      <c r="H82" s="1059"/>
      <c r="I82" s="1059"/>
      <c r="J82" s="1059"/>
      <c r="K82" s="1059"/>
      <c r="L82" s="1060"/>
      <c r="M82" s="1061"/>
      <c r="N82" s="2369"/>
      <c r="O82" s="2369"/>
      <c r="P82" s="901"/>
      <c r="Q82" s="902"/>
    </row>
    <row r="83" spans="1:17" s="814" customFormat="1" ht="15.75" thickBot="1">
      <c r="A83" s="896"/>
      <c r="B83" s="886"/>
      <c r="C83" s="903"/>
      <c r="D83" s="879"/>
      <c r="E83" s="879"/>
      <c r="F83" s="879"/>
      <c r="G83" s="879"/>
      <c r="H83" s="879"/>
      <c r="I83" s="879"/>
      <c r="J83" s="879"/>
      <c r="K83" s="879"/>
      <c r="L83" s="879"/>
      <c r="M83" s="880"/>
      <c r="N83" s="2368"/>
      <c r="O83" s="2368"/>
      <c r="P83" s="901"/>
      <c r="Q83" s="902"/>
    </row>
    <row r="84" spans="1:17" s="814" customFormat="1" ht="15.75" thickTop="1">
      <c r="A84" s="896"/>
      <c r="B84" s="881">
        <f>B13</f>
        <v>111</v>
      </c>
      <c r="C84" s="139"/>
      <c r="D84" s="139"/>
      <c r="E84" s="139"/>
      <c r="F84" s="139"/>
      <c r="G84" s="139"/>
      <c r="H84" s="1059"/>
      <c r="I84" s="1059"/>
      <c r="J84" s="1059"/>
      <c r="K84" s="1059"/>
      <c r="L84" s="1060"/>
      <c r="M84" s="1061"/>
      <c r="N84" s="2369"/>
      <c r="O84" s="2369"/>
      <c r="P84" s="813"/>
      <c r="Q84" s="904"/>
    </row>
    <row r="85" spans="1:17" s="814" customFormat="1" ht="15.75" thickBot="1">
      <c r="A85" s="896"/>
      <c r="B85" s="886"/>
      <c r="C85" s="903"/>
      <c r="D85" s="903"/>
      <c r="E85" s="903"/>
      <c r="F85" s="903"/>
      <c r="G85" s="903"/>
      <c r="H85" s="905"/>
      <c r="I85" s="905"/>
      <c r="J85" s="905"/>
      <c r="K85" s="905"/>
      <c r="L85" s="905"/>
      <c r="M85" s="906"/>
      <c r="N85" s="2369"/>
      <c r="O85" s="2369"/>
      <c r="P85" s="901"/>
      <c r="Q85" s="902"/>
    </row>
    <row r="86" spans="1:17" s="814" customFormat="1" ht="15.75" thickTop="1">
      <c r="A86" s="896"/>
      <c r="B86" s="889">
        <f>B14</f>
        <v>111</v>
      </c>
      <c r="C86" s="140"/>
      <c r="D86" s="140"/>
      <c r="E86" s="140"/>
      <c r="F86" s="140"/>
      <c r="G86" s="140"/>
      <c r="H86" s="1066"/>
      <c r="I86" s="1066"/>
      <c r="J86" s="1066"/>
      <c r="K86" s="1066"/>
      <c r="L86" s="1067"/>
      <c r="M86" s="1068"/>
      <c r="N86" s="2369"/>
      <c r="O86" s="2369"/>
      <c r="P86" s="910"/>
      <c r="Q86" s="902"/>
    </row>
    <row r="87" spans="1:17" s="814" customFormat="1" ht="15.75" thickBot="1">
      <c r="A87" s="911"/>
      <c r="B87" s="912"/>
      <c r="C87" s="913"/>
      <c r="D87" s="913"/>
      <c r="E87" s="913"/>
      <c r="F87" s="913"/>
      <c r="G87" s="913"/>
      <c r="H87" s="914"/>
      <c r="I87" s="914"/>
      <c r="J87" s="914"/>
      <c r="K87" s="914"/>
      <c r="L87" s="914"/>
      <c r="M87" s="915"/>
      <c r="N87" s="2369"/>
      <c r="O87" s="2369"/>
      <c r="P87" s="901"/>
      <c r="Q87" s="902"/>
    </row>
    <row r="88" spans="1:17">
      <c r="A88" s="870" t="s">
        <v>402</v>
      </c>
      <c r="B88" s="871" t="s">
        <v>420</v>
      </c>
      <c r="C88" s="916" t="s">
        <v>421</v>
      </c>
      <c r="D88" s="916" t="s">
        <v>422</v>
      </c>
      <c r="E88" s="916" t="s">
        <v>423</v>
      </c>
      <c r="F88" s="916" t="s">
        <v>424</v>
      </c>
      <c r="G88" s="916" t="s">
        <v>425</v>
      </c>
      <c r="H88" s="872"/>
      <c r="I88" s="872"/>
      <c r="J88" s="872"/>
      <c r="K88" s="917"/>
      <c r="L88" s="918"/>
      <c r="M88" s="919"/>
      <c r="N88" s="2367"/>
      <c r="O88" s="2367"/>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68"/>
      <c r="O89" s="2368"/>
      <c r="P89" s="334"/>
      <c r="Q89" s="847"/>
    </row>
    <row r="90" spans="1:17" ht="15.75" thickTop="1">
      <c r="A90" s="877"/>
      <c r="B90" s="881" t="s">
        <v>501</v>
      </c>
      <c r="C90" s="921" t="s">
        <v>421</v>
      </c>
      <c r="D90" s="921" t="s">
        <v>422</v>
      </c>
      <c r="E90" s="921" t="s">
        <v>423</v>
      </c>
      <c r="F90" s="921" t="s">
        <v>424</v>
      </c>
      <c r="G90" s="921" t="s">
        <v>425</v>
      </c>
      <c r="H90" s="882"/>
      <c r="I90" s="882"/>
      <c r="J90" s="882"/>
      <c r="K90" s="883"/>
      <c r="L90" s="884"/>
      <c r="M90" s="885"/>
      <c r="N90" s="2367"/>
      <c r="O90" s="2367"/>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68"/>
      <c r="O91" s="2368"/>
      <c r="P91" s="334"/>
      <c r="Q91" s="847"/>
    </row>
    <row r="92" spans="1:17" ht="15.75" thickTop="1">
      <c r="A92" s="877"/>
      <c r="B92" s="881" t="s">
        <v>439</v>
      </c>
      <c r="C92" s="921" t="s">
        <v>421</v>
      </c>
      <c r="D92" s="921" t="s">
        <v>422</v>
      </c>
      <c r="E92" s="921" t="s">
        <v>423</v>
      </c>
      <c r="F92" s="921" t="s">
        <v>424</v>
      </c>
      <c r="G92" s="921" t="s">
        <v>425</v>
      </c>
      <c r="H92" s="882"/>
      <c r="I92" s="882"/>
      <c r="J92" s="882"/>
      <c r="K92" s="883"/>
      <c r="L92" s="884"/>
      <c r="M92" s="885"/>
      <c r="N92" s="2367"/>
      <c r="O92" s="2367"/>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68"/>
      <c r="O93" s="2368"/>
      <c r="P93" s="334"/>
      <c r="Q93" s="847"/>
    </row>
    <row r="94" spans="1:17" ht="15.75" thickTop="1">
      <c r="A94" s="877"/>
      <c r="B94" s="881" t="s">
        <v>426</v>
      </c>
      <c r="C94" s="921" t="s">
        <v>421</v>
      </c>
      <c r="D94" s="921" t="s">
        <v>422</v>
      </c>
      <c r="E94" s="921" t="s">
        <v>423</v>
      </c>
      <c r="F94" s="921" t="s">
        <v>424</v>
      </c>
      <c r="G94" s="921" t="s">
        <v>425</v>
      </c>
      <c r="H94" s="882"/>
      <c r="I94" s="882"/>
      <c r="J94" s="882"/>
      <c r="K94" s="883"/>
      <c r="L94" s="884"/>
      <c r="M94" s="885"/>
      <c r="N94" s="2367"/>
      <c r="O94" s="2367"/>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68"/>
      <c r="O95" s="2368"/>
      <c r="P95" s="334"/>
      <c r="Q95" s="847"/>
    </row>
    <row r="96" spans="1:17" s="407" customFormat="1" ht="27.75" thickTop="1">
      <c r="A96" s="922"/>
      <c r="B96" s="881" t="s">
        <v>502</v>
      </c>
      <c r="C96" s="921" t="s">
        <v>421</v>
      </c>
      <c r="D96" s="921" t="s">
        <v>422</v>
      </c>
      <c r="E96" s="921" t="s">
        <v>423</v>
      </c>
      <c r="F96" s="921" t="s">
        <v>424</v>
      </c>
      <c r="G96" s="921" t="s">
        <v>425</v>
      </c>
      <c r="H96" s="921"/>
      <c r="I96" s="921"/>
      <c r="J96" s="921"/>
      <c r="K96" s="921"/>
      <c r="L96" s="1107"/>
      <c r="M96" s="965"/>
      <c r="N96" s="2366"/>
      <c r="O96" s="2366"/>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68"/>
      <c r="O97" s="2368"/>
      <c r="P97" s="334"/>
      <c r="Q97" s="847"/>
    </row>
    <row r="98" spans="1:17" s="407" customFormat="1" ht="27.75" thickTop="1">
      <c r="A98" s="922"/>
      <c r="B98" s="881" t="s">
        <v>503</v>
      </c>
      <c r="C98" s="916" t="s">
        <v>421</v>
      </c>
      <c r="D98" s="916" t="s">
        <v>422</v>
      </c>
      <c r="E98" s="916" t="s">
        <v>423</v>
      </c>
      <c r="F98" s="916" t="s">
        <v>424</v>
      </c>
      <c r="G98" s="916" t="s">
        <v>425</v>
      </c>
      <c r="H98" s="921"/>
      <c r="I98" s="921"/>
      <c r="J98" s="921"/>
      <c r="K98" s="921"/>
      <c r="L98" s="921"/>
      <c r="M98" s="965"/>
      <c r="N98" s="2366"/>
      <c r="O98" s="2366"/>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68"/>
      <c r="O99" s="2368"/>
      <c r="P99" s="334"/>
      <c r="Q99" s="847"/>
    </row>
    <row r="100" spans="1:17" s="814" customFormat="1" ht="15.75" thickTop="1">
      <c r="A100" s="896"/>
      <c r="B100" s="1054" t="s">
        <v>2666</v>
      </c>
      <c r="C100" s="916" t="s">
        <v>421</v>
      </c>
      <c r="D100" s="916" t="s">
        <v>422</v>
      </c>
      <c r="E100" s="916" t="s">
        <v>423</v>
      </c>
      <c r="F100" s="916" t="s">
        <v>424</v>
      </c>
      <c r="G100" s="916" t="s">
        <v>425</v>
      </c>
      <c r="H100" s="943"/>
      <c r="I100" s="943"/>
      <c r="J100" s="943"/>
      <c r="K100" s="943"/>
      <c r="L100" s="944"/>
      <c r="M100" s="945"/>
      <c r="N100" s="2369"/>
      <c r="O100" s="2369"/>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69"/>
      <c r="O101" s="2369"/>
      <c r="P101" s="901"/>
      <c r="Q101" s="902"/>
    </row>
    <row r="102" spans="1:17" s="814" customFormat="1" ht="15.75" thickTop="1">
      <c r="A102" s="896"/>
      <c r="B102" s="1056" t="s">
        <v>2653</v>
      </c>
      <c r="C102" s="213" t="s">
        <v>2654</v>
      </c>
      <c r="D102" s="213" t="s">
        <v>2655</v>
      </c>
      <c r="E102" s="213" t="s">
        <v>2656</v>
      </c>
      <c r="F102" s="213" t="s">
        <v>2657</v>
      </c>
      <c r="G102" s="213" t="s">
        <v>2658</v>
      </c>
      <c r="H102" s="943"/>
      <c r="I102" s="943"/>
      <c r="J102" s="943"/>
      <c r="K102" s="943"/>
      <c r="L102" s="943"/>
      <c r="M102" s="2767"/>
      <c r="N102" s="2369"/>
      <c r="O102" s="2369"/>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67"/>
      <c r="N103" s="2369"/>
      <c r="O103" s="2369"/>
      <c r="P103" s="901"/>
      <c r="Q103" s="902"/>
    </row>
    <row r="104" spans="1:17" ht="15.75" thickTop="1">
      <c r="A104" s="877"/>
      <c r="B104" s="1054" t="str">
        <f>B31</f>
        <v>临街状况</v>
      </c>
      <c r="C104" s="882" t="s">
        <v>504</v>
      </c>
      <c r="D104" s="882" t="s">
        <v>505</v>
      </c>
      <c r="E104" s="882" t="s">
        <v>506</v>
      </c>
      <c r="F104" s="882" t="s">
        <v>507</v>
      </c>
      <c r="G104" s="882"/>
      <c r="H104" s="882"/>
      <c r="I104" s="882"/>
      <c r="J104" s="882"/>
      <c r="K104" s="883"/>
      <c r="L104" s="884"/>
      <c r="M104" s="885"/>
      <c r="N104" s="2367"/>
      <c r="O104" s="2367"/>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68"/>
      <c r="O105" s="2368"/>
      <c r="P105" s="334"/>
      <c r="Q105" s="847"/>
    </row>
    <row r="106" spans="1:17" ht="27.75" thickTop="1">
      <c r="A106" s="877"/>
      <c r="B106" s="881" t="s">
        <v>438</v>
      </c>
      <c r="C106" s="139"/>
      <c r="D106" s="139"/>
      <c r="E106" s="139"/>
      <c r="F106" s="139"/>
      <c r="G106" s="139"/>
      <c r="H106" s="131"/>
      <c r="I106" s="131"/>
      <c r="J106" s="131"/>
      <c r="K106" s="132"/>
      <c r="L106" s="133"/>
      <c r="M106" s="134"/>
      <c r="N106" s="2367"/>
      <c r="O106" s="2367"/>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68"/>
      <c r="O107" s="2368"/>
      <c r="P107" s="334"/>
      <c r="Q107" s="847"/>
    </row>
    <row r="108" spans="1:17" ht="15.75" thickTop="1">
      <c r="A108" s="877"/>
      <c r="B108" s="881" t="s">
        <v>481</v>
      </c>
      <c r="C108" s="131"/>
      <c r="D108" s="131"/>
      <c r="E108" s="131"/>
      <c r="F108" s="131"/>
      <c r="G108" s="131"/>
      <c r="H108" s="131"/>
      <c r="I108" s="131"/>
      <c r="J108" s="131"/>
      <c r="K108" s="132"/>
      <c r="L108" s="133"/>
      <c r="M108" s="134"/>
      <c r="N108" s="2367"/>
      <c r="O108" s="2367"/>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68"/>
      <c r="O109" s="2368"/>
      <c r="P109" s="334"/>
      <c r="Q109" s="847"/>
    </row>
    <row r="110" spans="1:17" ht="15.75" thickTop="1">
      <c r="A110" s="877"/>
      <c r="B110" s="889">
        <f>B35</f>
        <v>111</v>
      </c>
      <c r="C110" s="139"/>
      <c r="D110" s="139"/>
      <c r="E110" s="139"/>
      <c r="F110" s="139"/>
      <c r="G110" s="135"/>
      <c r="H110" s="135"/>
      <c r="I110" s="135"/>
      <c r="J110" s="135"/>
      <c r="K110" s="136"/>
      <c r="L110" s="137"/>
      <c r="M110" s="138"/>
      <c r="N110" s="2367"/>
      <c r="O110" s="2367"/>
      <c r="P110" s="334"/>
      <c r="Q110" s="847"/>
    </row>
    <row r="111" spans="1:17" ht="15.75" thickBot="1">
      <c r="A111" s="877"/>
      <c r="B111" s="912"/>
      <c r="C111" s="903"/>
      <c r="D111" s="903"/>
      <c r="E111" s="903"/>
      <c r="F111" s="903"/>
      <c r="G111" s="934"/>
      <c r="H111" s="934"/>
      <c r="I111" s="934"/>
      <c r="J111" s="934"/>
      <c r="K111" s="934"/>
      <c r="L111" s="934"/>
      <c r="M111" s="935"/>
      <c r="N111" s="2368"/>
      <c r="O111" s="2368"/>
      <c r="P111" s="334"/>
      <c r="Q111" s="847"/>
    </row>
    <row r="112" spans="1:17" ht="15" thickTop="1">
      <c r="A112" s="1084"/>
      <c r="B112" s="881">
        <f>B36</f>
        <v>111</v>
      </c>
      <c r="C112" s="140"/>
      <c r="D112" s="140"/>
      <c r="E112" s="140"/>
      <c r="F112" s="140"/>
      <c r="G112" s="131"/>
      <c r="H112" s="131"/>
      <c r="I112" s="131"/>
      <c r="J112" s="131"/>
      <c r="K112" s="132"/>
      <c r="L112" s="133"/>
      <c r="M112" s="134"/>
      <c r="N112" s="2367"/>
      <c r="O112" s="2367"/>
      <c r="P112" s="334"/>
      <c r="Q112" s="847"/>
    </row>
    <row r="113" spans="1:17" ht="15.75" thickBot="1">
      <c r="A113" s="877"/>
      <c r="B113" s="886"/>
      <c r="C113" s="913"/>
      <c r="D113" s="913"/>
      <c r="E113" s="913"/>
      <c r="F113" s="913"/>
      <c r="G113" s="879"/>
      <c r="H113" s="879"/>
      <c r="I113" s="879"/>
      <c r="J113" s="879"/>
      <c r="K113" s="879"/>
      <c r="L113" s="879"/>
      <c r="M113" s="880"/>
      <c r="N113" s="2368"/>
      <c r="O113" s="2368"/>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69"/>
      <c r="O114" s="2369"/>
      <c r="P114" s="901"/>
      <c r="Q114" s="902"/>
    </row>
    <row r="115" spans="1:17" s="814" customFormat="1" ht="15.75" thickBot="1">
      <c r="A115" s="896"/>
      <c r="B115" s="889"/>
      <c r="C115" s="855"/>
      <c r="D115" s="1086"/>
      <c r="E115" s="1086"/>
      <c r="F115" s="1086"/>
      <c r="G115" s="1086"/>
      <c r="H115" s="1086"/>
      <c r="I115" s="1086"/>
      <c r="J115" s="1086"/>
      <c r="K115" s="1086"/>
      <c r="L115" s="1086"/>
      <c r="M115" s="1108"/>
      <c r="N115" s="2368"/>
      <c r="O115" s="2368"/>
      <c r="P115" s="901"/>
      <c r="Q115" s="902"/>
    </row>
    <row r="116" spans="1:17">
      <c r="A116" s="870" t="s">
        <v>404</v>
      </c>
      <c r="B116" s="871" t="s">
        <v>508</v>
      </c>
      <c r="C116" s="873"/>
      <c r="D116" s="873"/>
      <c r="E116" s="873"/>
      <c r="F116" s="873"/>
      <c r="G116" s="873"/>
      <c r="H116" s="873"/>
      <c r="I116" s="873"/>
      <c r="J116" s="873"/>
      <c r="K116" s="874"/>
      <c r="L116" s="875"/>
      <c r="M116" s="876"/>
      <c r="N116" s="2367"/>
      <c r="O116" s="2367"/>
      <c r="P116" s="334"/>
      <c r="Q116" s="847"/>
    </row>
    <row r="117" spans="1:17" ht="15">
      <c r="A117" s="877"/>
      <c r="B117" s="889"/>
      <c r="C117" s="938"/>
      <c r="D117" s="938"/>
      <c r="E117" s="938"/>
      <c r="F117" s="938"/>
      <c r="G117" s="938"/>
      <c r="H117" s="938"/>
      <c r="I117" s="938"/>
      <c r="J117" s="939"/>
      <c r="K117" s="939"/>
      <c r="L117" s="940"/>
      <c r="M117" s="941"/>
      <c r="N117" s="2367"/>
      <c r="O117" s="2367"/>
      <c r="P117" s="334"/>
      <c r="Q117" s="847"/>
    </row>
    <row r="118" spans="1:17" ht="15.75" thickBot="1">
      <c r="A118" s="877"/>
      <c r="B118" s="886"/>
      <c r="C118" s="913"/>
      <c r="D118" s="934"/>
      <c r="E118" s="934"/>
      <c r="F118" s="934"/>
      <c r="G118" s="934"/>
      <c r="H118" s="934"/>
      <c r="I118" s="934"/>
      <c r="J118" s="934"/>
      <c r="K118" s="934"/>
      <c r="L118" s="934"/>
      <c r="M118" s="935"/>
      <c r="N118" s="2368"/>
      <c r="O118" s="2368"/>
      <c r="P118" s="334"/>
      <c r="Q118" s="847"/>
    </row>
    <row r="119" spans="1:17" ht="15" thickTop="1">
      <c r="A119" s="942"/>
      <c r="B119" s="881" t="s">
        <v>509</v>
      </c>
      <c r="C119" s="131"/>
      <c r="D119" s="131"/>
      <c r="E119" s="131"/>
      <c r="F119" s="131"/>
      <c r="G119" s="131"/>
      <c r="H119" s="131"/>
      <c r="I119" s="131"/>
      <c r="J119" s="131"/>
      <c r="K119" s="132"/>
      <c r="L119" s="133"/>
      <c r="M119" s="134"/>
      <c r="N119" s="2367"/>
      <c r="O119" s="2367"/>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68"/>
      <c r="O120" s="2368"/>
      <c r="P120" s="334"/>
      <c r="Q120" s="847"/>
    </row>
    <row r="121" spans="1:17" ht="15" thickTop="1">
      <c r="A121" s="942"/>
      <c r="B121" s="881" t="s">
        <v>510</v>
      </c>
      <c r="C121" s="139"/>
      <c r="D121" s="139"/>
      <c r="E121" s="139"/>
      <c r="F121" s="131"/>
      <c r="G121" s="131"/>
      <c r="H121" s="131"/>
      <c r="I121" s="131"/>
      <c r="J121" s="131"/>
      <c r="K121" s="132"/>
      <c r="L121" s="133"/>
      <c r="M121" s="134"/>
      <c r="N121" s="2367"/>
      <c r="O121" s="2367"/>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68"/>
      <c r="O122" s="2368"/>
      <c r="P122" s="334"/>
      <c r="Q122" s="847"/>
    </row>
    <row r="123" spans="1:17" s="814" customFormat="1" ht="15" thickTop="1">
      <c r="A123" s="936"/>
      <c r="B123" s="1054" t="s">
        <v>2497</v>
      </c>
      <c r="C123" s="139"/>
      <c r="D123" s="139"/>
      <c r="E123" s="139"/>
      <c r="F123" s="139"/>
      <c r="G123" s="139"/>
      <c r="H123" s="131"/>
      <c r="I123" s="131"/>
      <c r="J123" s="131"/>
      <c r="K123" s="132"/>
      <c r="L123" s="133"/>
      <c r="M123" s="134"/>
      <c r="N123" s="2369"/>
      <c r="O123" s="2369"/>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69"/>
      <c r="O124" s="2369"/>
      <c r="P124" s="901"/>
      <c r="Q124" s="902"/>
    </row>
    <row r="125" spans="1:17" ht="15" thickTop="1">
      <c r="A125" s="942"/>
      <c r="B125" s="881" t="s">
        <v>511</v>
      </c>
      <c r="C125" s="139"/>
      <c r="D125" s="139"/>
      <c r="E125" s="131"/>
      <c r="F125" s="131"/>
      <c r="G125" s="131"/>
      <c r="H125" s="131"/>
      <c r="I125" s="131"/>
      <c r="J125" s="131"/>
      <c r="K125" s="132"/>
      <c r="L125" s="133"/>
      <c r="M125" s="134"/>
      <c r="N125" s="2367"/>
      <c r="O125" s="2367"/>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68"/>
      <c r="O126" s="2368"/>
      <c r="P126" s="334"/>
      <c r="Q126" s="847"/>
    </row>
    <row r="127" spans="1:17" ht="15" thickTop="1">
      <c r="A127" s="942"/>
      <c r="B127" s="881">
        <f>B43</f>
        <v>111</v>
      </c>
      <c r="C127" s="139"/>
      <c r="D127" s="139"/>
      <c r="E127" s="139"/>
      <c r="F127" s="139"/>
      <c r="G127" s="139"/>
      <c r="H127" s="131"/>
      <c r="I127" s="131"/>
      <c r="J127" s="131"/>
      <c r="K127" s="132"/>
      <c r="L127" s="133"/>
      <c r="M127" s="134"/>
      <c r="N127" s="2367"/>
      <c r="O127" s="2367"/>
      <c r="P127" s="334"/>
      <c r="Q127" s="847"/>
    </row>
    <row r="128" spans="1:17" ht="15.75" thickBot="1">
      <c r="A128" s="877"/>
      <c r="B128" s="886"/>
      <c r="C128" s="903"/>
      <c r="D128" s="903"/>
      <c r="E128" s="903"/>
      <c r="F128" s="903"/>
      <c r="G128" s="879"/>
      <c r="H128" s="879"/>
      <c r="I128" s="879"/>
      <c r="J128" s="879"/>
      <c r="K128" s="879"/>
      <c r="L128" s="879"/>
      <c r="M128" s="880"/>
      <c r="N128" s="2368"/>
      <c r="O128" s="2368"/>
      <c r="P128" s="334"/>
      <c r="Q128" s="847"/>
    </row>
    <row r="129" spans="1:17" ht="15" thickTop="1">
      <c r="A129" s="942"/>
      <c r="B129" s="881">
        <f>B44</f>
        <v>111</v>
      </c>
      <c r="C129" s="140"/>
      <c r="D129" s="140"/>
      <c r="E129" s="140"/>
      <c r="F129" s="140"/>
      <c r="G129" s="131"/>
      <c r="H129" s="131"/>
      <c r="I129" s="131"/>
      <c r="J129" s="131"/>
      <c r="K129" s="132"/>
      <c r="L129" s="133"/>
      <c r="M129" s="134"/>
      <c r="N129" s="2367"/>
      <c r="O129" s="2367"/>
      <c r="P129" s="334"/>
      <c r="Q129" s="847"/>
    </row>
    <row r="130" spans="1:17" ht="15.75" thickBot="1">
      <c r="A130" s="877"/>
      <c r="B130" s="886"/>
      <c r="C130" s="913"/>
      <c r="D130" s="913"/>
      <c r="E130" s="913"/>
      <c r="F130" s="913"/>
      <c r="G130" s="879"/>
      <c r="H130" s="879"/>
      <c r="I130" s="879"/>
      <c r="J130" s="879"/>
      <c r="K130" s="879"/>
      <c r="L130" s="879"/>
      <c r="M130" s="880"/>
      <c r="N130" s="2368"/>
      <c r="O130" s="2368"/>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69"/>
      <c r="O131" s="2369"/>
      <c r="P131" s="901"/>
      <c r="Q131" s="902"/>
    </row>
    <row r="132" spans="1:17" s="814" customFormat="1" ht="15.75" thickBot="1">
      <c r="A132" s="911"/>
      <c r="B132" s="1109"/>
      <c r="C132" s="913"/>
      <c r="D132" s="913"/>
      <c r="E132" s="913"/>
      <c r="F132" s="913"/>
      <c r="G132" s="934"/>
      <c r="H132" s="934"/>
      <c r="I132" s="934"/>
      <c r="J132" s="934"/>
      <c r="K132" s="934"/>
      <c r="L132" s="934"/>
      <c r="M132" s="935"/>
      <c r="N132" s="2369"/>
      <c r="O132" s="2369"/>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I7" sqref="I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477</v>
      </c>
      <c r="B1" s="738"/>
      <c r="C1" s="739" t="s">
        <v>513</v>
      </c>
      <c r="D1" s="1303"/>
      <c r="E1" s="1303"/>
      <c r="F1" s="1302" t="s">
        <v>385</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341</v>
      </c>
      <c r="B2" s="1080" t="e">
        <f>F61</f>
        <v>#DIV/0!</v>
      </c>
      <c r="C2" s="2340"/>
      <c r="D2" s="2340"/>
      <c r="E2" s="2340"/>
      <c r="F2" s="2341"/>
      <c r="G2" s="2340"/>
      <c r="H2" s="2340"/>
      <c r="I2" s="2340"/>
      <c r="J2" s="2340"/>
      <c r="K2" s="2342"/>
      <c r="L2" s="2343"/>
      <c r="M2" s="2344"/>
      <c r="N2" s="2344"/>
      <c r="O2" s="2344"/>
      <c r="P2" s="1316"/>
      <c r="Q2" s="1316"/>
      <c r="R2" s="1316"/>
      <c r="S2" s="1316"/>
      <c r="T2" s="1316"/>
      <c r="U2" s="1316"/>
      <c r="V2" s="1316"/>
      <c r="W2" s="1316"/>
      <c r="X2" s="1316"/>
      <c r="Y2" s="1316"/>
      <c r="Z2" s="1316"/>
      <c r="AA2" s="1316"/>
      <c r="AB2" s="1316"/>
      <c r="AC2" s="1317"/>
    </row>
    <row r="3" spans="1:29" s="741" customFormat="1" ht="28.5" customHeight="1" thickBot="1">
      <c r="A3" s="579" t="s">
        <v>342</v>
      </c>
      <c r="B3" s="952" t="e">
        <f>ROUND(IF(D3="",B2*10000/'数据-汇总表'!E3,B2*10000/D3),0)</f>
        <v>#DIV/0!</v>
      </c>
      <c r="C3" s="579" t="s">
        <v>2886</v>
      </c>
      <c r="D3" s="3054"/>
      <c r="E3" s="2340"/>
      <c r="F3" s="2341"/>
      <c r="G3" s="2340"/>
      <c r="H3" s="2340"/>
      <c r="I3" s="2340"/>
      <c r="J3" s="2340"/>
      <c r="K3" s="2342"/>
      <c r="L3" s="2343"/>
      <c r="M3" s="2344"/>
      <c r="N3" s="2344"/>
      <c r="O3" s="2344"/>
      <c r="P3" s="1316"/>
      <c r="Q3" s="1316"/>
      <c r="R3" s="1316"/>
      <c r="S3" s="1316"/>
      <c r="T3" s="1316"/>
      <c r="U3" s="1316"/>
      <c r="V3" s="1316"/>
      <c r="W3" s="1316"/>
      <c r="X3" s="1316"/>
      <c r="Y3" s="1316"/>
      <c r="Z3" s="1316"/>
      <c r="AA3" s="1316"/>
      <c r="AB3" s="1409"/>
      <c r="AC3" s="1399"/>
    </row>
    <row r="4" spans="1:29" ht="15">
      <c r="A4" s="744" t="s">
        <v>386</v>
      </c>
      <c r="B4" s="745"/>
      <c r="C4" s="3674" t="s">
        <v>387</v>
      </c>
      <c r="D4" s="3675"/>
      <c r="E4" s="3676" t="s">
        <v>388</v>
      </c>
      <c r="F4" s="3677"/>
      <c r="G4" s="3674" t="s">
        <v>389</v>
      </c>
      <c r="H4" s="3675"/>
      <c r="I4" s="3674" t="s">
        <v>390</v>
      </c>
      <c r="J4" s="3675"/>
      <c r="K4" s="953" t="s">
        <v>391</v>
      </c>
      <c r="L4" s="2345"/>
      <c r="M4" s="2346"/>
      <c r="N4" s="2346"/>
      <c r="O4" s="2346"/>
      <c r="P4" s="3678" t="s">
        <v>392</v>
      </c>
      <c r="Q4" s="3679"/>
      <c r="R4" s="3661" t="s">
        <v>388</v>
      </c>
      <c r="S4" s="3662"/>
      <c r="T4" s="3661" t="s">
        <v>389</v>
      </c>
      <c r="U4" s="3662"/>
      <c r="V4" s="3686" t="s">
        <v>390</v>
      </c>
      <c r="W4" s="3686"/>
      <c r="X4" s="1318"/>
      <c r="Y4" s="3661" t="s">
        <v>392</v>
      </c>
      <c r="Z4" s="3662"/>
      <c r="AA4" s="3656" t="s">
        <v>388</v>
      </c>
      <c r="AB4" s="3657" t="s">
        <v>389</v>
      </c>
      <c r="AC4" s="3656" t="s">
        <v>390</v>
      </c>
    </row>
    <row r="5" spans="1:29" ht="15">
      <c r="A5" s="747"/>
      <c r="B5" s="748"/>
      <c r="C5" s="3605" t="s">
        <v>1121</v>
      </c>
      <c r="D5" s="3606"/>
      <c r="E5" s="3603" t="s">
        <v>1122</v>
      </c>
      <c r="F5" s="3604"/>
      <c r="G5" s="3605" t="s">
        <v>1125</v>
      </c>
      <c r="H5" s="3606"/>
      <c r="I5" s="3605" t="s">
        <v>1123</v>
      </c>
      <c r="J5" s="3606"/>
      <c r="K5" s="953"/>
      <c r="L5" s="2345"/>
      <c r="M5" s="2346"/>
      <c r="N5" s="2346"/>
      <c r="O5" s="2346"/>
      <c r="P5" s="3680"/>
      <c r="Q5" s="3681"/>
      <c r="R5" s="3663"/>
      <c r="S5" s="3664"/>
      <c r="T5" s="3663"/>
      <c r="U5" s="3664"/>
      <c r="V5" s="3686"/>
      <c r="W5" s="3686"/>
      <c r="X5" s="1318"/>
      <c r="Y5" s="3663"/>
      <c r="Z5" s="3664"/>
      <c r="AA5" s="3657"/>
      <c r="AB5" s="3657"/>
      <c r="AC5" s="3657"/>
    </row>
    <row r="6" spans="1:29" ht="15.75" thickBot="1">
      <c r="A6" s="749"/>
      <c r="B6" s="750"/>
      <c r="C6" s="3703" t="s">
        <v>1124</v>
      </c>
      <c r="D6" s="3704"/>
      <c r="E6" s="3705" t="s">
        <v>1124</v>
      </c>
      <c r="F6" s="3706"/>
      <c r="G6" s="3703" t="s">
        <v>1124</v>
      </c>
      <c r="H6" s="3704"/>
      <c r="I6" s="3703" t="s">
        <v>1124</v>
      </c>
      <c r="J6" s="3704"/>
      <c r="K6" s="953" t="s">
        <v>393</v>
      </c>
      <c r="L6" s="2345"/>
      <c r="M6" s="2346"/>
      <c r="N6" s="2346"/>
      <c r="O6" s="2346"/>
      <c r="P6" s="3682"/>
      <c r="Q6" s="3683"/>
      <c r="R6" s="3663"/>
      <c r="S6" s="3664"/>
      <c r="T6" s="3684"/>
      <c r="U6" s="3685"/>
      <c r="V6" s="3686"/>
      <c r="W6" s="3686"/>
      <c r="X6" s="1318"/>
      <c r="Y6" s="3684"/>
      <c r="Z6" s="3685"/>
      <c r="AA6" s="3658"/>
      <c r="AB6" s="3658"/>
      <c r="AC6" s="3658"/>
    </row>
    <row r="7" spans="1:29" s="407" customFormat="1" ht="15.75" thickBot="1">
      <c r="A7" s="751" t="s">
        <v>394</v>
      </c>
      <c r="B7" s="752"/>
      <c r="C7" s="753">
        <f>'数据-取费表'!B2</f>
        <v>42956</v>
      </c>
      <c r="D7" s="754">
        <v>100</v>
      </c>
      <c r="E7" s="1017"/>
      <c r="F7" s="756">
        <f>SUMIF(65:65,YEAR(E7)&amp;"-"&amp;INT((MONTH(E7)+2)/3),66:66)</f>
        <v>0</v>
      </c>
      <c r="G7" s="1018"/>
      <c r="H7" s="754">
        <f>SUMIF(65:65,YEAR(G7)&amp;"-"&amp;INT((MONTH(G7)+2)/3),66:66)</f>
        <v>0</v>
      </c>
      <c r="I7" s="1018"/>
      <c r="J7" s="754">
        <f>SUMIF(65:65,YEAR(I7)&amp;"-"&amp;INT((MONTH(I7)+2)/3),66:66)</f>
        <v>0</v>
      </c>
      <c r="K7" s="954"/>
      <c r="L7" s="2347"/>
      <c r="M7" s="2348"/>
      <c r="N7" s="2348"/>
      <c r="O7" s="2348"/>
      <c r="P7" s="3659" t="s">
        <v>395</v>
      </c>
      <c r="Q7" s="3687"/>
      <c r="R7" s="1319" t="s">
        <v>61</v>
      </c>
      <c r="S7" s="1320">
        <f t="shared" ref="S7:S15" si="0">F7</f>
        <v>0</v>
      </c>
      <c r="T7" s="1319" t="s">
        <v>61</v>
      </c>
      <c r="U7" s="1320">
        <f t="shared" ref="U7:U15" si="1">H7</f>
        <v>0</v>
      </c>
      <c r="V7" s="1319" t="s">
        <v>61</v>
      </c>
      <c r="W7" s="1320">
        <f t="shared" ref="W7:W15" si="2">J7</f>
        <v>0</v>
      </c>
      <c r="X7" s="1321"/>
      <c r="Y7" s="3659" t="s">
        <v>395</v>
      </c>
      <c r="Z7" s="3660"/>
      <c r="AA7" s="1322" t="e">
        <f>D7/F7</f>
        <v>#DIV/0!</v>
      </c>
      <c r="AB7" s="1322" t="e">
        <f>D7/H7</f>
        <v>#DIV/0!</v>
      </c>
      <c r="AC7" s="1322" t="e">
        <f>D7/J7</f>
        <v>#DIV/0!</v>
      </c>
    </row>
    <row r="8" spans="1:29" s="407" customFormat="1" ht="15.75" thickBot="1">
      <c r="A8" s="751" t="s">
        <v>396</v>
      </c>
      <c r="B8" s="752"/>
      <c r="C8" s="1020" t="s">
        <v>151</v>
      </c>
      <c r="D8" s="754">
        <v>100</v>
      </c>
      <c r="E8" s="1020"/>
      <c r="F8" s="756">
        <f>SUMIF(68:68,E8,69:69)-SUMIF(68:68,C8,69:69)+100</f>
        <v>0</v>
      </c>
      <c r="G8" s="1020"/>
      <c r="H8" s="754">
        <f>SUMIF(68:68,G8,69:69)-SUMIF(68:68,C8,69:69)+100</f>
        <v>0</v>
      </c>
      <c r="I8" s="1020"/>
      <c r="J8" s="754">
        <f>SUMIF(68:68,I8,69:69)-SUMIF(68:68,C8,69:69)+100</f>
        <v>0</v>
      </c>
      <c r="K8" s="954"/>
      <c r="L8" s="2347"/>
      <c r="M8" s="2348"/>
      <c r="N8" s="2348"/>
      <c r="O8" s="2348"/>
      <c r="P8" s="3659" t="s">
        <v>431</v>
      </c>
      <c r="Q8" s="3660"/>
      <c r="R8" s="1319" t="s">
        <v>61</v>
      </c>
      <c r="S8" s="1320">
        <f t="shared" si="0"/>
        <v>0</v>
      </c>
      <c r="T8" s="1319" t="s">
        <v>61</v>
      </c>
      <c r="U8" s="1320">
        <f t="shared" si="1"/>
        <v>0</v>
      </c>
      <c r="V8" s="1319" t="s">
        <v>61</v>
      </c>
      <c r="W8" s="1320">
        <f t="shared" si="2"/>
        <v>0</v>
      </c>
      <c r="X8" s="1321"/>
      <c r="Y8" s="3659" t="s">
        <v>431</v>
      </c>
      <c r="Z8" s="3660"/>
      <c r="AA8" s="1322" t="e">
        <f t="shared" ref="AA8:AA40" si="3">D8/F8</f>
        <v>#DIV/0!</v>
      </c>
      <c r="AB8" s="1322" t="e">
        <f t="shared" ref="AB8:AB40" si="4">D8/H8</f>
        <v>#DIV/0!</v>
      </c>
      <c r="AC8" s="1322" t="e">
        <f t="shared" ref="AC8:AC40" si="5">D8/J8</f>
        <v>#DIV/0!</v>
      </c>
    </row>
    <row r="9" spans="1:29" s="407" customFormat="1">
      <c r="A9" s="758" t="s">
        <v>397</v>
      </c>
      <c r="B9" s="361" t="s">
        <v>415</v>
      </c>
      <c r="C9" s="1022"/>
      <c r="D9" s="425">
        <v>100</v>
      </c>
      <c r="E9" s="1022"/>
      <c r="F9" s="425">
        <f>SUMIF(70:70,E9,71:71)-SUMIF(70:70,C9,71:71)+100</f>
        <v>100</v>
      </c>
      <c r="G9" s="1022"/>
      <c r="H9" s="425">
        <f>SUMIF(70:70,G9,71:71)-SUMIF(70:70,C9,71:71)+100</f>
        <v>100</v>
      </c>
      <c r="I9" s="1022"/>
      <c r="J9" s="425">
        <f>SUMIF(70:70,I9,71:71)-SUMIF(70:70,C9,71:71)+100</f>
        <v>100</v>
      </c>
      <c r="K9" s="954"/>
      <c r="L9" s="2347"/>
      <c r="M9" s="2348"/>
      <c r="N9" s="2348"/>
      <c r="O9" s="2349"/>
      <c r="P9" s="3673" t="s">
        <v>398</v>
      </c>
      <c r="Q9" s="296" t="str">
        <f t="shared" ref="Q9:Q15" si="6">B9</f>
        <v>用途</v>
      </c>
      <c r="R9" s="1319" t="s">
        <v>61</v>
      </c>
      <c r="S9" s="1320">
        <f t="shared" si="0"/>
        <v>100</v>
      </c>
      <c r="T9" s="1319" t="s">
        <v>61</v>
      </c>
      <c r="U9" s="1320">
        <f t="shared" si="1"/>
        <v>100</v>
      </c>
      <c r="V9" s="1319" t="s">
        <v>61</v>
      </c>
      <c r="W9" s="1320">
        <f t="shared" si="2"/>
        <v>100</v>
      </c>
      <c r="X9" s="1321"/>
      <c r="Y9" s="3541" t="s">
        <v>399</v>
      </c>
      <c r="Z9" s="344" t="str">
        <f t="shared" ref="Z9:Z15" si="7">Q9</f>
        <v>用途</v>
      </c>
      <c r="AA9" s="1322">
        <f t="shared" si="3"/>
        <v>1</v>
      </c>
      <c r="AB9" s="1322">
        <f t="shared" si="4"/>
        <v>1</v>
      </c>
      <c r="AC9" s="1322">
        <f t="shared" si="5"/>
        <v>1</v>
      </c>
    </row>
    <row r="10" spans="1:29" s="770" customFormat="1" ht="27">
      <c r="A10" s="764"/>
      <c r="B10" s="765" t="s">
        <v>400</v>
      </c>
      <c r="C10" s="1024"/>
      <c r="D10" s="426">
        <v>100</v>
      </c>
      <c r="E10" s="1024"/>
      <c r="F10" s="426">
        <f>ROUND(100/'数据-取费表'!G16,0)</f>
        <v>104</v>
      </c>
      <c r="G10" s="1024"/>
      <c r="H10" s="426">
        <f>ROUND(100/'数据-取费表'!G16,0)</f>
        <v>104</v>
      </c>
      <c r="I10" s="1024"/>
      <c r="J10" s="426">
        <f>ROUND(100/'数据-取费表'!G16,0)</f>
        <v>104</v>
      </c>
      <c r="K10" s="1081"/>
      <c r="L10" s="2350"/>
      <c r="M10" s="2351"/>
      <c r="N10" s="2351"/>
      <c r="O10" s="2352"/>
      <c r="P10" s="3673"/>
      <c r="Q10" s="296" t="str">
        <f t="shared" si="6"/>
        <v>土地使用年限（年）</v>
      </c>
      <c r="R10" s="1319" t="s">
        <v>61</v>
      </c>
      <c r="S10" s="1320">
        <f t="shared" si="0"/>
        <v>104</v>
      </c>
      <c r="T10" s="1319" t="s">
        <v>61</v>
      </c>
      <c r="U10" s="1320">
        <f t="shared" si="1"/>
        <v>104</v>
      </c>
      <c r="V10" s="1319" t="s">
        <v>61</v>
      </c>
      <c r="W10" s="1320">
        <f t="shared" si="2"/>
        <v>104</v>
      </c>
      <c r="X10" s="1321"/>
      <c r="Y10" s="3541"/>
      <c r="Z10" s="344" t="str">
        <f t="shared" si="7"/>
        <v>土地使用年限（年）</v>
      </c>
      <c r="AA10" s="1322">
        <f t="shared" si="3"/>
        <v>0.96153846153846156</v>
      </c>
      <c r="AB10" s="1322">
        <f t="shared" si="4"/>
        <v>0.96153846153846156</v>
      </c>
      <c r="AC10" s="1322">
        <f t="shared" si="5"/>
        <v>0.96153846153846156</v>
      </c>
    </row>
    <row r="11" spans="1:29" ht="15">
      <c r="A11" s="771"/>
      <c r="B11" s="765" t="s">
        <v>401</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3"/>
      <c r="M11" s="2346"/>
      <c r="N11" s="2346"/>
      <c r="O11" s="2354"/>
      <c r="P11" s="3673"/>
      <c r="Q11" s="296" t="str">
        <f t="shared" si="6"/>
        <v>容积率</v>
      </c>
      <c r="R11" s="1319" t="s">
        <v>61</v>
      </c>
      <c r="S11" s="1320" t="e">
        <f t="shared" si="0"/>
        <v>#N/A</v>
      </c>
      <c r="T11" s="1319" t="s">
        <v>61</v>
      </c>
      <c r="U11" s="1320" t="e">
        <f t="shared" si="1"/>
        <v>#N/A</v>
      </c>
      <c r="V11" s="1319" t="s">
        <v>61</v>
      </c>
      <c r="W11" s="1320" t="e">
        <f t="shared" si="2"/>
        <v>#N/A</v>
      </c>
      <c r="X11" s="1321"/>
      <c r="Y11" s="3541"/>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7"/>
      <c r="M12" s="2348"/>
      <c r="N12" s="2348"/>
      <c r="O12" s="2349"/>
      <c r="P12" s="3673"/>
      <c r="Q12" s="296">
        <f t="shared" si="6"/>
        <v>111</v>
      </c>
      <c r="R12" s="1319" t="s">
        <v>61</v>
      </c>
      <c r="S12" s="1320">
        <f t="shared" si="0"/>
        <v>100</v>
      </c>
      <c r="T12" s="1319" t="s">
        <v>61</v>
      </c>
      <c r="U12" s="1320">
        <f t="shared" si="1"/>
        <v>100</v>
      </c>
      <c r="V12" s="1319" t="s">
        <v>61</v>
      </c>
      <c r="W12" s="1320">
        <f t="shared" si="2"/>
        <v>100</v>
      </c>
      <c r="X12" s="1321"/>
      <c r="Y12" s="3541"/>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5"/>
      <c r="M13" s="2346"/>
      <c r="N13" s="2346"/>
      <c r="O13" s="2354"/>
      <c r="P13" s="3673"/>
      <c r="Q13" s="296">
        <f t="shared" si="6"/>
        <v>111</v>
      </c>
      <c r="R13" s="1319" t="s">
        <v>61</v>
      </c>
      <c r="S13" s="1320">
        <f t="shared" si="0"/>
        <v>100</v>
      </c>
      <c r="T13" s="1319" t="s">
        <v>61</v>
      </c>
      <c r="U13" s="1320">
        <f t="shared" si="1"/>
        <v>100</v>
      </c>
      <c r="V13" s="1319" t="s">
        <v>61</v>
      </c>
      <c r="W13" s="1320">
        <f t="shared" si="2"/>
        <v>100</v>
      </c>
      <c r="X13" s="1321"/>
      <c r="Y13" s="3541"/>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5"/>
      <c r="M14" s="2346"/>
      <c r="N14" s="2346"/>
      <c r="O14" s="2354"/>
      <c r="P14" s="3673"/>
      <c r="Q14" s="296">
        <f t="shared" si="6"/>
        <v>111</v>
      </c>
      <c r="R14" s="1319" t="s">
        <v>61</v>
      </c>
      <c r="S14" s="1320">
        <f t="shared" si="0"/>
        <v>100</v>
      </c>
      <c r="T14" s="1319" t="s">
        <v>61</v>
      </c>
      <c r="U14" s="1320">
        <f t="shared" si="1"/>
        <v>100</v>
      </c>
      <c r="V14" s="1319" t="s">
        <v>61</v>
      </c>
      <c r="W14" s="1320">
        <f t="shared" si="2"/>
        <v>100</v>
      </c>
      <c r="X14" s="1321"/>
      <c r="Y14" s="3541"/>
      <c r="Z14" s="344">
        <f t="shared" si="7"/>
        <v>111</v>
      </c>
      <c r="AA14" s="1322">
        <f t="shared" si="3"/>
        <v>1</v>
      </c>
      <c r="AB14" s="1322">
        <f t="shared" si="4"/>
        <v>1</v>
      </c>
      <c r="AC14" s="1322">
        <f t="shared" si="5"/>
        <v>1</v>
      </c>
    </row>
    <row r="15" spans="1:29" ht="67.5">
      <c r="A15" s="783" t="s">
        <v>402</v>
      </c>
      <c r="B15" s="972" t="s">
        <v>514</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5"/>
      <c r="M15" s="2346"/>
      <c r="N15" s="2346"/>
      <c r="O15" s="2354"/>
      <c r="P15" s="3688" t="s">
        <v>403</v>
      </c>
      <c r="Q15" s="1323" t="str">
        <f t="shared" si="6"/>
        <v>产业集聚程度</v>
      </c>
      <c r="R15" s="1324" t="s">
        <v>61</v>
      </c>
      <c r="S15" s="1325">
        <f t="shared" si="0"/>
        <v>100</v>
      </c>
      <c r="T15" s="1324" t="s">
        <v>61</v>
      </c>
      <c r="U15" s="1325">
        <f t="shared" si="1"/>
        <v>100</v>
      </c>
      <c r="V15" s="1324" t="s">
        <v>61</v>
      </c>
      <c r="W15" s="1325">
        <f t="shared" si="2"/>
        <v>100</v>
      </c>
      <c r="X15" s="1318"/>
      <c r="Y15" s="3688" t="s">
        <v>403</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5"/>
      <c r="M16" s="2346"/>
      <c r="N16" s="2346"/>
      <c r="O16" s="2354"/>
      <c r="P16" s="3689"/>
      <c r="Q16" s="1323"/>
      <c r="R16" s="1324"/>
      <c r="S16" s="1325"/>
      <c r="T16" s="1324"/>
      <c r="U16" s="1325"/>
      <c r="V16" s="1324"/>
      <c r="W16" s="1325"/>
      <c r="X16" s="1318"/>
      <c r="Y16" s="3689"/>
      <c r="Z16" s="1326"/>
      <c r="AA16" s="1327">
        <v>1</v>
      </c>
      <c r="AB16" s="1327">
        <v>1</v>
      </c>
      <c r="AC16" s="1327">
        <v>1</v>
      </c>
    </row>
    <row r="17" spans="1:29" ht="94.5">
      <c r="A17" s="771"/>
      <c r="B17" s="974" t="s">
        <v>452</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5"/>
      <c r="M17" s="2346"/>
      <c r="N17" s="2346"/>
      <c r="O17" s="2354"/>
      <c r="P17" s="3689"/>
      <c r="Q17" s="1323" t="str">
        <f>B17</f>
        <v>交通便捷度</v>
      </c>
      <c r="R17" s="1324" t="s">
        <v>61</v>
      </c>
      <c r="S17" s="1325">
        <f>F17</f>
        <v>100</v>
      </c>
      <c r="T17" s="1324" t="s">
        <v>61</v>
      </c>
      <c r="U17" s="1325">
        <f>H17</f>
        <v>100</v>
      </c>
      <c r="V17" s="1324" t="s">
        <v>61</v>
      </c>
      <c r="W17" s="1325">
        <f>J17</f>
        <v>100</v>
      </c>
      <c r="X17" s="1318"/>
      <c r="Y17" s="3689"/>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5"/>
      <c r="M18" s="2346"/>
      <c r="N18" s="2346"/>
      <c r="O18" s="2354"/>
      <c r="P18" s="3689"/>
      <c r="Q18" s="1323"/>
      <c r="R18" s="1324"/>
      <c r="S18" s="1325"/>
      <c r="T18" s="1324"/>
      <c r="U18" s="1325"/>
      <c r="V18" s="1324"/>
      <c r="W18" s="1325"/>
      <c r="X18" s="1318"/>
      <c r="Y18" s="3689"/>
      <c r="Z18" s="1326"/>
      <c r="AA18" s="1327">
        <v>1</v>
      </c>
      <c r="AB18" s="1327">
        <v>1</v>
      </c>
      <c r="AC18" s="1327">
        <v>1</v>
      </c>
    </row>
    <row r="19" spans="1:29" ht="27">
      <c r="A19" s="771"/>
      <c r="B19" s="974" t="s">
        <v>1843</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5"/>
      <c r="M19" s="2346"/>
      <c r="N19" s="2346"/>
      <c r="O19" s="2354"/>
      <c r="P19" s="3689"/>
      <c r="Q19" s="1323" t="str">
        <f t="shared" ref="Q19:Q33" si="8">B19</f>
        <v>区域土地利用方向</v>
      </c>
      <c r="R19" s="1324" t="s">
        <v>61</v>
      </c>
      <c r="S19" s="1325">
        <f>F19</f>
        <v>100</v>
      </c>
      <c r="T19" s="1324" t="s">
        <v>61</v>
      </c>
      <c r="U19" s="1325">
        <f>H19</f>
        <v>100</v>
      </c>
      <c r="V19" s="1324" t="s">
        <v>61</v>
      </c>
      <c r="W19" s="1325">
        <f>J19</f>
        <v>100</v>
      </c>
      <c r="X19" s="1318"/>
      <c r="Y19" s="3689"/>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2"/>
      <c r="L20" s="2355"/>
      <c r="M20" s="2346"/>
      <c r="N20" s="2346"/>
      <c r="O20" s="2354"/>
      <c r="P20" s="3689"/>
      <c r="Q20" s="1470"/>
      <c r="R20" s="1324"/>
      <c r="S20" s="1325"/>
      <c r="T20" s="1324"/>
      <c r="U20" s="1325"/>
      <c r="V20" s="1324"/>
      <c r="W20" s="1325"/>
      <c r="X20" s="1469"/>
      <c r="Y20" s="3689"/>
      <c r="Z20" s="1471"/>
      <c r="AA20" s="1327"/>
      <c r="AB20" s="1327"/>
      <c r="AC20" s="1327"/>
    </row>
    <row r="21" spans="1:29" ht="81">
      <c r="A21" s="747"/>
      <c r="B21" s="974" t="s">
        <v>515</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5"/>
      <c r="M21" s="2346"/>
      <c r="N21" s="2346"/>
      <c r="O21" s="2354"/>
      <c r="P21" s="3689"/>
      <c r="Q21" s="1323" t="str">
        <f t="shared" si="8"/>
        <v>环境状况</v>
      </c>
      <c r="R21" s="1324" t="s">
        <v>61</v>
      </c>
      <c r="S21" s="1325">
        <f>F21</f>
        <v>100</v>
      </c>
      <c r="T21" s="1324" t="s">
        <v>61</v>
      </c>
      <c r="U21" s="1325">
        <f>H21</f>
        <v>100</v>
      </c>
      <c r="V21" s="1324" t="s">
        <v>61</v>
      </c>
      <c r="W21" s="1325">
        <f>J21</f>
        <v>100</v>
      </c>
      <c r="X21" s="1318"/>
      <c r="Y21" s="3689"/>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5"/>
      <c r="M22" s="2346"/>
      <c r="N22" s="2346"/>
      <c r="O22" s="2354"/>
      <c r="P22" s="3689"/>
      <c r="Q22" s="1323"/>
      <c r="R22" s="1324"/>
      <c r="S22" s="1325"/>
      <c r="T22" s="1324"/>
      <c r="U22" s="1325"/>
      <c r="V22" s="1324"/>
      <c r="W22" s="1325"/>
      <c r="X22" s="1318"/>
      <c r="Y22" s="3689"/>
      <c r="Z22" s="1326"/>
      <c r="AA22" s="1327">
        <v>1</v>
      </c>
      <c r="AB22" s="1327">
        <v>1</v>
      </c>
      <c r="AC22" s="1327">
        <v>1</v>
      </c>
    </row>
    <row r="23" spans="1:29" s="407" customFormat="1" ht="40.5">
      <c r="A23" s="992"/>
      <c r="B23" s="1036" t="s">
        <v>2666</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47"/>
      <c r="M23" s="2348"/>
      <c r="N23" s="2348"/>
      <c r="O23" s="2349"/>
      <c r="P23" s="3689"/>
      <c r="Q23" s="296" t="str">
        <f t="shared" si="8"/>
        <v>公共配套设施</v>
      </c>
      <c r="R23" s="1319" t="s">
        <v>61</v>
      </c>
      <c r="S23" s="1320">
        <f>F23</f>
        <v>100</v>
      </c>
      <c r="T23" s="1319" t="s">
        <v>61</v>
      </c>
      <c r="U23" s="1320">
        <f>H23</f>
        <v>100</v>
      </c>
      <c r="V23" s="1319" t="s">
        <v>61</v>
      </c>
      <c r="W23" s="1320">
        <f>J23</f>
        <v>100</v>
      </c>
      <c r="X23" s="1321"/>
      <c r="Y23" s="3689"/>
      <c r="Z23" s="344" t="str">
        <f>Q23</f>
        <v>公共配套设施</v>
      </c>
      <c r="AA23" s="1327">
        <f>D23/F23</f>
        <v>1</v>
      </c>
      <c r="AB23" s="1327">
        <f>D23/H23</f>
        <v>1</v>
      </c>
      <c r="AC23" s="1327">
        <f>D23/J23</f>
        <v>1</v>
      </c>
    </row>
    <row r="24" spans="1:29" s="407" customFormat="1" ht="15">
      <c r="A24" s="992"/>
      <c r="B24" s="975"/>
      <c r="C24" s="2772"/>
      <c r="D24" s="791"/>
      <c r="E24" s="192"/>
      <c r="F24" s="791"/>
      <c r="G24" s="192"/>
      <c r="H24" s="791"/>
      <c r="I24" s="97"/>
      <c r="J24" s="791"/>
      <c r="K24" s="1081"/>
      <c r="L24" s="2347"/>
      <c r="M24" s="2348"/>
      <c r="N24" s="2348"/>
      <c r="O24" s="2349"/>
      <c r="P24" s="3689"/>
      <c r="Q24" s="296"/>
      <c r="R24" s="1319"/>
      <c r="S24" s="1320"/>
      <c r="T24" s="1319"/>
      <c r="U24" s="1320"/>
      <c r="V24" s="1319"/>
      <c r="W24" s="1320"/>
      <c r="X24" s="1321"/>
      <c r="Y24" s="3689"/>
      <c r="Z24" s="344"/>
      <c r="AA24" s="1322">
        <v>1</v>
      </c>
      <c r="AB24" s="1322">
        <v>1</v>
      </c>
      <c r="AC24" s="1322">
        <v>1</v>
      </c>
    </row>
    <row r="25" spans="1:29" s="407" customFormat="1" ht="40.5">
      <c r="A25" s="992"/>
      <c r="B25" s="1036" t="s">
        <v>2667</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47"/>
      <c r="M25" s="2348"/>
      <c r="N25" s="2348"/>
      <c r="O25" s="2349"/>
      <c r="P25" s="3689"/>
      <c r="Q25" s="2741" t="str">
        <f t="shared" ref="Q25" si="9">B25</f>
        <v>基础设施水平</v>
      </c>
      <c r="R25" s="1319" t="s">
        <v>61</v>
      </c>
      <c r="S25" s="1320">
        <f>F25</f>
        <v>100</v>
      </c>
      <c r="T25" s="1319" t="s">
        <v>61</v>
      </c>
      <c r="U25" s="1320">
        <f>H25</f>
        <v>100</v>
      </c>
      <c r="V25" s="1319" t="s">
        <v>61</v>
      </c>
      <c r="W25" s="1320">
        <f>J25</f>
        <v>100</v>
      </c>
      <c r="X25" s="1321"/>
      <c r="Y25" s="3689"/>
      <c r="Z25" s="344" t="str">
        <f>Q25</f>
        <v>基础设施水平</v>
      </c>
      <c r="AA25" s="1327">
        <f>D25/F25</f>
        <v>1</v>
      </c>
      <c r="AB25" s="1327">
        <f>D25/H25</f>
        <v>1</v>
      </c>
      <c r="AC25" s="1327">
        <f>D25/J25</f>
        <v>1</v>
      </c>
    </row>
    <row r="26" spans="1:29" s="407" customFormat="1" ht="15">
      <c r="A26" s="992"/>
      <c r="B26" s="975"/>
      <c r="C26" s="2772"/>
      <c r="D26" s="791"/>
      <c r="E26" s="1037"/>
      <c r="F26" s="791"/>
      <c r="G26" s="1037"/>
      <c r="H26" s="791"/>
      <c r="I26" s="1037"/>
      <c r="J26" s="791"/>
      <c r="K26" s="1081"/>
      <c r="L26" s="2347"/>
      <c r="M26" s="2348"/>
      <c r="N26" s="2348"/>
      <c r="O26" s="2349"/>
      <c r="P26" s="3689"/>
      <c r="Q26" s="2741"/>
      <c r="R26" s="1319"/>
      <c r="S26" s="1320"/>
      <c r="T26" s="1319"/>
      <c r="U26" s="1320"/>
      <c r="V26" s="1319"/>
      <c r="W26" s="1320"/>
      <c r="X26" s="1321"/>
      <c r="Y26" s="3689"/>
      <c r="Z26" s="344"/>
      <c r="AA26" s="1322">
        <v>1</v>
      </c>
      <c r="AB26" s="1322">
        <v>1</v>
      </c>
      <c r="AC26" s="1322">
        <v>1</v>
      </c>
    </row>
    <row r="27" spans="1:29" ht="15">
      <c r="A27" s="771"/>
      <c r="B27" s="975" t="s">
        <v>433</v>
      </c>
      <c r="C27" s="182"/>
      <c r="D27" s="778">
        <v>100</v>
      </c>
      <c r="E27" s="195"/>
      <c r="F27" s="778">
        <f>SUMIF(95:95,E27,96:96)-SUMIF(95:95,C27,96:96)+100</f>
        <v>100</v>
      </c>
      <c r="G27" s="195"/>
      <c r="H27" s="778">
        <f>SUMIF(95:95,G27,96:96)-SUMIF(95:95,C27,96:96)+100</f>
        <v>100</v>
      </c>
      <c r="I27" s="195"/>
      <c r="J27" s="778">
        <f>SUMIF(95:95,I27,96:96)-SUMIF(95:95,C27,96:96)+100</f>
        <v>100</v>
      </c>
      <c r="K27" s="1082"/>
      <c r="L27" s="2355"/>
      <c r="M27" s="2346"/>
      <c r="N27" s="2346"/>
      <c r="O27" s="2354"/>
      <c r="P27" s="3689"/>
      <c r="Q27" s="1323" t="str">
        <f t="shared" si="8"/>
        <v>临街状况</v>
      </c>
      <c r="R27" s="1324" t="s">
        <v>61</v>
      </c>
      <c r="S27" s="1325">
        <f t="shared" ref="S27:S40" si="10">F27</f>
        <v>100</v>
      </c>
      <c r="T27" s="1324" t="s">
        <v>61</v>
      </c>
      <c r="U27" s="1325">
        <f t="shared" ref="U27:U40" si="11">H27</f>
        <v>100</v>
      </c>
      <c r="V27" s="1324" t="s">
        <v>61</v>
      </c>
      <c r="W27" s="1325">
        <f t="shared" ref="W27:W40" si="12">J27</f>
        <v>100</v>
      </c>
      <c r="X27" s="1318"/>
      <c r="Y27" s="3689"/>
      <c r="Z27" s="1326" t="str">
        <f t="shared" ref="Z27:Z40" si="13">Q27</f>
        <v>临街状况</v>
      </c>
      <c r="AA27" s="1327">
        <f t="shared" si="3"/>
        <v>1</v>
      </c>
      <c r="AB27" s="1327">
        <f t="shared" si="4"/>
        <v>1</v>
      </c>
      <c r="AC27" s="1327">
        <f t="shared" si="5"/>
        <v>1</v>
      </c>
    </row>
    <row r="28" spans="1:29" ht="27">
      <c r="A28" s="771"/>
      <c r="B28" s="976" t="s">
        <v>438</v>
      </c>
      <c r="C28" s="2773">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5"/>
      <c r="M28" s="2346"/>
      <c r="N28" s="2346"/>
      <c r="O28" s="2354"/>
      <c r="P28" s="3689"/>
      <c r="Q28" s="1323" t="str">
        <f t="shared" si="8"/>
        <v>毗邻道路的类型与等级</v>
      </c>
      <c r="R28" s="1324" t="s">
        <v>61</v>
      </c>
      <c r="S28" s="1325">
        <f t="shared" si="10"/>
        <v>100</v>
      </c>
      <c r="T28" s="1324" t="s">
        <v>61</v>
      </c>
      <c r="U28" s="1325">
        <f t="shared" si="11"/>
        <v>100</v>
      </c>
      <c r="V28" s="1324" t="s">
        <v>61</v>
      </c>
      <c r="W28" s="1325">
        <f t="shared" si="12"/>
        <v>100</v>
      </c>
      <c r="X28" s="1318"/>
      <c r="Y28" s="3689"/>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5"/>
      <c r="M29" s="2346"/>
      <c r="N29" s="2346"/>
      <c r="O29" s="2354"/>
      <c r="P29" s="3689"/>
      <c r="Q29" s="1323"/>
      <c r="R29" s="1324"/>
      <c r="S29" s="1325"/>
      <c r="T29" s="1324"/>
      <c r="U29" s="1325"/>
      <c r="V29" s="1324"/>
      <c r="W29" s="1325"/>
      <c r="X29" s="1318"/>
      <c r="Y29" s="3689"/>
      <c r="Z29" s="1326"/>
      <c r="AA29" s="1327">
        <v>1</v>
      </c>
      <c r="AB29" s="1327">
        <v>1</v>
      </c>
      <c r="AC29" s="1327">
        <v>1</v>
      </c>
    </row>
    <row r="30" spans="1:29" ht="15">
      <c r="A30" s="771"/>
      <c r="B30" s="997" t="s">
        <v>481</v>
      </c>
      <c r="C30" s="2774">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5"/>
      <c r="M30" s="2346"/>
      <c r="N30" s="2346"/>
      <c r="O30" s="2354"/>
      <c r="P30" s="3689"/>
      <c r="Q30" s="1323" t="str">
        <f t="shared" si="8"/>
        <v>土地级别</v>
      </c>
      <c r="R30" s="1324" t="s">
        <v>61</v>
      </c>
      <c r="S30" s="1325">
        <f t="shared" si="10"/>
        <v>100</v>
      </c>
      <c r="T30" s="1324" t="s">
        <v>61</v>
      </c>
      <c r="U30" s="1325">
        <f t="shared" si="11"/>
        <v>100</v>
      </c>
      <c r="V30" s="1324" t="s">
        <v>61</v>
      </c>
      <c r="W30" s="1325">
        <f t="shared" si="12"/>
        <v>100</v>
      </c>
      <c r="X30" s="1318"/>
      <c r="Y30" s="3689"/>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5"/>
      <c r="M31" s="2346"/>
      <c r="N31" s="2346"/>
      <c r="O31" s="2354"/>
      <c r="P31" s="3689"/>
      <c r="Q31" s="1323">
        <f t="shared" si="8"/>
        <v>111</v>
      </c>
      <c r="R31" s="1324" t="s">
        <v>61</v>
      </c>
      <c r="S31" s="1325">
        <f t="shared" si="10"/>
        <v>100</v>
      </c>
      <c r="T31" s="1324" t="s">
        <v>61</v>
      </c>
      <c r="U31" s="1325">
        <f t="shared" si="11"/>
        <v>100</v>
      </c>
      <c r="V31" s="1324" t="s">
        <v>61</v>
      </c>
      <c r="W31" s="1325">
        <f t="shared" si="12"/>
        <v>100</v>
      </c>
      <c r="X31" s="1318"/>
      <c r="Y31" s="3689"/>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5"/>
      <c r="M32" s="2346"/>
      <c r="N32" s="2346"/>
      <c r="O32" s="2354"/>
      <c r="P32" s="3690" t="s">
        <v>405</v>
      </c>
      <c r="Q32" s="1323">
        <f t="shared" si="8"/>
        <v>111</v>
      </c>
      <c r="R32" s="1324" t="s">
        <v>61</v>
      </c>
      <c r="S32" s="1325">
        <f t="shared" si="10"/>
        <v>100</v>
      </c>
      <c r="T32" s="1324" t="s">
        <v>61</v>
      </c>
      <c r="U32" s="1325">
        <f t="shared" si="11"/>
        <v>100</v>
      </c>
      <c r="V32" s="1324" t="s">
        <v>61</v>
      </c>
      <c r="W32" s="1325">
        <f t="shared" si="12"/>
        <v>100</v>
      </c>
      <c r="X32" s="1318"/>
      <c r="Y32" s="3691" t="s">
        <v>405</v>
      </c>
      <c r="Z32" s="1326">
        <f t="shared" si="13"/>
        <v>111</v>
      </c>
      <c r="AA32" s="1327">
        <f t="shared" si="3"/>
        <v>1</v>
      </c>
      <c r="AB32" s="1327">
        <f t="shared" si="4"/>
        <v>1</v>
      </c>
      <c r="AC32" s="1327">
        <f t="shared" si="5"/>
        <v>1</v>
      </c>
    </row>
    <row r="33" spans="1:29" s="814" customFormat="1" ht="15.75" thickBot="1">
      <c r="A33" s="1085"/>
      <c r="B33" s="3299">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3"/>
      <c r="M33" s="2356"/>
      <c r="N33" s="2356"/>
      <c r="O33" s="2357"/>
      <c r="P33" s="3691"/>
      <c r="Q33" s="1323">
        <f t="shared" si="8"/>
        <v>111</v>
      </c>
      <c r="R33" s="1329" t="s">
        <v>61</v>
      </c>
      <c r="S33" s="1330">
        <f t="shared" si="10"/>
        <v>100</v>
      </c>
      <c r="T33" s="1329" t="s">
        <v>61</v>
      </c>
      <c r="U33" s="1330">
        <f t="shared" si="11"/>
        <v>100</v>
      </c>
      <c r="V33" s="1329" t="s">
        <v>61</v>
      </c>
      <c r="W33" s="1330">
        <f t="shared" si="12"/>
        <v>100</v>
      </c>
      <c r="X33" s="1331"/>
      <c r="Y33" s="3691"/>
      <c r="Z33" s="1332">
        <f t="shared" si="13"/>
        <v>111</v>
      </c>
      <c r="AA33" s="1327">
        <f t="shared" si="3"/>
        <v>1</v>
      </c>
      <c r="AB33" s="1327">
        <f t="shared" si="4"/>
        <v>1</v>
      </c>
      <c r="AC33" s="1327">
        <f t="shared" si="5"/>
        <v>1</v>
      </c>
    </row>
    <row r="34" spans="1:29" ht="15">
      <c r="A34" s="783" t="s">
        <v>2793</v>
      </c>
      <c r="B34" s="799" t="s">
        <v>482</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5"/>
      <c r="M34" s="2346"/>
      <c r="N34" s="2346"/>
      <c r="O34" s="2354"/>
      <c r="P34" s="3691"/>
      <c r="Q34" s="1323" t="str">
        <f>B34</f>
        <v>宗地面积</v>
      </c>
      <c r="R34" s="1324" t="s">
        <v>61</v>
      </c>
      <c r="S34" s="1325" t="e">
        <f t="shared" si="10"/>
        <v>#N/A</v>
      </c>
      <c r="T34" s="1324" t="s">
        <v>61</v>
      </c>
      <c r="U34" s="1325" t="e">
        <f t="shared" si="11"/>
        <v>#N/A</v>
      </c>
      <c r="V34" s="1324" t="s">
        <v>61</v>
      </c>
      <c r="W34" s="1325" t="e">
        <f t="shared" si="12"/>
        <v>#N/A</v>
      </c>
      <c r="X34" s="1318"/>
      <c r="Y34" s="3691"/>
      <c r="Z34" s="1326" t="str">
        <f t="shared" si="13"/>
        <v>宗地面积</v>
      </c>
      <c r="AA34" s="1327" t="e">
        <f t="shared" si="3"/>
        <v>#N/A</v>
      </c>
      <c r="AB34" s="1327" t="e">
        <f t="shared" si="4"/>
        <v>#N/A</v>
      </c>
      <c r="AC34" s="1327" t="e">
        <f t="shared" si="5"/>
        <v>#N/A</v>
      </c>
    </row>
    <row r="35" spans="1:29" ht="15">
      <c r="A35" s="815"/>
      <c r="B35" s="765" t="s">
        <v>483</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5"/>
      <c r="M35" s="2346"/>
      <c r="N35" s="2346"/>
      <c r="O35" s="2354"/>
      <c r="P35" s="3691"/>
      <c r="Q35" s="1323" t="str">
        <f t="shared" ref="Q35:Q40" si="14">B35</f>
        <v>宗地形状</v>
      </c>
      <c r="R35" s="1324" t="s">
        <v>61</v>
      </c>
      <c r="S35" s="1325">
        <f t="shared" si="10"/>
        <v>100</v>
      </c>
      <c r="T35" s="1324" t="s">
        <v>61</v>
      </c>
      <c r="U35" s="1325">
        <f t="shared" si="11"/>
        <v>100</v>
      </c>
      <c r="V35" s="1324" t="s">
        <v>61</v>
      </c>
      <c r="W35" s="1325">
        <f t="shared" si="12"/>
        <v>100</v>
      </c>
      <c r="X35" s="1318"/>
      <c r="Y35" s="3691"/>
      <c r="Z35" s="1326" t="str">
        <f t="shared" si="13"/>
        <v>宗地形状</v>
      </c>
      <c r="AA35" s="1327">
        <f t="shared" si="3"/>
        <v>1</v>
      </c>
      <c r="AB35" s="1327">
        <f t="shared" si="4"/>
        <v>1</v>
      </c>
      <c r="AC35" s="1327">
        <f t="shared" si="5"/>
        <v>1</v>
      </c>
    </row>
    <row r="36" spans="1:29" s="407" customFormat="1" ht="15">
      <c r="A36" s="816"/>
      <c r="B36" s="2607" t="s">
        <v>2499</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7"/>
      <c r="M36" s="2348"/>
      <c r="N36" s="2348"/>
      <c r="O36" s="2349"/>
      <c r="P36" s="3691"/>
      <c r="Q36" s="1323" t="str">
        <f t="shared" si="14"/>
        <v>宗地开发程度</v>
      </c>
      <c r="R36" s="1319" t="s">
        <v>61</v>
      </c>
      <c r="S36" s="1320">
        <f t="shared" si="10"/>
        <v>100</v>
      </c>
      <c r="T36" s="1319" t="s">
        <v>61</v>
      </c>
      <c r="U36" s="1320">
        <f t="shared" si="11"/>
        <v>100</v>
      </c>
      <c r="V36" s="1319" t="s">
        <v>61</v>
      </c>
      <c r="W36" s="1320">
        <f t="shared" si="12"/>
        <v>100</v>
      </c>
      <c r="X36" s="1321"/>
      <c r="Y36" s="3691"/>
      <c r="Z36" s="344" t="str">
        <f t="shared" si="13"/>
        <v>宗地开发程度</v>
      </c>
      <c r="AA36" s="1322">
        <f t="shared" si="3"/>
        <v>1</v>
      </c>
      <c r="AB36" s="1322">
        <f t="shared" si="4"/>
        <v>1</v>
      </c>
      <c r="AC36" s="1322">
        <f t="shared" si="5"/>
        <v>1</v>
      </c>
    </row>
    <row r="37" spans="1:29" ht="15">
      <c r="A37" s="815"/>
      <c r="B37" s="765" t="s">
        <v>485</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5"/>
      <c r="M37" s="2346"/>
      <c r="N37" s="2346"/>
      <c r="O37" s="2354"/>
      <c r="P37" s="3691" t="s">
        <v>516</v>
      </c>
      <c r="Q37" s="1323" t="str">
        <f t="shared" si="14"/>
        <v>工程地质条件</v>
      </c>
      <c r="R37" s="1324" t="s">
        <v>61</v>
      </c>
      <c r="S37" s="1325">
        <f t="shared" si="10"/>
        <v>100</v>
      </c>
      <c r="T37" s="1324" t="s">
        <v>61</v>
      </c>
      <c r="U37" s="1325">
        <f t="shared" si="11"/>
        <v>100</v>
      </c>
      <c r="V37" s="1324" t="s">
        <v>61</v>
      </c>
      <c r="W37" s="1325">
        <f t="shared" si="12"/>
        <v>100</v>
      </c>
      <c r="X37" s="1318"/>
      <c r="Y37" s="3691" t="s">
        <v>516</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5"/>
      <c r="M38" s="2346"/>
      <c r="N38" s="2346"/>
      <c r="O38" s="2354"/>
      <c r="P38" s="3691"/>
      <c r="Q38" s="1323">
        <f t="shared" si="14"/>
        <v>111</v>
      </c>
      <c r="R38" s="1324" t="s">
        <v>61</v>
      </c>
      <c r="S38" s="1325">
        <f t="shared" si="10"/>
        <v>100</v>
      </c>
      <c r="T38" s="1324" t="s">
        <v>61</v>
      </c>
      <c r="U38" s="1325">
        <f t="shared" si="11"/>
        <v>100</v>
      </c>
      <c r="V38" s="1324" t="s">
        <v>61</v>
      </c>
      <c r="W38" s="1325">
        <f t="shared" si="12"/>
        <v>100</v>
      </c>
      <c r="X38" s="1318"/>
      <c r="Y38" s="3691"/>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5"/>
      <c r="M39" s="2346"/>
      <c r="N39" s="2346"/>
      <c r="O39" s="2354"/>
      <c r="P39" s="3691"/>
      <c r="Q39" s="1323">
        <f t="shared" si="14"/>
        <v>111</v>
      </c>
      <c r="R39" s="1324" t="s">
        <v>61</v>
      </c>
      <c r="S39" s="1325">
        <f t="shared" si="10"/>
        <v>100</v>
      </c>
      <c r="T39" s="1324" t="s">
        <v>61</v>
      </c>
      <c r="U39" s="1325">
        <f t="shared" si="11"/>
        <v>100</v>
      </c>
      <c r="V39" s="1324" t="s">
        <v>61</v>
      </c>
      <c r="W39" s="1325">
        <f t="shared" si="12"/>
        <v>100</v>
      </c>
      <c r="X39" s="1318"/>
      <c r="Y39" s="3691"/>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3"/>
      <c r="M40" s="2356"/>
      <c r="N40" s="2356"/>
      <c r="O40" s="2357"/>
      <c r="P40" s="3691"/>
      <c r="Q40" s="1323">
        <f t="shared" si="14"/>
        <v>111</v>
      </c>
      <c r="R40" s="1329" t="s">
        <v>61</v>
      </c>
      <c r="S40" s="1330">
        <f t="shared" si="10"/>
        <v>100</v>
      </c>
      <c r="T40" s="1329" t="s">
        <v>61</v>
      </c>
      <c r="U40" s="1330">
        <f t="shared" si="11"/>
        <v>100</v>
      </c>
      <c r="V40" s="1329" t="s">
        <v>61</v>
      </c>
      <c r="W40" s="1330">
        <f t="shared" si="12"/>
        <v>100</v>
      </c>
      <c r="X40" s="1331"/>
      <c r="Y40" s="3691"/>
      <c r="Z40" s="1332">
        <f t="shared" si="13"/>
        <v>111</v>
      </c>
      <c r="AA40" s="1327">
        <f t="shared" si="3"/>
        <v>1</v>
      </c>
      <c r="AB40" s="1327">
        <f t="shared" si="4"/>
        <v>1</v>
      </c>
      <c r="AC40" s="1327">
        <f t="shared" si="5"/>
        <v>1</v>
      </c>
    </row>
    <row r="41" spans="1:29" ht="15">
      <c r="A41" s="822" t="s">
        <v>486</v>
      </c>
      <c r="B41" s="207" t="s">
        <v>3023</v>
      </c>
      <c r="C41" s="1091" t="s">
        <v>23</v>
      </c>
      <c r="D41" s="824"/>
      <c r="E41" s="825"/>
      <c r="F41" s="826"/>
      <c r="G41" s="827"/>
      <c r="H41" s="828"/>
      <c r="I41" s="825"/>
      <c r="J41" s="828"/>
      <c r="K41" s="1400"/>
      <c r="L41" s="2358"/>
      <c r="M41" s="2346"/>
      <c r="N41" s="2346"/>
      <c r="O41" s="2359"/>
      <c r="P41" s="3673" t="str">
        <f>A41</f>
        <v>成交单价</v>
      </c>
      <c r="Q41" s="3673"/>
      <c r="R41" s="3686">
        <f>E41</f>
        <v>0</v>
      </c>
      <c r="S41" s="3686"/>
      <c r="T41" s="3686">
        <f>G41</f>
        <v>0</v>
      </c>
      <c r="U41" s="3686"/>
      <c r="V41" s="3686">
        <f>I41</f>
        <v>0</v>
      </c>
      <c r="W41" s="3686"/>
      <c r="X41" s="1307"/>
      <c r="Y41" s="1333"/>
      <c r="Z41" s="1307"/>
      <c r="AA41" s="1307"/>
      <c r="AB41" s="1307"/>
      <c r="AC41" s="1307"/>
    </row>
    <row r="42" spans="1:29" ht="15.75" thickBot="1">
      <c r="A42" s="829" t="s">
        <v>407</v>
      </c>
      <c r="B42" s="1092"/>
      <c r="C42" s="833" t="e">
        <f>R43</f>
        <v>#DIV/0!</v>
      </c>
      <c r="D42" s="832"/>
      <c r="E42" s="833" t="e">
        <f>R42</f>
        <v>#DIV/0!</v>
      </c>
      <c r="F42" s="834"/>
      <c r="G42" s="831" t="e">
        <f>T42</f>
        <v>#DIV/0!</v>
      </c>
      <c r="H42" s="832"/>
      <c r="I42" s="833" t="e">
        <f>V42</f>
        <v>#DIV/0!</v>
      </c>
      <c r="J42" s="832"/>
      <c r="K42" s="1401"/>
      <c r="L42" s="2358"/>
      <c r="M42" s="2346"/>
      <c r="N42" s="2346"/>
      <c r="O42" s="2359"/>
      <c r="P42" s="3673" t="str">
        <f>A42</f>
        <v>比较价值（元/平方米）</v>
      </c>
      <c r="Q42" s="3673"/>
      <c r="R42" s="3696" t="e">
        <f>ROUND(PRODUCT(R41,AA7:AA40),0)</f>
        <v>#DIV/0!</v>
      </c>
      <c r="S42" s="3696"/>
      <c r="T42" s="3696" t="e">
        <f>ROUND(PRODUCT(T41,AB7:AB40),0)</f>
        <v>#DIV/0!</v>
      </c>
      <c r="U42" s="3696"/>
      <c r="V42" s="3696" t="e">
        <f>ROUND(PRODUCT(V41,AC7:AC40),0)</f>
        <v>#DIV/0!</v>
      </c>
      <c r="W42" s="3696"/>
      <c r="X42" s="1307"/>
      <c r="Y42" s="1307"/>
      <c r="Z42" s="1307"/>
      <c r="AA42" s="1307"/>
      <c r="AB42" s="1307"/>
      <c r="AC42" s="1307"/>
    </row>
    <row r="43" spans="1:29" ht="15.75" thickBot="1">
      <c r="A43" s="115" t="s">
        <v>3016</v>
      </c>
      <c r="B43" s="836"/>
      <c r="C43" s="837" t="e">
        <f>R43</f>
        <v>#DIV/0!</v>
      </c>
      <c r="D43" s="837"/>
      <c r="E43" s="837"/>
      <c r="F43" s="837"/>
      <c r="G43" s="837"/>
      <c r="H43" s="837"/>
      <c r="I43" s="837"/>
      <c r="J43" s="837"/>
      <c r="K43" s="1402"/>
      <c r="L43" s="2358"/>
      <c r="M43" s="2346"/>
      <c r="N43" s="2346"/>
      <c r="O43" s="2359"/>
      <c r="P43" s="3693" t="str">
        <f>A43</f>
        <v>估价对象XX用房的比较价值（楼面单价，元/平方米）</v>
      </c>
      <c r="Q43" s="3694"/>
      <c r="R43" s="3697" t="e">
        <f>ROUND(AVERAGE(R42:V42),0)</f>
        <v>#DIV/0!</v>
      </c>
      <c r="S43" s="3697"/>
      <c r="T43" s="3697"/>
      <c r="U43" s="3697"/>
      <c r="V43" s="3697"/>
      <c r="W43" s="3697"/>
      <c r="X43" s="1307"/>
      <c r="Y43" s="1307"/>
      <c r="Z43" s="1307"/>
      <c r="AA43" s="1307"/>
      <c r="AB43" s="1307"/>
      <c r="AC43" s="1307"/>
    </row>
    <row r="44" spans="1:29">
      <c r="A44" s="2359"/>
      <c r="B44" s="2359"/>
      <c r="C44" s="2359"/>
      <c r="D44" s="2359"/>
      <c r="E44" s="2359"/>
      <c r="F44" s="2359"/>
      <c r="G44" s="2362"/>
      <c r="H44" s="2359"/>
      <c r="I44" s="2359"/>
      <c r="J44" s="2359"/>
      <c r="K44" s="2185"/>
      <c r="L44" s="2186"/>
      <c r="M44" s="2346"/>
      <c r="N44" s="2346"/>
      <c r="O44" s="2359"/>
    </row>
    <row r="45" spans="1:29">
      <c r="A45" s="2359"/>
      <c r="B45" s="2359"/>
      <c r="C45" s="2359"/>
      <c r="D45" s="2359"/>
      <c r="E45" s="2359"/>
      <c r="F45" s="2359"/>
      <c r="G45" s="2359"/>
      <c r="H45" s="2359"/>
      <c r="I45" s="2359"/>
      <c r="J45" s="2359"/>
      <c r="K45" s="2185"/>
      <c r="L45" s="2186"/>
      <c r="M45" s="2346"/>
      <c r="N45" s="2346"/>
      <c r="O45" s="2359"/>
    </row>
    <row r="46" spans="1:29" ht="13.5" customHeight="1">
      <c r="A46" s="2359"/>
      <c r="B46" s="2359"/>
      <c r="C46" s="840" t="s">
        <v>408</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5"/>
      <c r="L46" s="2186"/>
      <c r="M46" s="2346"/>
      <c r="N46" s="2346"/>
      <c r="O46" s="2359"/>
    </row>
    <row r="47" spans="1:29" ht="13.5" customHeight="1">
      <c r="A47" s="2359"/>
      <c r="B47" s="2359"/>
      <c r="C47" s="840" t="s">
        <v>409</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5"/>
      <c r="L47" s="2186"/>
      <c r="M47" s="2359"/>
      <c r="N47" s="2359"/>
      <c r="O47" s="2359"/>
    </row>
    <row r="48" spans="1:29" s="845" customFormat="1" ht="13.5" customHeight="1">
      <c r="A48" s="2360"/>
      <c r="B48" s="2360"/>
      <c r="C48" s="840" t="s">
        <v>410</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3"/>
      <c r="L48" s="2364"/>
      <c r="M48" s="2360"/>
      <c r="N48" s="2360"/>
      <c r="O48" s="2360"/>
    </row>
    <row r="49" spans="1:17" s="845" customFormat="1" ht="15" thickBot="1">
      <c r="A49" s="2360"/>
      <c r="B49" s="2361"/>
      <c r="C49" s="1310"/>
      <c r="D49" s="1308"/>
      <c r="E49" s="1308"/>
      <c r="F49" s="1308"/>
      <c r="G49" s="1308"/>
      <c r="H49" s="1308"/>
      <c r="I49" s="1308"/>
      <c r="J49" s="1308"/>
      <c r="K49" s="2363"/>
      <c r="L49" s="2364"/>
      <c r="M49" s="2360"/>
      <c r="N49" s="2360"/>
      <c r="O49" s="2360"/>
    </row>
    <row r="50" spans="1:17" ht="27">
      <c r="A50" s="1093" t="s">
        <v>487</v>
      </c>
      <c r="B50" s="1094" t="s">
        <v>488</v>
      </c>
      <c r="C50" s="1774" t="s">
        <v>1882</v>
      </c>
      <c r="D50" s="2390" t="s">
        <v>2322</v>
      </c>
      <c r="E50" s="1095" t="s">
        <v>489</v>
      </c>
      <c r="F50" s="1096" t="s">
        <v>490</v>
      </c>
      <c r="G50" s="3698" t="s">
        <v>2315</v>
      </c>
      <c r="H50" s="3699"/>
      <c r="I50" s="2180" t="s">
        <v>1881</v>
      </c>
      <c r="J50" s="1764">
        <f>项目基本情况!F35</f>
        <v>0</v>
      </c>
      <c r="K50" s="2373" t="s">
        <v>1883</v>
      </c>
      <c r="L50" s="2186"/>
      <c r="M50" s="2359"/>
      <c r="N50" s="2359"/>
      <c r="O50" s="2359"/>
    </row>
    <row r="51" spans="1:17" s="1101" customFormat="1">
      <c r="A51" s="1097" t="s">
        <v>491</v>
      </c>
      <c r="B51" s="1098" t="e">
        <f>C43</f>
        <v>#DIV/0!</v>
      </c>
      <c r="C51" s="1099">
        <v>1</v>
      </c>
      <c r="D51" s="2391">
        <v>1</v>
      </c>
      <c r="E51" s="1099">
        <f>'数据-汇总表'!E8+'数据-汇总表'!E9</f>
        <v>66965.320000000065</v>
      </c>
      <c r="F51" s="1100" t="e">
        <f t="shared" ref="F51:F60" si="15">ROUND(B51*E51/10000,0)</f>
        <v>#DIV/0!</v>
      </c>
      <c r="G51" s="3700"/>
      <c r="H51" s="3701"/>
      <c r="I51" s="1772">
        <v>1</v>
      </c>
      <c r="J51" s="1772">
        <v>1</v>
      </c>
      <c r="K51" s="2360"/>
      <c r="L51" s="1771"/>
      <c r="M51" s="1771"/>
      <c r="N51" s="1771"/>
      <c r="O51" s="1771"/>
    </row>
    <row r="52" spans="1:17" s="1101" customFormat="1">
      <c r="A52" s="1102" t="s">
        <v>492</v>
      </c>
      <c r="B52" s="594" t="e">
        <f>ROUND($C$43*C52*D52,0)</f>
        <v>#DIV/0!</v>
      </c>
      <c r="C52" s="532">
        <f t="shared" ref="C52:C60" si="16">IF($C$50="北京市系数",I52,J52)</f>
        <v>0.7</v>
      </c>
      <c r="D52" s="2392">
        <v>0.25</v>
      </c>
      <c r="E52" s="1103"/>
      <c r="F52" s="1100" t="e">
        <f t="shared" si="15"/>
        <v>#DIV/0!</v>
      </c>
      <c r="G52" s="3702" t="s">
        <v>2316</v>
      </c>
      <c r="H52" s="2184" t="str">
        <f>项目基本情况!B37</f>
        <v>五级</v>
      </c>
      <c r="I52" s="1772">
        <f>SUMIF(修正!A45:A56,H52,修正!B45:B56)</f>
        <v>0.7</v>
      </c>
      <c r="J52" s="1773"/>
      <c r="K52" s="2359"/>
      <c r="L52" s="1771"/>
      <c r="M52" s="1771"/>
      <c r="N52" s="1771"/>
      <c r="O52" s="1771"/>
    </row>
    <row r="53" spans="1:17" s="1101" customFormat="1">
      <c r="A53" s="1102" t="s">
        <v>493</v>
      </c>
      <c r="B53" s="594" t="e">
        <f t="shared" ref="B53:B60" si="17">ROUND($C$43*C53*D53,0)</f>
        <v>#DIV/0!</v>
      </c>
      <c r="C53" s="532">
        <f t="shared" si="16"/>
        <v>0.4</v>
      </c>
      <c r="D53" s="2392">
        <v>0.25</v>
      </c>
      <c r="E53" s="1103"/>
      <c r="F53" s="1100" t="e">
        <f t="shared" si="15"/>
        <v>#DIV/0!</v>
      </c>
      <c r="G53" s="3702"/>
      <c r="H53" s="2184" t="str">
        <f>项目基本情况!B37</f>
        <v>五级</v>
      </c>
      <c r="I53" s="1772">
        <f>SUMIF(修正!A45:A56,H53,修正!C45:C56)</f>
        <v>0.4</v>
      </c>
      <c r="J53" s="1773"/>
      <c r="K53" s="2360"/>
      <c r="L53" s="1771"/>
      <c r="M53" s="1771"/>
      <c r="N53" s="1771"/>
      <c r="O53" s="1771"/>
    </row>
    <row r="54" spans="1:17" s="1101" customFormat="1">
      <c r="A54" s="1102" t="s">
        <v>494</v>
      </c>
      <c r="B54" s="594" t="e">
        <f t="shared" si="17"/>
        <v>#DIV/0!</v>
      </c>
      <c r="C54" s="532">
        <f t="shared" si="16"/>
        <v>0.28000000000000003</v>
      </c>
      <c r="D54" s="2392">
        <v>0.25</v>
      </c>
      <c r="E54" s="1103"/>
      <c r="F54" s="1100" t="e">
        <f t="shared" si="15"/>
        <v>#DIV/0!</v>
      </c>
      <c r="G54" s="3702"/>
      <c r="H54" s="2184" t="str">
        <f>项目基本情况!B37</f>
        <v>五级</v>
      </c>
      <c r="I54" s="1772">
        <f>SUMIF(修正!A45:A56,H54,修正!D45:D56)</f>
        <v>0.28000000000000003</v>
      </c>
      <c r="J54" s="1773"/>
      <c r="K54" s="2359"/>
      <c r="L54" s="1771"/>
      <c r="M54" s="1771"/>
      <c r="N54" s="1771"/>
      <c r="O54" s="1771"/>
    </row>
    <row r="55" spans="1:17" s="1101" customFormat="1">
      <c r="A55" s="1102" t="s">
        <v>495</v>
      </c>
      <c r="B55" s="594" t="e">
        <f t="shared" si="17"/>
        <v>#DIV/0!</v>
      </c>
      <c r="C55" s="532">
        <f t="shared" si="16"/>
        <v>0.25</v>
      </c>
      <c r="D55" s="2392">
        <v>0.25</v>
      </c>
      <c r="E55" s="1103"/>
      <c r="F55" s="1100" t="e">
        <f t="shared" si="15"/>
        <v>#DIV/0!</v>
      </c>
      <c r="G55" s="3702"/>
      <c r="H55" s="2184" t="str">
        <f>项目基本情况!B37</f>
        <v>五级</v>
      </c>
      <c r="I55" s="1772">
        <f>SUMIF(修正!A45:A56,H55,修正!E45:E56)</f>
        <v>0.25</v>
      </c>
      <c r="J55" s="1773"/>
      <c r="K55" s="2360"/>
      <c r="L55" s="1771"/>
      <c r="M55" s="1771"/>
      <c r="N55" s="1771"/>
      <c r="O55" s="1771"/>
    </row>
    <row r="56" spans="1:17" s="1101" customFormat="1">
      <c r="A56" s="2512" t="s">
        <v>2398</v>
      </c>
      <c r="B56" s="594" t="e">
        <f t="shared" si="17"/>
        <v>#DIV/0!</v>
      </c>
      <c r="C56" s="532">
        <f t="shared" si="16"/>
        <v>0.25</v>
      </c>
      <c r="D56" s="2392">
        <v>0.25</v>
      </c>
      <c r="E56" s="593">
        <f>'数据-汇总表'!E11</f>
        <v>0</v>
      </c>
      <c r="F56" s="1100" t="e">
        <f t="shared" si="15"/>
        <v>#DIV/0!</v>
      </c>
      <c r="G56" s="2196" t="s">
        <v>2317</v>
      </c>
      <c r="H56" s="2184" t="str">
        <f>项目基本情况!C37</f>
        <v>五级</v>
      </c>
      <c r="I56" s="1772">
        <f>SUMIF(修正!A45:A56,H56,修正!F45:F56)</f>
        <v>0.25</v>
      </c>
      <c r="J56" s="1773"/>
      <c r="K56" s="2359"/>
      <c r="L56" s="1771"/>
      <c r="M56" s="1771"/>
      <c r="N56" s="1771"/>
      <c r="O56" s="1771"/>
    </row>
    <row r="57" spans="1:17" s="1101" customFormat="1">
      <c r="A57" s="1102" t="s">
        <v>496</v>
      </c>
      <c r="B57" s="594" t="e">
        <f t="shared" si="17"/>
        <v>#DIV/0!</v>
      </c>
      <c r="C57" s="532">
        <f t="shared" si="16"/>
        <v>0.25</v>
      </c>
      <c r="D57" s="2392">
        <v>0.25</v>
      </c>
      <c r="E57" s="593">
        <f>'数据-汇总表'!E12</f>
        <v>0</v>
      </c>
      <c r="F57" s="1100" t="e">
        <f t="shared" si="15"/>
        <v>#DIV/0!</v>
      </c>
      <c r="G57" s="2190" t="s">
        <v>137</v>
      </c>
      <c r="H57" s="2184" t="str">
        <f>IF(G57="商业",项目基本情况!B37,IF(G57="办公",项目基本情况!C37,IF(G57="住宅",项目基本情况!D37,项目基本情况!E37)))</f>
        <v>五级</v>
      </c>
      <c r="I57" s="1772">
        <f>SUMIF(修正!A45:A56,H57,修正!G45:G56)</f>
        <v>0.25</v>
      </c>
      <c r="J57" s="1773"/>
      <c r="K57" s="2360"/>
      <c r="L57" s="1771"/>
      <c r="M57" s="1771"/>
      <c r="N57" s="1771"/>
      <c r="O57" s="1771"/>
    </row>
    <row r="58" spans="1:17" s="1101" customFormat="1">
      <c r="A58" s="1102" t="s">
        <v>497</v>
      </c>
      <c r="B58" s="594" t="e">
        <f t="shared" si="17"/>
        <v>#DIV/0!</v>
      </c>
      <c r="C58" s="532">
        <f t="shared" si="16"/>
        <v>0</v>
      </c>
      <c r="D58" s="2392">
        <v>0.25</v>
      </c>
      <c r="E58" s="593">
        <f>'数据-汇总表'!E13</f>
        <v>0</v>
      </c>
      <c r="F58" s="1100" t="e">
        <f t="shared" si="15"/>
        <v>#DIV/0!</v>
      </c>
      <c r="G58" s="2190" t="s">
        <v>40</v>
      </c>
      <c r="H58" s="2184">
        <f>IF(G58="商业",项目基本情况!B37,IF(G58="办公",项目基本情况!C37,IF(G58="住宅",项目基本情况!D37,项目基本情况!E37)))</f>
        <v>0</v>
      </c>
      <c r="I58" s="1772">
        <f>SUMIF(修正!A45:A56,H58,修正!H45:H56)</f>
        <v>0</v>
      </c>
      <c r="J58" s="1773"/>
      <c r="K58" s="2359"/>
      <c r="L58" s="1771"/>
      <c r="M58" s="1771"/>
      <c r="N58" s="1771"/>
      <c r="O58" s="1771"/>
    </row>
    <row r="59" spans="1:17" s="1101" customFormat="1">
      <c r="A59" s="1102" t="s">
        <v>498</v>
      </c>
      <c r="B59" s="594" t="e">
        <f t="shared" si="17"/>
        <v>#DIV/0!</v>
      </c>
      <c r="C59" s="532">
        <f t="shared" si="16"/>
        <v>0.2</v>
      </c>
      <c r="D59" s="2392">
        <v>0.25</v>
      </c>
      <c r="E59" s="593">
        <f>'数据-汇总表'!E14</f>
        <v>0</v>
      </c>
      <c r="F59" s="1100" t="e">
        <f t="shared" si="15"/>
        <v>#DIV/0!</v>
      </c>
      <c r="G59" s="2196" t="s">
        <v>2318</v>
      </c>
      <c r="H59" s="2184" t="str">
        <f>项目基本情况!B37</f>
        <v>五级</v>
      </c>
      <c r="I59" s="1772">
        <f>SUMIF(修正!A45:A56,H59,修正!H45:H56)</f>
        <v>0.2</v>
      </c>
      <c r="J59" s="1773"/>
      <c r="K59" s="2360"/>
      <c r="L59" s="1771"/>
      <c r="M59" s="1771"/>
      <c r="N59" s="1771"/>
      <c r="O59" s="1771"/>
    </row>
    <row r="60" spans="1:17" s="1101" customFormat="1" ht="15" thickBot="1">
      <c r="A60" s="1102" t="s">
        <v>499</v>
      </c>
      <c r="B60" s="594" t="e">
        <f t="shared" si="17"/>
        <v>#DIV/0!</v>
      </c>
      <c r="C60" s="532">
        <f t="shared" si="16"/>
        <v>0.2</v>
      </c>
      <c r="D60" s="2392">
        <v>0.25</v>
      </c>
      <c r="E60" s="593">
        <f>'数据-汇总表'!E15</f>
        <v>0</v>
      </c>
      <c r="F60" s="1100" t="e">
        <f t="shared" si="15"/>
        <v>#DIV/0!</v>
      </c>
      <c r="G60" s="2197" t="s">
        <v>2317</v>
      </c>
      <c r="H60" s="2198" t="str">
        <f>项目基本情况!C37</f>
        <v>五级</v>
      </c>
      <c r="I60" s="1772">
        <f>SUMIF(修正!A45:A56,H60,修正!H45:H56)</f>
        <v>0.2</v>
      </c>
      <c r="J60" s="1773"/>
      <c r="K60" s="2359"/>
      <c r="L60" s="1771"/>
      <c r="M60" s="1771"/>
      <c r="N60" s="1771"/>
      <c r="O60" s="1771"/>
    </row>
    <row r="61" spans="1:17" s="1101" customFormat="1" ht="15" thickBot="1">
      <c r="A61" s="1104" t="s">
        <v>500</v>
      </c>
      <c r="B61" s="1105" t="s">
        <v>152</v>
      </c>
      <c r="C61" s="1105" t="s">
        <v>153</v>
      </c>
      <c r="D61" s="1105" t="s">
        <v>2323</v>
      </c>
      <c r="E61" s="1105">
        <f>IF(B41="楼面地价",SUM(E51:E60),'数据-汇总表'!D3)</f>
        <v>15994.67</v>
      </c>
      <c r="F61" s="1106" t="e">
        <f>IF(B41="楼面地价",SUM(F51:F60),ROUND(C43*E61/10000,0))</f>
        <v>#DIV/0!</v>
      </c>
      <c r="G61" s="2374"/>
      <c r="H61" s="2374"/>
      <c r="I61" s="2374"/>
      <c r="J61" s="2374"/>
      <c r="K61" s="2185"/>
      <c r="L61" s="1771"/>
      <c r="M61" s="1771"/>
      <c r="N61" s="1771"/>
      <c r="O61" s="1771"/>
    </row>
    <row r="62" spans="1:17">
      <c r="A62" s="2359"/>
      <c r="B62" s="2361"/>
      <c r="C62" s="2365"/>
      <c r="D62" s="2359"/>
      <c r="E62" s="2359"/>
      <c r="F62" s="2359"/>
      <c r="G62" s="2359"/>
      <c r="H62" s="2359"/>
      <c r="I62" s="2359"/>
      <c r="J62" s="2359"/>
      <c r="K62" s="2185"/>
      <c r="L62" s="2186"/>
      <c r="M62" s="2359"/>
      <c r="N62" s="2359"/>
      <c r="O62" s="2359"/>
    </row>
    <row r="63" spans="1:17">
      <c r="A63" s="2359"/>
      <c r="B63" s="2361"/>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411</v>
      </c>
      <c r="B64" s="1307"/>
      <c r="C64" s="1312"/>
      <c r="D64" s="1312"/>
      <c r="E64" s="1312"/>
      <c r="F64" s="1313"/>
      <c r="G64" s="1313"/>
      <c r="H64" s="1312"/>
      <c r="I64" s="1312"/>
      <c r="J64" s="1312"/>
      <c r="K64" s="1314"/>
      <c r="L64" s="1315"/>
      <c r="M64" s="1312"/>
      <c r="N64" s="1312"/>
      <c r="O64" s="2375"/>
      <c r="P64" s="846"/>
      <c r="Q64" s="847"/>
    </row>
    <row r="65" spans="1:17" s="851" customFormat="1" ht="15">
      <c r="A65" s="2703" t="s">
        <v>2790</v>
      </c>
      <c r="B65" s="2704"/>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50"/>
    </row>
    <row r="66" spans="1:17" s="407" customFormat="1" ht="30.75" customHeight="1">
      <c r="A66" s="3034" t="s">
        <v>2789</v>
      </c>
      <c r="B66" s="664" t="str">
        <f>"北京市平均增长率"&amp;TEXT(基准地价修正!P24,"0.00%")</f>
        <v>北京市平均增长率1.34%</v>
      </c>
      <c r="C66" s="946">
        <v>100</v>
      </c>
      <c r="D66" s="938"/>
      <c r="E66" s="938"/>
      <c r="F66" s="938"/>
      <c r="G66" s="938"/>
      <c r="H66" s="938"/>
      <c r="I66" s="938"/>
      <c r="J66" s="938"/>
      <c r="K66" s="938"/>
      <c r="L66" s="938"/>
      <c r="M66" s="3032"/>
      <c r="N66" s="3032"/>
      <c r="O66" s="3035"/>
      <c r="P66" s="847"/>
    </row>
    <row r="67" spans="1:17" s="407" customFormat="1" ht="15.75" thickBot="1">
      <c r="A67" s="858" t="s">
        <v>412</v>
      </c>
      <c r="B67" s="859"/>
      <c r="C67" s="860"/>
      <c r="D67" s="861"/>
      <c r="E67" s="861"/>
      <c r="F67" s="861"/>
      <c r="G67" s="861"/>
      <c r="H67" s="861"/>
      <c r="I67" s="861"/>
      <c r="J67" s="861"/>
      <c r="K67" s="861"/>
      <c r="L67" s="861"/>
      <c r="M67" s="862"/>
      <c r="N67" s="862"/>
      <c r="O67" s="863"/>
      <c r="P67" s="847"/>
      <c r="Q67" s="847"/>
    </row>
    <row r="68" spans="1:17" s="407" customFormat="1" ht="15">
      <c r="A68" s="864" t="s">
        <v>396</v>
      </c>
      <c r="B68" s="853"/>
      <c r="C68" s="865" t="s">
        <v>413</v>
      </c>
      <c r="D68" s="140"/>
      <c r="E68" s="140"/>
      <c r="F68" s="140"/>
      <c r="G68" s="140"/>
      <c r="H68" s="140"/>
      <c r="I68" s="140"/>
      <c r="J68" s="140"/>
      <c r="K68" s="140"/>
      <c r="L68" s="141"/>
      <c r="M68" s="1051"/>
      <c r="N68" s="2366"/>
      <c r="O68" s="2366"/>
      <c r="P68" s="869"/>
      <c r="Q68" s="847"/>
    </row>
    <row r="69" spans="1:17" s="407" customFormat="1" ht="15.75" thickBot="1">
      <c r="A69" s="864"/>
      <c r="B69" s="853"/>
      <c r="C69" s="982">
        <v>100</v>
      </c>
      <c r="D69" s="855"/>
      <c r="E69" s="855"/>
      <c r="F69" s="855"/>
      <c r="G69" s="855"/>
      <c r="H69" s="855"/>
      <c r="I69" s="855"/>
      <c r="J69" s="855"/>
      <c r="K69" s="855"/>
      <c r="L69" s="855"/>
      <c r="M69" s="857"/>
      <c r="N69" s="2366"/>
      <c r="O69" s="2366"/>
      <c r="P69" s="847"/>
      <c r="Q69" s="847"/>
    </row>
    <row r="70" spans="1:17">
      <c r="A70" s="870" t="s">
        <v>414</v>
      </c>
      <c r="B70" s="871" t="s">
        <v>415</v>
      </c>
      <c r="C70" s="122"/>
      <c r="D70" s="122"/>
      <c r="E70" s="122"/>
      <c r="F70" s="122"/>
      <c r="G70" s="122"/>
      <c r="H70" s="122"/>
      <c r="I70" s="122"/>
      <c r="J70" s="122"/>
      <c r="K70" s="123"/>
      <c r="L70" s="124"/>
      <c r="M70" s="125"/>
      <c r="N70" s="2367"/>
      <c r="O70" s="2367"/>
      <c r="P70" s="334"/>
      <c r="Q70" s="847"/>
    </row>
    <row r="71" spans="1:17" ht="15.75" thickBot="1">
      <c r="A71" s="877"/>
      <c r="B71" s="878"/>
      <c r="C71" s="879"/>
      <c r="D71" s="879"/>
      <c r="E71" s="879"/>
      <c r="F71" s="879"/>
      <c r="G71" s="879"/>
      <c r="H71" s="879"/>
      <c r="I71" s="879"/>
      <c r="J71" s="879"/>
      <c r="K71" s="879"/>
      <c r="L71" s="879"/>
      <c r="M71" s="880"/>
      <c r="N71" s="2368"/>
      <c r="O71" s="2368"/>
      <c r="P71" s="334"/>
      <c r="Q71" s="847"/>
    </row>
    <row r="72" spans="1:17" ht="27.75" thickTop="1">
      <c r="A72" s="877"/>
      <c r="B72" s="881" t="s">
        <v>400</v>
      </c>
      <c r="C72" s="882"/>
      <c r="D72" s="882"/>
      <c r="E72" s="882"/>
      <c r="F72" s="882"/>
      <c r="G72" s="882"/>
      <c r="H72" s="882"/>
      <c r="I72" s="882"/>
      <c r="J72" s="882"/>
      <c r="K72" s="883"/>
      <c r="L72" s="884"/>
      <c r="M72" s="885"/>
      <c r="N72" s="2367"/>
      <c r="O72" s="2367"/>
      <c r="P72" s="334"/>
      <c r="Q72" s="847"/>
    </row>
    <row r="73" spans="1:17" ht="15.75" thickBot="1">
      <c r="A73" s="877"/>
      <c r="B73" s="886"/>
      <c r="C73" s="887"/>
      <c r="D73" s="887"/>
      <c r="E73" s="887"/>
      <c r="F73" s="887"/>
      <c r="G73" s="887"/>
      <c r="H73" s="887"/>
      <c r="I73" s="887"/>
      <c r="J73" s="887"/>
      <c r="K73" s="887"/>
      <c r="L73" s="887"/>
      <c r="M73" s="888"/>
      <c r="N73" s="2368"/>
      <c r="O73" s="2368"/>
      <c r="P73" s="334"/>
      <c r="Q73" s="847"/>
    </row>
    <row r="74" spans="1:17" ht="15.75" thickTop="1">
      <c r="A74" s="877"/>
      <c r="B74" s="1056" t="s">
        <v>89</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68"/>
      <c r="O74" s="2368"/>
      <c r="P74" s="334"/>
      <c r="Q74" s="847"/>
    </row>
    <row r="75" spans="1:17" ht="15">
      <c r="A75" s="877"/>
      <c r="B75" s="1057"/>
      <c r="C75" s="892"/>
      <c r="D75" s="892"/>
      <c r="E75" s="892"/>
      <c r="F75" s="892"/>
      <c r="G75" s="892"/>
      <c r="H75" s="892"/>
      <c r="I75" s="892"/>
      <c r="J75" s="892"/>
      <c r="K75" s="893"/>
      <c r="L75" s="894"/>
      <c r="M75" s="895"/>
      <c r="N75" s="2367"/>
      <c r="O75" s="2367"/>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68"/>
      <c r="O76" s="2368"/>
      <c r="P76" s="334"/>
      <c r="Q76" s="847"/>
    </row>
    <row r="77" spans="1:17" s="814" customFormat="1" ht="15.75" thickTop="1">
      <c r="A77" s="896"/>
      <c r="B77" s="1054">
        <f>B12</f>
        <v>111</v>
      </c>
      <c r="C77" s="139"/>
      <c r="D77" s="139"/>
      <c r="E77" s="139"/>
      <c r="F77" s="139"/>
      <c r="G77" s="139"/>
      <c r="H77" s="1059"/>
      <c r="I77" s="1059"/>
      <c r="J77" s="1059"/>
      <c r="K77" s="1059"/>
      <c r="L77" s="1060"/>
      <c r="M77" s="1061"/>
      <c r="N77" s="2369"/>
      <c r="O77" s="2369"/>
      <c r="P77" s="901"/>
      <c r="Q77" s="902"/>
    </row>
    <row r="78" spans="1:17" s="814" customFormat="1" ht="15.75" thickBot="1">
      <c r="A78" s="896"/>
      <c r="B78" s="1055"/>
      <c r="C78" s="903"/>
      <c r="D78" s="879"/>
      <c r="E78" s="879"/>
      <c r="F78" s="879"/>
      <c r="G78" s="879"/>
      <c r="H78" s="879"/>
      <c r="I78" s="879"/>
      <c r="J78" s="879"/>
      <c r="K78" s="879"/>
      <c r="L78" s="879"/>
      <c r="M78" s="880"/>
      <c r="N78" s="2368"/>
      <c r="O78" s="2368"/>
      <c r="P78" s="901"/>
      <c r="Q78" s="902"/>
    </row>
    <row r="79" spans="1:17" s="814" customFormat="1" ht="15.75" thickTop="1">
      <c r="A79" s="896"/>
      <c r="B79" s="1054">
        <f>B13</f>
        <v>111</v>
      </c>
      <c r="C79" s="139"/>
      <c r="D79" s="139"/>
      <c r="E79" s="139"/>
      <c r="F79" s="139"/>
      <c r="G79" s="139"/>
      <c r="H79" s="1059"/>
      <c r="I79" s="1059"/>
      <c r="J79" s="1059"/>
      <c r="K79" s="1059"/>
      <c r="L79" s="1060"/>
      <c r="M79" s="1061"/>
      <c r="N79" s="2369"/>
      <c r="O79" s="2369"/>
      <c r="P79" s="813"/>
      <c r="Q79" s="904"/>
    </row>
    <row r="80" spans="1:17" s="814" customFormat="1" ht="15.75" thickBot="1">
      <c r="A80" s="896"/>
      <c r="B80" s="1055"/>
      <c r="C80" s="903"/>
      <c r="D80" s="903"/>
      <c r="E80" s="903"/>
      <c r="F80" s="903"/>
      <c r="G80" s="903"/>
      <c r="H80" s="905"/>
      <c r="I80" s="905"/>
      <c r="J80" s="905"/>
      <c r="K80" s="905"/>
      <c r="L80" s="905"/>
      <c r="M80" s="906"/>
      <c r="N80" s="2369"/>
      <c r="O80" s="2369"/>
      <c r="P80" s="901"/>
      <c r="Q80" s="902"/>
    </row>
    <row r="81" spans="1:17" s="814" customFormat="1" ht="15.75" thickTop="1">
      <c r="A81" s="896"/>
      <c r="B81" s="1056">
        <f>B14</f>
        <v>111</v>
      </c>
      <c r="C81" s="140"/>
      <c r="D81" s="140"/>
      <c r="E81" s="140"/>
      <c r="F81" s="140"/>
      <c r="G81" s="140"/>
      <c r="H81" s="1066"/>
      <c r="I81" s="1066"/>
      <c r="J81" s="1066"/>
      <c r="K81" s="1066"/>
      <c r="L81" s="1067"/>
      <c r="M81" s="1068"/>
      <c r="N81" s="2369"/>
      <c r="O81" s="2369"/>
      <c r="P81" s="910"/>
      <c r="Q81" s="902"/>
    </row>
    <row r="82" spans="1:17" s="814" customFormat="1" ht="15.75" thickBot="1">
      <c r="A82" s="911"/>
      <c r="B82" s="1071"/>
      <c r="C82" s="913"/>
      <c r="D82" s="913"/>
      <c r="E82" s="913"/>
      <c r="F82" s="913"/>
      <c r="G82" s="913"/>
      <c r="H82" s="914"/>
      <c r="I82" s="914"/>
      <c r="J82" s="914"/>
      <c r="K82" s="914"/>
      <c r="L82" s="914"/>
      <c r="M82" s="915"/>
      <c r="N82" s="2369"/>
      <c r="O82" s="2369"/>
      <c r="P82" s="901"/>
      <c r="Q82" s="902"/>
    </row>
    <row r="83" spans="1:17">
      <c r="A83" s="870" t="s">
        <v>402</v>
      </c>
      <c r="B83" s="286" t="s">
        <v>155</v>
      </c>
      <c r="C83" s="916" t="s">
        <v>421</v>
      </c>
      <c r="D83" s="916" t="s">
        <v>422</v>
      </c>
      <c r="E83" s="916" t="s">
        <v>423</v>
      </c>
      <c r="F83" s="916" t="s">
        <v>424</v>
      </c>
      <c r="G83" s="916" t="s">
        <v>425</v>
      </c>
      <c r="H83" s="872"/>
      <c r="I83" s="872"/>
      <c r="J83" s="872"/>
      <c r="K83" s="917"/>
      <c r="L83" s="918"/>
      <c r="M83" s="919"/>
      <c r="N83" s="2367"/>
      <c r="O83" s="2367"/>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68"/>
      <c r="O84" s="2368"/>
      <c r="P84" s="334"/>
      <c r="Q84" s="847"/>
    </row>
    <row r="85" spans="1:17" ht="15.75" thickTop="1">
      <c r="A85" s="877"/>
      <c r="B85" s="1054" t="s">
        <v>88</v>
      </c>
      <c r="C85" s="921" t="s">
        <v>421</v>
      </c>
      <c r="D85" s="921" t="s">
        <v>422</v>
      </c>
      <c r="E85" s="921" t="s">
        <v>423</v>
      </c>
      <c r="F85" s="921" t="s">
        <v>424</v>
      </c>
      <c r="G85" s="921" t="s">
        <v>425</v>
      </c>
      <c r="H85" s="882"/>
      <c r="I85" s="882"/>
      <c r="J85" s="882"/>
      <c r="K85" s="883"/>
      <c r="L85" s="884"/>
      <c r="M85" s="885"/>
      <c r="N85" s="2367"/>
      <c r="O85" s="2367"/>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68"/>
      <c r="O86" s="2368"/>
      <c r="P86" s="334"/>
      <c r="Q86" s="847"/>
    </row>
    <row r="87" spans="1:17" s="407" customFormat="1" ht="27.75" thickTop="1">
      <c r="A87" s="922"/>
      <c r="B87" s="1054" t="s">
        <v>105</v>
      </c>
      <c r="C87" s="916" t="s">
        <v>421</v>
      </c>
      <c r="D87" s="916" t="s">
        <v>422</v>
      </c>
      <c r="E87" s="916" t="s">
        <v>423</v>
      </c>
      <c r="F87" s="916" t="s">
        <v>424</v>
      </c>
      <c r="G87" s="916" t="s">
        <v>425</v>
      </c>
      <c r="H87" s="921"/>
      <c r="I87" s="921"/>
      <c r="J87" s="921"/>
      <c r="K87" s="921"/>
      <c r="L87" s="1107"/>
      <c r="M87" s="965"/>
      <c r="N87" s="2366"/>
      <c r="O87" s="2366"/>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68"/>
      <c r="O88" s="2368"/>
      <c r="P88" s="334"/>
      <c r="Q88" s="847"/>
    </row>
    <row r="89" spans="1:17" s="407" customFormat="1" ht="27.75" thickTop="1">
      <c r="A89" s="922"/>
      <c r="B89" s="1054" t="s">
        <v>150</v>
      </c>
      <c r="C89" s="916" t="s">
        <v>421</v>
      </c>
      <c r="D89" s="916" t="s">
        <v>422</v>
      </c>
      <c r="E89" s="916" t="s">
        <v>423</v>
      </c>
      <c r="F89" s="916" t="s">
        <v>424</v>
      </c>
      <c r="G89" s="916" t="s">
        <v>425</v>
      </c>
      <c r="H89" s="921"/>
      <c r="I89" s="921"/>
      <c r="J89" s="921"/>
      <c r="K89" s="921"/>
      <c r="L89" s="921"/>
      <c r="M89" s="965"/>
      <c r="N89" s="2366"/>
      <c r="O89" s="2366"/>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68"/>
      <c r="O90" s="2368"/>
      <c r="P90" s="334"/>
      <c r="Q90" s="847"/>
    </row>
    <row r="91" spans="1:17" s="814" customFormat="1" ht="15.75" thickTop="1">
      <c r="A91" s="896"/>
      <c r="B91" s="1054" t="s">
        <v>2666</v>
      </c>
      <c r="C91" s="916" t="s">
        <v>421</v>
      </c>
      <c r="D91" s="916" t="s">
        <v>422</v>
      </c>
      <c r="E91" s="916" t="s">
        <v>423</v>
      </c>
      <c r="F91" s="916" t="s">
        <v>424</v>
      </c>
      <c r="G91" s="916" t="s">
        <v>425</v>
      </c>
      <c r="H91" s="943"/>
      <c r="I91" s="943"/>
      <c r="J91" s="943"/>
      <c r="K91" s="943"/>
      <c r="L91" s="944"/>
      <c r="M91" s="945"/>
      <c r="N91" s="2369"/>
      <c r="O91" s="2369"/>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69"/>
      <c r="O92" s="2369"/>
      <c r="P92" s="901"/>
      <c r="Q92" s="902"/>
    </row>
    <row r="93" spans="1:17" s="814" customFormat="1" ht="15.75" thickTop="1">
      <c r="A93" s="896"/>
      <c r="B93" s="1056" t="s">
        <v>2668</v>
      </c>
      <c r="C93" s="213" t="s">
        <v>2654</v>
      </c>
      <c r="D93" s="213" t="s">
        <v>2655</v>
      </c>
      <c r="E93" s="213" t="s">
        <v>2656</v>
      </c>
      <c r="F93" s="213" t="s">
        <v>2657</v>
      </c>
      <c r="G93" s="213" t="s">
        <v>2658</v>
      </c>
      <c r="H93" s="943"/>
      <c r="I93" s="943"/>
      <c r="J93" s="943"/>
      <c r="K93" s="943"/>
      <c r="L93" s="943"/>
      <c r="M93" s="945"/>
      <c r="N93" s="2369"/>
      <c r="O93" s="2369"/>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7"/>
      <c r="N94" s="2369"/>
      <c r="O94" s="2369"/>
      <c r="P94" s="901"/>
      <c r="Q94" s="902"/>
    </row>
    <row r="95" spans="1:17" ht="15.75" thickTop="1">
      <c r="A95" s="877"/>
      <c r="B95" s="1054" t="str">
        <f>B27</f>
        <v>临街状况</v>
      </c>
      <c r="C95" s="882" t="s">
        <v>504</v>
      </c>
      <c r="D95" s="882" t="s">
        <v>505</v>
      </c>
      <c r="E95" s="882" t="s">
        <v>506</v>
      </c>
      <c r="F95" s="882" t="s">
        <v>507</v>
      </c>
      <c r="G95" s="882"/>
      <c r="H95" s="882"/>
      <c r="I95" s="882"/>
      <c r="J95" s="882"/>
      <c r="K95" s="883"/>
      <c r="L95" s="884"/>
      <c r="M95" s="885"/>
      <c r="N95" s="2367"/>
      <c r="O95" s="2367"/>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68"/>
      <c r="O96" s="2368"/>
      <c r="P96" s="334"/>
      <c r="Q96" s="847"/>
    </row>
    <row r="97" spans="1:17" ht="27.75" thickTop="1">
      <c r="A97" s="877"/>
      <c r="B97" s="1054" t="s">
        <v>140</v>
      </c>
      <c r="C97" s="139"/>
      <c r="D97" s="139"/>
      <c r="E97" s="139"/>
      <c r="F97" s="139"/>
      <c r="G97" s="139"/>
      <c r="H97" s="131"/>
      <c r="I97" s="131"/>
      <c r="J97" s="131"/>
      <c r="K97" s="132"/>
      <c r="L97" s="133"/>
      <c r="M97" s="134"/>
      <c r="N97" s="2367"/>
      <c r="O97" s="2367"/>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68"/>
      <c r="O98" s="2368"/>
      <c r="P98" s="334"/>
      <c r="Q98" s="847"/>
    </row>
    <row r="99" spans="1:17" ht="15.75" thickTop="1">
      <c r="A99" s="877"/>
      <c r="B99" s="1054" t="s">
        <v>149</v>
      </c>
      <c r="C99" s="926"/>
      <c r="D99" s="926"/>
      <c r="E99" s="926"/>
      <c r="F99" s="926"/>
      <c r="G99" s="926"/>
      <c r="H99" s="926"/>
      <c r="I99" s="926"/>
      <c r="J99" s="926"/>
      <c r="K99" s="927"/>
      <c r="L99" s="928"/>
      <c r="M99" s="929"/>
      <c r="N99" s="2367"/>
      <c r="O99" s="2367"/>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68"/>
      <c r="O100" s="2368"/>
      <c r="P100" s="334"/>
      <c r="Q100" s="847"/>
    </row>
    <row r="101" spans="1:17" ht="15.75" thickTop="1">
      <c r="A101" s="877"/>
      <c r="B101" s="1056">
        <f>B31</f>
        <v>111</v>
      </c>
      <c r="C101" s="139"/>
      <c r="D101" s="139"/>
      <c r="E101" s="139"/>
      <c r="F101" s="139"/>
      <c r="G101" s="135"/>
      <c r="H101" s="135"/>
      <c r="I101" s="135"/>
      <c r="J101" s="135"/>
      <c r="K101" s="136"/>
      <c r="L101" s="137"/>
      <c r="M101" s="138"/>
      <c r="N101" s="2367"/>
      <c r="O101" s="2367"/>
      <c r="P101" s="334"/>
      <c r="Q101" s="847"/>
    </row>
    <row r="102" spans="1:17" ht="15.75" thickBot="1">
      <c r="A102" s="877"/>
      <c r="B102" s="1071"/>
      <c r="C102" s="903"/>
      <c r="D102" s="879"/>
      <c r="E102" s="879"/>
      <c r="F102" s="879"/>
      <c r="G102" s="934"/>
      <c r="H102" s="934"/>
      <c r="I102" s="934"/>
      <c r="J102" s="934"/>
      <c r="K102" s="934"/>
      <c r="L102" s="934"/>
      <c r="M102" s="935"/>
      <c r="N102" s="2368"/>
      <c r="O102" s="2368"/>
      <c r="P102" s="334"/>
      <c r="Q102" s="847"/>
    </row>
    <row r="103" spans="1:17" ht="15" thickTop="1">
      <c r="A103" s="1084"/>
      <c r="B103" s="1054">
        <f>B32</f>
        <v>111</v>
      </c>
      <c r="C103" s="139"/>
      <c r="D103" s="139"/>
      <c r="E103" s="139"/>
      <c r="F103" s="139"/>
      <c r="G103" s="131"/>
      <c r="H103" s="131"/>
      <c r="I103" s="131"/>
      <c r="J103" s="131"/>
      <c r="K103" s="132"/>
      <c r="L103" s="133"/>
      <c r="M103" s="134"/>
      <c r="N103" s="2367"/>
      <c r="O103" s="2367"/>
      <c r="P103" s="334"/>
      <c r="Q103" s="847"/>
    </row>
    <row r="104" spans="1:17" ht="15.75" thickBot="1">
      <c r="A104" s="877"/>
      <c r="B104" s="1055"/>
      <c r="C104" s="903"/>
      <c r="D104" s="903"/>
      <c r="E104" s="903"/>
      <c r="F104" s="903"/>
      <c r="G104" s="879"/>
      <c r="H104" s="879"/>
      <c r="I104" s="879"/>
      <c r="J104" s="879"/>
      <c r="K104" s="879"/>
      <c r="L104" s="879"/>
      <c r="M104" s="880"/>
      <c r="N104" s="2368"/>
      <c r="O104" s="2368"/>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69"/>
      <c r="O105" s="2369"/>
      <c r="P105" s="901"/>
      <c r="Q105" s="902"/>
    </row>
    <row r="106" spans="1:17" s="814" customFormat="1" ht="15.75" thickBot="1">
      <c r="A106" s="896"/>
      <c r="B106" s="1056"/>
      <c r="C106" s="913"/>
      <c r="D106" s="913"/>
      <c r="E106" s="913"/>
      <c r="F106" s="913"/>
      <c r="G106" s="1086"/>
      <c r="H106" s="1086"/>
      <c r="I106" s="1086"/>
      <c r="J106" s="1086"/>
      <c r="K106" s="1086"/>
      <c r="L106" s="1086"/>
      <c r="M106" s="1108"/>
      <c r="N106" s="2368"/>
      <c r="O106" s="2368"/>
      <c r="P106" s="901"/>
      <c r="Q106" s="902"/>
    </row>
    <row r="107" spans="1:17">
      <c r="A107" s="870" t="s">
        <v>404</v>
      </c>
      <c r="B107" s="286" t="s">
        <v>83</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0" t="str">
        <f t="shared" si="25"/>
        <v>(含)-</v>
      </c>
      <c r="L107" s="3300" t="str">
        <f t="shared" si="25"/>
        <v>(含)-</v>
      </c>
      <c r="M107" s="3301" t="str">
        <f>M108&amp;"(含)"&amp;"-"&amp;P108</f>
        <v>(含)-</v>
      </c>
      <c r="N107" s="2367"/>
      <c r="O107" s="2367"/>
      <c r="P107" s="334"/>
      <c r="Q107" s="847"/>
    </row>
    <row r="108" spans="1:17" ht="15">
      <c r="A108" s="877"/>
      <c r="B108" s="1056"/>
      <c r="C108" s="938"/>
      <c r="D108" s="938"/>
      <c r="E108" s="938"/>
      <c r="F108" s="938"/>
      <c r="G108" s="938"/>
      <c r="H108" s="938"/>
      <c r="I108" s="938"/>
      <c r="J108" s="939"/>
      <c r="K108" s="939"/>
      <c r="L108" s="940"/>
      <c r="M108" s="941"/>
      <c r="N108" s="2367"/>
      <c r="O108" s="2367"/>
      <c r="P108" s="334"/>
      <c r="Q108" s="847"/>
    </row>
    <row r="109" spans="1:17" ht="15.75" thickBot="1">
      <c r="A109" s="877"/>
      <c r="B109" s="1055"/>
      <c r="C109" s="913"/>
      <c r="D109" s="934"/>
      <c r="E109" s="934"/>
      <c r="F109" s="934"/>
      <c r="G109" s="934"/>
      <c r="H109" s="934"/>
      <c r="I109" s="934"/>
      <c r="J109" s="934"/>
      <c r="K109" s="934"/>
      <c r="L109" s="934"/>
      <c r="M109" s="935"/>
      <c r="N109" s="2368"/>
      <c r="O109" s="2368"/>
      <c r="P109" s="334"/>
      <c r="Q109" s="847"/>
    </row>
    <row r="110" spans="1:17" ht="15" thickTop="1">
      <c r="A110" s="942"/>
      <c r="B110" s="1054" t="s">
        <v>82</v>
      </c>
      <c r="C110" s="131"/>
      <c r="D110" s="131"/>
      <c r="E110" s="131"/>
      <c r="F110" s="131"/>
      <c r="G110" s="131"/>
      <c r="H110" s="131"/>
      <c r="I110" s="131"/>
      <c r="J110" s="131"/>
      <c r="K110" s="132"/>
      <c r="L110" s="133"/>
      <c r="M110" s="134"/>
      <c r="N110" s="2367"/>
      <c r="O110" s="2367"/>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68"/>
      <c r="O111" s="2368"/>
      <c r="P111" s="334"/>
      <c r="Q111" s="847"/>
    </row>
    <row r="112" spans="1:17" s="814" customFormat="1" ht="15" thickTop="1">
      <c r="A112" s="936"/>
      <c r="B112" s="1054" t="s">
        <v>2500</v>
      </c>
      <c r="C112" s="139"/>
      <c r="D112" s="139"/>
      <c r="E112" s="139"/>
      <c r="F112" s="139"/>
      <c r="G112" s="139"/>
      <c r="H112" s="131"/>
      <c r="I112" s="131"/>
      <c r="J112" s="131"/>
      <c r="K112" s="132"/>
      <c r="L112" s="133"/>
      <c r="M112" s="134"/>
      <c r="N112" s="2369"/>
      <c r="O112" s="2369"/>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69"/>
      <c r="O113" s="2369"/>
      <c r="P113" s="901"/>
      <c r="Q113" s="902"/>
    </row>
    <row r="114" spans="1:17" ht="15" thickTop="1">
      <c r="A114" s="942"/>
      <c r="B114" s="1054" t="s">
        <v>81</v>
      </c>
      <c r="C114" s="139"/>
      <c r="D114" s="139"/>
      <c r="E114" s="131"/>
      <c r="F114" s="131"/>
      <c r="G114" s="131"/>
      <c r="H114" s="131"/>
      <c r="I114" s="131"/>
      <c r="J114" s="131"/>
      <c r="K114" s="132"/>
      <c r="L114" s="133"/>
      <c r="M114" s="134"/>
      <c r="N114" s="2367"/>
      <c r="O114" s="2367"/>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68"/>
      <c r="O115" s="2368"/>
      <c r="P115" s="334"/>
      <c r="Q115" s="847"/>
    </row>
    <row r="116" spans="1:17" ht="15" thickTop="1">
      <c r="A116" s="942"/>
      <c r="B116" s="1054">
        <f>B38</f>
        <v>111</v>
      </c>
      <c r="C116" s="139"/>
      <c r="D116" s="139"/>
      <c r="E116" s="139"/>
      <c r="F116" s="139"/>
      <c r="G116" s="139"/>
      <c r="H116" s="131"/>
      <c r="I116" s="131"/>
      <c r="J116" s="131"/>
      <c r="K116" s="132"/>
      <c r="L116" s="133"/>
      <c r="M116" s="134"/>
      <c r="N116" s="2367"/>
      <c r="O116" s="2367"/>
      <c r="P116" s="334"/>
      <c r="Q116" s="847"/>
    </row>
    <row r="117" spans="1:17" ht="15.75" thickBot="1">
      <c r="A117" s="877"/>
      <c r="B117" s="1055"/>
      <c r="C117" s="903"/>
      <c r="D117" s="879"/>
      <c r="E117" s="879"/>
      <c r="F117" s="879"/>
      <c r="G117" s="879"/>
      <c r="H117" s="879"/>
      <c r="I117" s="879"/>
      <c r="J117" s="879"/>
      <c r="K117" s="879"/>
      <c r="L117" s="879"/>
      <c r="M117" s="880"/>
      <c r="N117" s="2368"/>
      <c r="O117" s="2368"/>
      <c r="P117" s="334"/>
      <c r="Q117" s="847"/>
    </row>
    <row r="118" spans="1:17" ht="15" thickTop="1">
      <c r="A118" s="942"/>
      <c r="B118" s="1054">
        <f>B39</f>
        <v>111</v>
      </c>
      <c r="C118" s="139"/>
      <c r="D118" s="139"/>
      <c r="E118" s="139"/>
      <c r="F118" s="139"/>
      <c r="G118" s="131"/>
      <c r="H118" s="131"/>
      <c r="I118" s="131"/>
      <c r="J118" s="131"/>
      <c r="K118" s="132"/>
      <c r="L118" s="133"/>
      <c r="M118" s="134"/>
      <c r="N118" s="2367"/>
      <c r="O118" s="2367"/>
      <c r="P118" s="334"/>
      <c r="Q118" s="847"/>
    </row>
    <row r="119" spans="1:17" ht="15.75" thickBot="1">
      <c r="A119" s="877"/>
      <c r="B119" s="1055"/>
      <c r="C119" s="903"/>
      <c r="D119" s="903"/>
      <c r="E119" s="903"/>
      <c r="F119" s="903"/>
      <c r="G119" s="879"/>
      <c r="H119" s="879"/>
      <c r="I119" s="879"/>
      <c r="J119" s="879"/>
      <c r="K119" s="879"/>
      <c r="L119" s="879"/>
      <c r="M119" s="880"/>
      <c r="N119" s="2368"/>
      <c r="O119" s="2368"/>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69"/>
      <c r="O120" s="2369"/>
      <c r="P120" s="901"/>
      <c r="Q120" s="902"/>
    </row>
    <row r="121" spans="1:17" s="814" customFormat="1" ht="15.75" thickBot="1">
      <c r="A121" s="911"/>
      <c r="B121" s="1079"/>
      <c r="C121" s="913"/>
      <c r="D121" s="913"/>
      <c r="E121" s="913"/>
      <c r="F121" s="913"/>
      <c r="G121" s="934"/>
      <c r="H121" s="934"/>
      <c r="I121" s="934"/>
      <c r="J121" s="934"/>
      <c r="K121" s="934"/>
      <c r="L121" s="934"/>
      <c r="M121" s="935"/>
      <c r="N121" s="2369"/>
      <c r="O121" s="2369"/>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8"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32" sqref="K32"/>
    </sheetView>
  </sheetViews>
  <sheetFormatPr defaultColWidth="12" defaultRowHeight="12"/>
  <cols>
    <col min="1" max="1" width="9.75" style="1623" customWidth="1"/>
    <col min="2" max="2" width="19.25" style="1744"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73" t="s">
        <v>1788</v>
      </c>
      <c r="B1" s="1474"/>
      <c r="C1" s="86" t="s">
        <v>2501</v>
      </c>
      <c r="D1" s="1736">
        <f>SUM(D29:D30,D33:D39)</f>
        <v>0</v>
      </c>
      <c r="E1" s="1620"/>
      <c r="F1" s="1620"/>
      <c r="G1" s="1620"/>
      <c r="H1" s="1620"/>
      <c r="I1" s="1620"/>
      <c r="J1" s="1620"/>
      <c r="K1" s="2379"/>
      <c r="L1" s="1882" t="s">
        <v>1220</v>
      </c>
      <c r="M1" s="2134">
        <f>SUMPRODUCT((区片价!B5:B9=I2)*(区片价!C3:F3=E2)*(区片价!C5:F9))</f>
        <v>0</v>
      </c>
      <c r="N1" s="2137">
        <f>SUMPRODUCT((因素修正幅度!B5:B9=I2)*(因素修正幅度!C3:F3=E2)*(因素修正幅度!C5:F9))</f>
        <v>0</v>
      </c>
      <c r="O1" s="2383"/>
      <c r="P1" s="2383"/>
      <c r="Q1" s="2379"/>
      <c r="R1" s="3073" t="s">
        <v>2890</v>
      </c>
      <c r="S1" s="3073" t="s">
        <v>2891</v>
      </c>
      <c r="T1" s="3073" t="s">
        <v>2892</v>
      </c>
      <c r="U1" s="3073" t="s">
        <v>2893</v>
      </c>
      <c r="V1" s="3073" t="s">
        <v>2894</v>
      </c>
      <c r="W1" s="3074"/>
      <c r="X1" s="3074"/>
      <c r="Y1" s="3074"/>
      <c r="Z1" s="3074"/>
      <c r="AA1" s="3074"/>
      <c r="AB1" s="3074"/>
      <c r="AC1" s="3075"/>
      <c r="AD1" s="3076"/>
      <c r="AE1" s="3076"/>
      <c r="AF1" s="3076"/>
      <c r="AG1" s="3076"/>
      <c r="AH1" s="3076"/>
      <c r="AI1" s="3076"/>
      <c r="AJ1" s="3077"/>
    </row>
    <row r="2" spans="1:36" ht="15.75">
      <c r="A2" s="86" t="s">
        <v>1789</v>
      </c>
      <c r="B2" s="580">
        <f ca="1">C26</f>
        <v>0</v>
      </c>
      <c r="C2" s="1472" t="s">
        <v>1130</v>
      </c>
      <c r="D2" s="1625" t="s">
        <v>1790</v>
      </c>
      <c r="E2" s="1780" t="s">
        <v>137</v>
      </c>
      <c r="F2" s="1625" t="s">
        <v>1791</v>
      </c>
      <c r="G2" s="1602" t="str">
        <f>IF(E2="商业",项目基本情况!B37,IF(E2="办公",项目基本情况!C37,IF(E2="住宅",项目基本情况!D37,项目基本情况!E37)))</f>
        <v>五级</v>
      </c>
      <c r="H2" s="1625" t="s">
        <v>1792</v>
      </c>
      <c r="I2" s="1602" t="str">
        <f>IF(E2="商业",项目基本情况!B38,IF(E2="办公",项目基本情况!C38,IF(E2="住宅",项目基本情况!D38,项目基本情况!E38)))</f>
        <v>Ⅴ-16</v>
      </c>
      <c r="J2" s="1626"/>
      <c r="K2" s="2379"/>
      <c r="L2" s="1883" t="s">
        <v>1277</v>
      </c>
      <c r="M2" s="2135">
        <f>SUMPRODUCT((区片价!B10:B28=I2)*(区片价!C3:F3=E2)*(区片价!C10:F28))</f>
        <v>0</v>
      </c>
      <c r="N2" s="2137">
        <f>SUMPRODUCT((因素修正幅度!B10:B28=I2)*(因素修正幅度!C3:F3=E2)*(因素修正幅度!C10:F28))</f>
        <v>0</v>
      </c>
      <c r="O2" s="2379"/>
      <c r="P2" s="2379"/>
      <c r="Q2" s="2379"/>
      <c r="R2" s="3078">
        <v>1</v>
      </c>
      <c r="S2" s="3078">
        <f>ROUND(IF(G3&gt;1,IF(R2&lt;7,SUMPRODUCT((B93:B98=R2)*(C92:N92=G2)*(C93:N98)),SUMIF(C92:N92,G2,C100:N100)),IF(R2&lt;7,SUMPRODUCT((B102:B107=R2)*(C92:N92=G2)*(C102:N107)),SUMIF(C92:N92,G2,C109:N109))),4)</f>
        <v>1.8629</v>
      </c>
      <c r="T2" s="3078">
        <f ca="1">ROUND($C$5*$C$18*$C$19*$C$20*S2*$C$24,0)</f>
        <v>0</v>
      </c>
      <c r="U2" s="3079"/>
      <c r="V2" s="3078">
        <f ca="1">ROUND(T2*U2/10000,0)</f>
        <v>0</v>
      </c>
      <c r="W2" s="3074"/>
      <c r="X2" s="3074"/>
      <c r="Y2" s="3074"/>
      <c r="Z2" s="3074"/>
      <c r="AA2" s="3074"/>
      <c r="AB2" s="3074"/>
      <c r="AC2" s="3075"/>
      <c r="AD2" s="3076"/>
      <c r="AE2" s="3076"/>
      <c r="AF2" s="3076"/>
      <c r="AG2" s="3076"/>
      <c r="AH2" s="3076"/>
      <c r="AI2" s="3076"/>
      <c r="AJ2" s="3077"/>
    </row>
    <row r="3" spans="1:36" ht="24">
      <c r="A3" s="87" t="s">
        <v>1793</v>
      </c>
      <c r="B3" s="580" t="e">
        <f ca="1">ROUND(B2*10000/D1,0)</f>
        <v>#DIV/0!</v>
      </c>
      <c r="C3" s="1472" t="s">
        <v>1794</v>
      </c>
      <c r="D3" s="1625" t="s">
        <v>1133</v>
      </c>
      <c r="E3" s="1781" t="s">
        <v>3083</v>
      </c>
      <c r="F3" s="1782" t="s">
        <v>3024</v>
      </c>
      <c r="G3" s="1627">
        <f>IF(F3="宗地容积率",'数据-汇总表'!I4,IF(F3="估价对象容积率",'数据-汇总表'!I6,'数据-汇总表'!I7))</f>
        <v>4.1900000000000004</v>
      </c>
      <c r="H3" s="1628" t="s">
        <v>1134</v>
      </c>
      <c r="I3" s="1783"/>
      <c r="J3" s="1626" t="s">
        <v>1135</v>
      </c>
      <c r="K3" s="2379"/>
      <c r="L3" s="1883" t="s">
        <v>1450</v>
      </c>
      <c r="M3" s="2135">
        <f>SUMPRODUCT((区片价!B29:B48=I2)*(区片价!C3:F3=E2)*(区片价!C29:F48))</f>
        <v>0</v>
      </c>
      <c r="N3" s="2137">
        <f>SUMPRODUCT((因素修正幅度!B29:B48=I2)*(因素修正幅度!C3:F3=E2)*(因素修正幅度!C29:F48))</f>
        <v>0</v>
      </c>
      <c r="O3" s="2379"/>
      <c r="P3" s="2379"/>
      <c r="Q3" s="2379"/>
      <c r="R3" s="3078">
        <v>2</v>
      </c>
      <c r="S3" s="3078">
        <f>ROUND(IF(G3&gt;1,IF(R3&lt;7,SUMPRODUCT((B93:B98=R3)*(C92:N92=G2)*(C93:N98)),SUMIF(C92:N92,G2,C100:N100)),IF(R3&lt;7,SUMPRODUCT((B102:B107=R3)*(C92:N92=G2)*(C102:N107)),SUMIF(C92:N92,G2,C109:N109))),4)</f>
        <v>1.3371999999999999</v>
      </c>
      <c r="T3" s="3078">
        <f t="shared" ref="T3:T16" ca="1" si="0">ROUND($C$5*$C$18*$C$19*$C$20*S3*$C$24,0)</f>
        <v>0</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720"/>
      <c r="B4" s="3721"/>
      <c r="C4" s="3721"/>
      <c r="D4" s="3722"/>
      <c r="E4" s="3722"/>
      <c r="F4" s="3722"/>
      <c r="G4" s="3722"/>
      <c r="H4" s="3722"/>
      <c r="I4" s="3722"/>
      <c r="J4" s="3723"/>
      <c r="K4" s="2379"/>
      <c r="L4" s="1883" t="s">
        <v>1131</v>
      </c>
      <c r="M4" s="2135">
        <f>SUMPRODUCT((区片价!B49:B75=I2)*(区片价!C3:F3=E2)*(区片价!C49:F75))</f>
        <v>0</v>
      </c>
      <c r="N4" s="2137">
        <f>SUMPRODUCT((因素修正幅度!B49:B75=I2)*(因素修正幅度!C3:F3=E2)*(因素修正幅度!C49:F75))</f>
        <v>0</v>
      </c>
      <c r="O4" s="2379"/>
      <c r="P4" s="2379"/>
      <c r="Q4" s="2379"/>
      <c r="R4" s="3078">
        <v>3</v>
      </c>
      <c r="S4" s="3078">
        <f>ROUND(IF(G3&gt;1,IF(R4&lt;7,SUMPRODUCT((B93:B98=R4)*(C92:N92=G2)*(C93:N98)),SUMIF(C92:N92,G2,C100:N100)),IF(R4&lt;7,SUMPRODUCT((B102:B107=R4)*(C92:N92=G2)*(C102:N107)),SUMIF(C92:N92,G2,C109:N109))),4)</f>
        <v>1.0788</v>
      </c>
      <c r="T4" s="3078">
        <f t="shared" ca="1" si="0"/>
        <v>0</v>
      </c>
      <c r="U4" s="3079"/>
      <c r="V4" s="3078">
        <f t="shared" ca="1" si="1"/>
        <v>0</v>
      </c>
      <c r="W4" s="3074"/>
      <c r="X4" s="3074"/>
      <c r="Y4" s="3074"/>
      <c r="Z4" s="3074"/>
      <c r="AA4" s="3074"/>
      <c r="AB4" s="3074"/>
      <c r="AC4" s="3075"/>
      <c r="AD4" s="3076"/>
      <c r="AE4" s="3076"/>
      <c r="AF4" s="3076"/>
      <c r="AG4" s="3076"/>
      <c r="AH4" s="3076"/>
      <c r="AI4" s="3076"/>
      <c r="AJ4" s="3077"/>
    </row>
    <row r="5" spans="1:36" s="1636" customFormat="1" ht="15.75" thickBot="1">
      <c r="A5" s="1876" t="s">
        <v>1931</v>
      </c>
      <c r="B5" s="1629" t="s">
        <v>1795</v>
      </c>
      <c r="C5" s="1630">
        <f>ROUND(IF(E2="商业",IF(F16="增加",C6*C7+C16,C6*C7-C16),IF(E2="住宅",IF(F16="增加",C6*C12+C16,C6*C12-C16),IF(F16="增加",C6+C16,C6-C16))),0)</f>
        <v>11360</v>
      </c>
      <c r="D5" s="1631"/>
      <c r="E5" s="1632"/>
      <c r="F5" s="1632"/>
      <c r="G5" s="1633"/>
      <c r="H5" s="1633"/>
      <c r="I5" s="1633"/>
      <c r="J5" s="1634"/>
      <c r="K5" s="2384"/>
      <c r="L5" s="1883" t="s">
        <v>1531</v>
      </c>
      <c r="M5" s="2135">
        <f>SUMPRODUCT((区片价!B76:B109=I2)*(区片价!C3:F3=E2)*(区片价!C76:F109))</f>
        <v>11360</v>
      </c>
      <c r="N5" s="2137">
        <f>SUMPRODUCT((因素修正幅度!B76:B109=I2)*(因素修正幅度!C3:F3=E2)*(因素修正幅度!C76:F109))</f>
        <v>9.9000000000000005E-2</v>
      </c>
      <c r="O5" s="2379"/>
      <c r="P5" s="2379"/>
      <c r="Q5" s="2379"/>
      <c r="R5" s="3078">
        <v>4</v>
      </c>
      <c r="S5" s="3078">
        <f>ROUND(IF(G3&gt;1,IF(R5&lt;7,SUMPRODUCT((B93:B98=R5)*(C92:N92=G2)*(C93:N98)),SUMIF(C92:N92,G2,C100:N100)),IF(R5&lt;7,SUMPRODUCT((B102:B107=R5)*(C92:N92=G2)*(C102:N107)),SUMIF(C92:N92,G2,C109:N109))),4)</f>
        <v>0.86560000000000004</v>
      </c>
      <c r="T5" s="3078">
        <f t="shared" ca="1" si="0"/>
        <v>0</v>
      </c>
      <c r="U5" s="3079"/>
      <c r="V5" s="3078">
        <f t="shared" ca="1" si="1"/>
        <v>0</v>
      </c>
      <c r="W5" s="3074"/>
      <c r="X5" s="3074"/>
      <c r="Y5" s="3074"/>
      <c r="Z5" s="3074"/>
      <c r="AA5" s="3074"/>
      <c r="AB5" s="3074"/>
      <c r="AC5" s="3080"/>
      <c r="AD5" s="3081"/>
      <c r="AE5" s="3081"/>
      <c r="AF5" s="3081"/>
      <c r="AG5" s="3081"/>
      <c r="AH5" s="3081"/>
      <c r="AI5" s="3081"/>
      <c r="AJ5" s="3082"/>
    </row>
    <row r="6" spans="1:36" ht="15.75" thickBot="1">
      <c r="A6" s="1880" t="s">
        <v>1938</v>
      </c>
      <c r="B6" s="1637" t="s">
        <v>1795</v>
      </c>
      <c r="C6" s="1638">
        <f>SUMIF(L1:L12,G2,M1:M12)</f>
        <v>11360</v>
      </c>
      <c r="D6" s="1639" t="s">
        <v>1796</v>
      </c>
      <c r="E6" s="1640"/>
      <c r="F6" s="1640"/>
      <c r="G6" s="1641"/>
      <c r="H6" s="1641"/>
      <c r="I6" s="1641"/>
      <c r="J6" s="1642"/>
      <c r="K6" s="2385"/>
      <c r="L6" s="1883" t="s">
        <v>199</v>
      </c>
      <c r="M6" s="2135">
        <f>SUMPRODUCT((区片价!B110:B157=I2)*(区片价!C3:F3=E2)*(区片价!C110:F157))</f>
        <v>0</v>
      </c>
      <c r="N6" s="2137">
        <f>SUMPRODUCT((因素修正幅度!B110:B157=I2)*(因素修正幅度!C3:F3=E2)*(因素修正幅度!C110:F157))</f>
        <v>0</v>
      </c>
      <c r="O6" s="2379"/>
      <c r="P6" s="2379"/>
      <c r="Q6" s="2379"/>
      <c r="R6" s="3078">
        <v>5</v>
      </c>
      <c r="S6" s="3078">
        <f>ROUND(IF(G3&gt;1,IF(R6&lt;7,SUMPRODUCT((B93:B98=R6)*(C92:N92=G2)*(C93:N98)),SUMIF(C92:N92,G2,C100:N100)),IF(R6&lt;7,SUMPRODUCT((B102:B107=R6)*(C92:N92=G2)*(C102:N107)),SUMIF(C92:N92,G2,C109:N109))),4)</f>
        <v>0.73709999999999998</v>
      </c>
      <c r="T6" s="3078">
        <f t="shared" ca="1" si="0"/>
        <v>0</v>
      </c>
      <c r="U6" s="3079"/>
      <c r="V6" s="3078">
        <f t="shared" ca="1" si="1"/>
        <v>0</v>
      </c>
      <c r="W6" s="3074"/>
      <c r="X6" s="3074"/>
      <c r="Y6" s="3074"/>
      <c r="Z6" s="3074"/>
      <c r="AA6" s="3074"/>
      <c r="AB6" s="3074"/>
      <c r="AC6" s="3080"/>
      <c r="AD6" s="3081"/>
      <c r="AE6" s="3081"/>
      <c r="AF6" s="3081"/>
      <c r="AG6" s="3081"/>
      <c r="AH6" s="3081"/>
      <c r="AI6" s="3081"/>
      <c r="AJ6" s="3082"/>
    </row>
    <row r="7" spans="1:36" ht="24">
      <c r="A7" s="3707" t="str">
        <f>IF(E2="商业",IF(C8="不临58条商业街","",2),"")</f>
        <v/>
      </c>
      <c r="B7" s="1643" t="s">
        <v>1797</v>
      </c>
      <c r="C7" s="1644" t="e">
        <f>IF(C8="不临58条商业街",1,ROUND(1+(1.6*E8+1.2*E9+0.8*E10+0.4*E11)*C9,4))</f>
        <v>#DIV/0!</v>
      </c>
      <c r="D7" s="1645" t="s">
        <v>1798</v>
      </c>
      <c r="E7" s="1784"/>
      <c r="F7" s="1646"/>
      <c r="G7" s="1647"/>
      <c r="H7" s="1647"/>
      <c r="I7" s="1647"/>
      <c r="J7" s="1648"/>
      <c r="K7" s="2385"/>
      <c r="L7" s="1883" t="s">
        <v>1534</v>
      </c>
      <c r="M7" s="2135">
        <f>SUMPRODUCT((区片价!B158:B205=I2)*(区片价!C3:F3=E2)*(区片价!C158:F205))</f>
        <v>0</v>
      </c>
      <c r="N7" s="2137">
        <f>SUMPRODUCT((因素修正幅度!B158:B205=I2)*(因素修正幅度!C3:F3=E2)*(因素修正幅度!C158:F205))</f>
        <v>0</v>
      </c>
      <c r="O7" s="2379"/>
      <c r="P7" s="2379"/>
      <c r="Q7" s="2379"/>
      <c r="R7" s="3078">
        <v>6</v>
      </c>
      <c r="S7" s="3078">
        <f>ROUND(IF(G3&gt;1,IF(R7&lt;7,SUMPRODUCT((B93:B98=R7)*(C92:N92=G2)*(C93:N98)),SUMIF(C92:N92,G2,C100:N100)),IF(R7&lt;7,SUMPRODUCT((B102:B107=R7)*(C92:N92=G2)*(C102:N107)),SUMIF(C92:N92,G2,C109:N109))),4)</f>
        <v>0.6482</v>
      </c>
      <c r="T7" s="3078">
        <f t="shared" ca="1" si="0"/>
        <v>0</v>
      </c>
      <c r="U7" s="3079"/>
      <c r="V7" s="3078">
        <f t="shared" ca="1" si="1"/>
        <v>0</v>
      </c>
      <c r="W7" s="3083" t="s">
        <v>2895</v>
      </c>
      <c r="X7" s="3084" t="str">
        <f>G2</f>
        <v>五级</v>
      </c>
      <c r="Y7" s="3084" t="s">
        <v>2896</v>
      </c>
      <c r="Z7" s="3085">
        <f>G3</f>
        <v>4.1900000000000004</v>
      </c>
      <c r="AA7" s="3086"/>
      <c r="AB7" s="3086"/>
      <c r="AC7" s="3087"/>
      <c r="AD7" s="3088"/>
      <c r="AE7" s="3088"/>
      <c r="AF7" s="3088"/>
      <c r="AG7" s="3088"/>
      <c r="AH7" s="3088"/>
      <c r="AI7" s="3088"/>
      <c r="AJ7" s="3089"/>
    </row>
    <row r="8" spans="1:36" ht="15">
      <c r="A8" s="3708"/>
      <c r="B8" s="1628" t="s">
        <v>1799</v>
      </c>
      <c r="C8" s="1785"/>
      <c r="D8" s="1649" t="s">
        <v>1136</v>
      </c>
      <c r="E8" s="1650" t="e">
        <f>ROUND(C11/E7,4)</f>
        <v>#DIV/0!</v>
      </c>
      <c r="F8" s="1651" t="s">
        <v>1800</v>
      </c>
      <c r="G8" s="1652"/>
      <c r="H8" s="1652"/>
      <c r="I8" s="1652"/>
      <c r="J8" s="1653"/>
      <c r="K8" s="2379"/>
      <c r="L8" s="1883" t="s">
        <v>1536</v>
      </c>
      <c r="M8" s="2135">
        <f>SUMPRODUCT((区片价!B206:B244=I2)*(区片价!C3:F3=E2)*(区片价!C206:F244))</f>
        <v>0</v>
      </c>
      <c r="N8" s="2137">
        <f>SUMPRODUCT((因素修正幅度!B206:B244=I2)*(因素修正幅度!C3:F3=E2)*(因素修正幅度!C206:F244))</f>
        <v>0</v>
      </c>
      <c r="O8" s="2379"/>
      <c r="P8" s="2379"/>
      <c r="Q8" s="2379"/>
      <c r="R8" s="3078">
        <v>7</v>
      </c>
      <c r="S8" s="3079"/>
      <c r="T8" s="3078">
        <f t="shared" ca="1" si="0"/>
        <v>0</v>
      </c>
      <c r="U8" s="3079"/>
      <c r="V8" s="3078">
        <f t="shared" ca="1" si="1"/>
        <v>0</v>
      </c>
      <c r="W8" s="3717" t="s">
        <v>2897</v>
      </c>
      <c r="X8" s="3718"/>
      <c r="Y8" s="3090" t="s">
        <v>161</v>
      </c>
      <c r="Z8" s="3090" t="s">
        <v>162</v>
      </c>
      <c r="AA8" s="3090" t="s">
        <v>157</v>
      </c>
      <c r="AB8" s="3090" t="s">
        <v>158</v>
      </c>
      <c r="AC8" s="3090" t="s">
        <v>159</v>
      </c>
      <c r="AD8" s="3090" t="s">
        <v>160</v>
      </c>
      <c r="AE8" s="3090" t="s">
        <v>1171</v>
      </c>
      <c r="AF8" s="3090" t="s">
        <v>1172</v>
      </c>
      <c r="AG8" s="3090" t="s">
        <v>1173</v>
      </c>
      <c r="AH8" s="3090" t="s">
        <v>1174</v>
      </c>
      <c r="AI8" s="3090" t="s">
        <v>1175</v>
      </c>
      <c r="AJ8" s="3090" t="s">
        <v>1176</v>
      </c>
    </row>
    <row r="9" spans="1:36" ht="15">
      <c r="A9" s="3708"/>
      <c r="B9" s="1628" t="s">
        <v>1801</v>
      </c>
      <c r="C9" s="1654">
        <f>SUMIF(修正!C59:C119,C8,修正!E59:E119)</f>
        <v>0</v>
      </c>
      <c r="D9" s="532" t="s">
        <v>1137</v>
      </c>
      <c r="E9" s="532" t="e">
        <f>ROUND(C11/E7,4)</f>
        <v>#DIV/0!</v>
      </c>
      <c r="F9" s="1651" t="s">
        <v>1802</v>
      </c>
      <c r="G9" s="1652"/>
      <c r="H9" s="1652"/>
      <c r="I9" s="1652"/>
      <c r="J9" s="1653"/>
      <c r="K9" s="2379"/>
      <c r="L9" s="1883" t="s">
        <v>1538</v>
      </c>
      <c r="M9" s="2135">
        <f>SUMPRODUCT((区片价!B245:B289=I2)*(区片价!C3:F3=E2)*(区片价!C245:F289))</f>
        <v>0</v>
      </c>
      <c r="N9" s="2137">
        <f>SUMPRODUCT((因素修正幅度!B245:B289=I2)*(因素修正幅度!C3:F3=E2)*(因素修正幅度!C245:F289))</f>
        <v>0</v>
      </c>
      <c r="O9" s="2379"/>
      <c r="P9" s="2379"/>
      <c r="Q9" s="2379"/>
      <c r="R9" s="3078">
        <v>8</v>
      </c>
      <c r="S9" s="3079"/>
      <c r="T9" s="3078">
        <f t="shared" ca="1" si="0"/>
        <v>0</v>
      </c>
      <c r="U9" s="3079"/>
      <c r="V9" s="3078">
        <f t="shared" ca="1" si="1"/>
        <v>0</v>
      </c>
      <c r="W9" s="3719" t="s">
        <v>2898</v>
      </c>
      <c r="X9" s="3091" t="s">
        <v>1758</v>
      </c>
      <c r="Y9" s="3314"/>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08"/>
      <c r="B10" s="1628" t="s">
        <v>1803</v>
      </c>
      <c r="C10" s="532">
        <f>SUMIF(修正!C59:C119,C8,修正!F59:F119)</f>
        <v>0</v>
      </c>
      <c r="D10" s="532" t="s">
        <v>1138</v>
      </c>
      <c r="E10" s="532" t="e">
        <f>ROUND(C11/E7,4)</f>
        <v>#DIV/0!</v>
      </c>
      <c r="F10" s="1651" t="s">
        <v>1804</v>
      </c>
      <c r="G10" s="1652"/>
      <c r="H10" s="1652"/>
      <c r="I10" s="1652"/>
      <c r="J10" s="1653"/>
      <c r="K10" s="2379"/>
      <c r="L10" s="1883" t="s">
        <v>1542</v>
      </c>
      <c r="M10" s="2135">
        <f>SUMPRODUCT((区片价!B290:B316=I2)*(区片价!C3:F3=E2)*(区片价!C290:F316))</f>
        <v>0</v>
      </c>
      <c r="N10" s="2137">
        <f>SUMPRODUCT((因素修正幅度!B290:B316=I2)*(因素修正幅度!C3:F3=E2)*(因素修正幅度!C290:F316))</f>
        <v>0</v>
      </c>
      <c r="O10" s="2379"/>
      <c r="P10" s="2379"/>
      <c r="Q10" s="2379"/>
      <c r="R10" s="3078">
        <v>9</v>
      </c>
      <c r="S10" s="3079"/>
      <c r="T10" s="3078">
        <f t="shared" ca="1" si="0"/>
        <v>0</v>
      </c>
      <c r="U10" s="3079"/>
      <c r="V10" s="3078">
        <f t="shared" ca="1" si="1"/>
        <v>0</v>
      </c>
      <c r="W10" s="3719"/>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08"/>
      <c r="B11" s="1655" t="s">
        <v>1805</v>
      </c>
      <c r="C11" s="1656">
        <f>C10/4</f>
        <v>0</v>
      </c>
      <c r="D11" s="1656" t="s">
        <v>1139</v>
      </c>
      <c r="E11" s="1656" t="e">
        <f>ROUND(C11/E7,4)</f>
        <v>#DIV/0!</v>
      </c>
      <c r="F11" s="1657" t="s">
        <v>1806</v>
      </c>
      <c r="G11" s="1658"/>
      <c r="H11" s="1658"/>
      <c r="I11" s="1658"/>
      <c r="J11" s="1659"/>
      <c r="K11" s="2379"/>
      <c r="L11" s="1883" t="s">
        <v>1941</v>
      </c>
      <c r="M11" s="2135">
        <f>SUMPRODUCT((区片价!B317:B337=I2)*(区片价!C3:F3=E2)*(区片价!C317:F337))</f>
        <v>0</v>
      </c>
      <c r="N11" s="2137">
        <f>SUMPRODUCT((因素修正幅度!B317:B337=I2)*(因素修正幅度!C3:F3=E2)*(因素修正幅度!C317:F337))</f>
        <v>0</v>
      </c>
      <c r="O11" s="2379"/>
      <c r="P11" s="2379"/>
      <c r="Q11" s="2379"/>
      <c r="R11" s="3078">
        <v>10</v>
      </c>
      <c r="S11" s="3079"/>
      <c r="T11" s="3078">
        <f t="shared" ca="1" si="0"/>
        <v>0</v>
      </c>
      <c r="U11" s="3079"/>
      <c r="V11" s="3078">
        <f t="shared" ca="1" si="1"/>
        <v>0</v>
      </c>
      <c r="W11" s="3719" t="s">
        <v>2899</v>
      </c>
      <c r="X11" s="3094" t="s">
        <v>2896</v>
      </c>
      <c r="Y11" s="3095">
        <f>$G$3</f>
        <v>4.1900000000000004</v>
      </c>
      <c r="Z11" s="3095">
        <f t="shared" ref="Z11:AJ11" si="3">$G$3</f>
        <v>4.1900000000000004</v>
      </c>
      <c r="AA11" s="3095">
        <f t="shared" si="3"/>
        <v>4.1900000000000004</v>
      </c>
      <c r="AB11" s="3095">
        <f t="shared" si="3"/>
        <v>4.1900000000000004</v>
      </c>
      <c r="AC11" s="3095">
        <f t="shared" si="3"/>
        <v>4.1900000000000004</v>
      </c>
      <c r="AD11" s="3095">
        <f t="shared" si="3"/>
        <v>4.1900000000000004</v>
      </c>
      <c r="AE11" s="3095">
        <f t="shared" si="3"/>
        <v>4.1900000000000004</v>
      </c>
      <c r="AF11" s="3095">
        <f t="shared" si="3"/>
        <v>4.1900000000000004</v>
      </c>
      <c r="AG11" s="3095">
        <f t="shared" si="3"/>
        <v>4.1900000000000004</v>
      </c>
      <c r="AH11" s="3095">
        <f t="shared" si="3"/>
        <v>4.1900000000000004</v>
      </c>
      <c r="AI11" s="3095">
        <f t="shared" si="3"/>
        <v>4.1900000000000004</v>
      </c>
      <c r="AJ11" s="3095">
        <f t="shared" si="3"/>
        <v>4.1900000000000004</v>
      </c>
    </row>
    <row r="12" spans="1:36" ht="26.25" thickBot="1">
      <c r="A12" s="3707" t="s">
        <v>1939</v>
      </c>
      <c r="B12" s="1660" t="s">
        <v>1807</v>
      </c>
      <c r="C12" s="1644">
        <f>ROUND(C15*D15*E15*F15*G15*H15*I15*J15,4)</f>
        <v>1</v>
      </c>
      <c r="D12" s="1661" t="s">
        <v>1808</v>
      </c>
      <c r="E12" s="1662"/>
      <c r="F12" s="1662"/>
      <c r="G12" s="1663"/>
      <c r="H12" s="1663"/>
      <c r="I12" s="1663"/>
      <c r="J12" s="1664"/>
      <c r="K12" s="2379"/>
      <c r="L12" s="1884" t="s">
        <v>1942</v>
      </c>
      <c r="M12" s="2136">
        <f>SUMPRODUCT((区片价!B338:B344=I2)*(区片价!C3:F3=E2)*(区片价!C338:F344))</f>
        <v>0</v>
      </c>
      <c r="N12" s="2137">
        <f>SUMPRODUCT((因素修正幅度!B338:B344=I2)*(因素修正幅度!C3:F3=E2)*(因素修正幅度!C338:F344))</f>
        <v>0</v>
      </c>
      <c r="O12" s="2379"/>
      <c r="P12" s="2379"/>
      <c r="Q12" s="2379"/>
      <c r="R12" s="3078">
        <v>11</v>
      </c>
      <c r="S12" s="3079"/>
      <c r="T12" s="3078">
        <f t="shared" ca="1" si="0"/>
        <v>0</v>
      </c>
      <c r="U12" s="3079"/>
      <c r="V12" s="3078">
        <f t="shared" ca="1" si="1"/>
        <v>0</v>
      </c>
      <c r="W12" s="3719"/>
      <c r="X12" s="3096" t="s">
        <v>1761</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24"/>
      <c r="B13" s="1665" t="s">
        <v>1809</v>
      </c>
      <c r="C13" s="1666" t="s">
        <v>1810</v>
      </c>
      <c r="D13" s="1667" t="s">
        <v>1811</v>
      </c>
      <c r="E13" s="1667" t="s">
        <v>1812</v>
      </c>
      <c r="F13" s="81" t="s">
        <v>1140</v>
      </c>
      <c r="G13" s="1786" t="s">
        <v>1863</v>
      </c>
      <c r="H13" s="1786" t="s">
        <v>1863</v>
      </c>
      <c r="I13" s="1786" t="s">
        <v>1863</v>
      </c>
      <c r="J13" s="1787" t="s">
        <v>1863</v>
      </c>
      <c r="K13" s="2379"/>
      <c r="L13" s="2379"/>
      <c r="M13" s="2379"/>
      <c r="N13" s="2379"/>
      <c r="O13" s="2379"/>
      <c r="P13" s="2379"/>
      <c r="Q13" s="2379"/>
      <c r="R13" s="3078">
        <v>12</v>
      </c>
      <c r="S13" s="3079"/>
      <c r="T13" s="3078">
        <f t="shared" ca="1" si="0"/>
        <v>0</v>
      </c>
      <c r="U13" s="3079"/>
      <c r="V13" s="3078">
        <f t="shared" ca="1" si="1"/>
        <v>0</v>
      </c>
      <c r="W13" s="3719"/>
      <c r="X13" s="3096"/>
      <c r="Y13" s="3093">
        <f>(-0.163*(Y12^2)-0.59*Y12+7617)*(10^(-4))/Y11</f>
        <v>0.18178997613365155</v>
      </c>
      <c r="Z13" s="3093">
        <f t="shared" ref="Z13:AJ13" si="5">(-0.163*(Z12^2)-0.59*Z12+7617)*(10^(-4))/Z11</f>
        <v>0.18178997613365155</v>
      </c>
      <c r="AA13" s="3093">
        <f t="shared" si="5"/>
        <v>0.18178997613365155</v>
      </c>
      <c r="AB13" s="3093">
        <f t="shared" si="5"/>
        <v>0.18178997613365155</v>
      </c>
      <c r="AC13" s="3093">
        <f t="shared" si="5"/>
        <v>0.18178997613365155</v>
      </c>
      <c r="AD13" s="3093">
        <f t="shared" si="5"/>
        <v>0.18178997613365155</v>
      </c>
      <c r="AE13" s="3093">
        <f t="shared" si="5"/>
        <v>0.18178997613365155</v>
      </c>
      <c r="AF13" s="3093">
        <f t="shared" si="5"/>
        <v>0.18178997613365155</v>
      </c>
      <c r="AG13" s="3093">
        <f t="shared" si="5"/>
        <v>0.18178997613365155</v>
      </c>
      <c r="AH13" s="3093">
        <f t="shared" si="5"/>
        <v>0.18178997613365155</v>
      </c>
      <c r="AI13" s="3093">
        <f t="shared" si="5"/>
        <v>0.18178997613365155</v>
      </c>
      <c r="AJ13" s="3093">
        <f t="shared" si="5"/>
        <v>0.18178997613365155</v>
      </c>
    </row>
    <row r="14" spans="1:36" ht="15">
      <c r="A14" s="3724"/>
      <c r="B14" s="1668"/>
      <c r="C14" s="1788"/>
      <c r="D14" s="1484"/>
      <c r="E14" s="1484"/>
      <c r="F14" s="1789"/>
      <c r="G14" s="1669" t="s">
        <v>1840</v>
      </c>
      <c r="H14" s="1670"/>
      <c r="I14" s="1671"/>
      <c r="J14" s="1672"/>
      <c r="K14" s="2379"/>
      <c r="L14" s="2379"/>
      <c r="M14" s="2379"/>
      <c r="N14" s="2379"/>
      <c r="O14" s="2379"/>
      <c r="P14" s="2379"/>
      <c r="Q14" s="2379"/>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725"/>
      <c r="B15" s="1673" t="s">
        <v>1813</v>
      </c>
      <c r="C15" s="561">
        <f>IF(C14="有",1.1,1)</f>
        <v>1</v>
      </c>
      <c r="D15" s="561">
        <f>IF(D14="有",1.1,1)</f>
        <v>1</v>
      </c>
      <c r="E15" s="561">
        <f>IF(E14="有",1.1,1)</f>
        <v>1</v>
      </c>
      <c r="F15" s="561">
        <f>IF(F14="500米范围内",1.2,IF(F14="500-1000米",1.1,1))</f>
        <v>1</v>
      </c>
      <c r="G15" s="1790">
        <v>1</v>
      </c>
      <c r="H15" s="1790">
        <v>1</v>
      </c>
      <c r="I15" s="1790">
        <v>1</v>
      </c>
      <c r="J15" s="1791">
        <v>1</v>
      </c>
      <c r="K15" s="2379"/>
      <c r="L15" s="1704" t="s">
        <v>1829</v>
      </c>
      <c r="M15" s="1705" t="s">
        <v>1830</v>
      </c>
      <c r="N15" s="1705" t="s">
        <v>1831</v>
      </c>
      <c r="O15" s="1705" t="s">
        <v>976</v>
      </c>
      <c r="P15" s="1706" t="s">
        <v>1832</v>
      </c>
      <c r="Q15" s="2379"/>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707" t="s">
        <v>1940</v>
      </c>
      <c r="B16" s="1643" t="s">
        <v>1814</v>
      </c>
      <c r="C16" s="1776">
        <f>ROUND(SUM(G17:J17)/C17,0)</f>
        <v>0</v>
      </c>
      <c r="D16" s="1674" t="s">
        <v>1815</v>
      </c>
      <c r="E16" s="1792"/>
      <c r="F16" s="1793"/>
      <c r="G16" s="1794"/>
      <c r="H16" s="1794"/>
      <c r="I16" s="1794"/>
      <c r="J16" s="1795"/>
      <c r="K16" s="2379"/>
      <c r="L16" s="1710" t="s">
        <v>1834</v>
      </c>
      <c r="M16" s="1654">
        <v>0.25</v>
      </c>
      <c r="N16" s="1654">
        <v>0.2</v>
      </c>
      <c r="O16" s="1654">
        <v>0.15</v>
      </c>
      <c r="P16" s="2729">
        <v>0.1</v>
      </c>
      <c r="Q16" s="2730"/>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708"/>
      <c r="B17" s="1675" t="s">
        <v>1816</v>
      </c>
      <c r="C17" s="1676">
        <f>SUMPRODUCT((修正!A2:A5=E2)*(修正!B1:M1=G2)*(修正!B2:M5))</f>
        <v>2.5</v>
      </c>
      <c r="D17" s="1677" t="s">
        <v>1817</v>
      </c>
      <c r="E17" s="1747" t="str">
        <f>IF(OR(G2="八级",G2="九级",G2="十级",G2="十一级",G2="十二级"),"五通一平","七通一平")</f>
        <v>七通一平</v>
      </c>
      <c r="F17" s="1678" t="s">
        <v>1818</v>
      </c>
      <c r="G17" s="1676">
        <f>SUMPRODUCT((七通一平=G16)*(修正!B1:M1=G2)*(修正!B6:M14))</f>
        <v>0</v>
      </c>
      <c r="H17" s="1676">
        <f>SUMPRODUCT((七通一平=H16)*(修正!B1:M1=G2)*(修正!B6:M14))</f>
        <v>0</v>
      </c>
      <c r="I17" s="1676">
        <f>SUMPRODUCT((七通一平=I16)*(修正!B1:M1=G2)*(修正!B6:M14))</f>
        <v>0</v>
      </c>
      <c r="J17" s="1679">
        <f>SUMPRODUCT((七通一平=J16)*(修正!B1:M1=G2)*(修正!B6:M14))</f>
        <v>0</v>
      </c>
      <c r="K17" s="2379"/>
      <c r="L17" s="1717" t="s">
        <v>1823</v>
      </c>
      <c r="M17" s="543">
        <f ca="1">ROUND($E$20*(1+M16),3)</f>
        <v>5.3999999999999999E-2</v>
      </c>
      <c r="N17" s="543">
        <f ca="1">ROUND($E$20*(1+N16),3)</f>
        <v>5.1999999999999998E-2</v>
      </c>
      <c r="O17" s="543">
        <f ca="1">ROUND($E$20*(1+O16),3)</f>
        <v>0.05</v>
      </c>
      <c r="P17" s="2733">
        <f ca="1">ROUND($E$20*(1+P16),3)</f>
        <v>4.8000000000000001E-2</v>
      </c>
      <c r="Q17" s="2730"/>
      <c r="R17" s="2730"/>
      <c r="S17" s="2730"/>
      <c r="T17" s="2730"/>
      <c r="U17" s="2730"/>
      <c r="V17" s="2730"/>
      <c r="W17" s="2730"/>
      <c r="X17" s="2730"/>
      <c r="Y17" s="2730"/>
      <c r="Z17" s="2731"/>
      <c r="AA17" s="2732"/>
      <c r="AB17" s="2732"/>
      <c r="AC17" s="2732"/>
      <c r="AD17" s="2732"/>
      <c r="AE17" s="1621"/>
      <c r="AF17" s="1621"/>
      <c r="AG17" s="1624"/>
      <c r="AH17" s="1624"/>
      <c r="AI17" s="1624"/>
      <c r="AJ17" s="1624"/>
    </row>
    <row r="18" spans="1:37" s="1636" customFormat="1" ht="15.75" thickBot="1">
      <c r="A18" s="1877" t="s">
        <v>1932</v>
      </c>
      <c r="B18" s="1680" t="s">
        <v>1819</v>
      </c>
      <c r="C18" s="1681">
        <f>SUMIF(修正!C18:C39,E3,修正!E18:E39)</f>
        <v>1</v>
      </c>
      <c r="D18" s="1682"/>
      <c r="E18" s="1683"/>
      <c r="F18" s="1684"/>
      <c r="G18" s="1685"/>
      <c r="H18" s="1685"/>
      <c r="I18" s="1685"/>
      <c r="J18" s="1686"/>
      <c r="K18" s="2386"/>
      <c r="O18" s="2735"/>
      <c r="P18" s="2735"/>
      <c r="Q18" s="2736"/>
      <c r="R18" s="2736"/>
      <c r="S18" s="2736"/>
      <c r="T18" s="2731"/>
      <c r="U18" s="2731"/>
      <c r="V18" s="2731"/>
      <c r="W18" s="2730"/>
      <c r="X18" s="2730"/>
      <c r="Y18" s="2730"/>
      <c r="Z18" s="2737"/>
      <c r="AA18" s="2738"/>
      <c r="AB18" s="2738"/>
      <c r="AC18" s="2738"/>
      <c r="AD18" s="2738"/>
      <c r="AE18" s="1622"/>
      <c r="AF18" s="1622"/>
      <c r="AG18" s="1623"/>
      <c r="AH18" s="1623"/>
      <c r="AI18" s="1623"/>
    </row>
    <row r="19" spans="1:37" s="1636" customFormat="1" ht="27.75" thickBot="1">
      <c r="A19" s="1877" t="s">
        <v>1933</v>
      </c>
      <c r="B19" s="1680" t="s">
        <v>1820</v>
      </c>
      <c r="C19" s="1689">
        <f>ROUND(IF(H19="按公示增长率计算",SUMPRODUCT((地价!A3:A19=YEAR(G19)&amp;"-"&amp;ROUNDUP(MONTH(G19)/3,0))*(地价!X2:AB2=E2)*(地价!X3:AB19)),IF(H19="地价指数",M20/M19,(1+I19)^O19)),4)</f>
        <v>0</v>
      </c>
      <c r="D19" s="1690" t="s">
        <v>1141</v>
      </c>
      <c r="E19" s="1691">
        <v>41640</v>
      </c>
      <c r="F19" s="1690" t="s">
        <v>1142</v>
      </c>
      <c r="G19" s="1692">
        <f>'数据-取费表'!B2</f>
        <v>42956</v>
      </c>
      <c r="H19" s="3020" t="s">
        <v>2958</v>
      </c>
      <c r="I19" s="1693" t="str">
        <f>IF(H19="季度增幅（自定义）",SUMIF(N21:N24,E2,O21:O24),"")</f>
        <v/>
      </c>
      <c r="J19" s="1686"/>
      <c r="K19" s="2386"/>
      <c r="L19" s="3247" t="s">
        <v>2956</v>
      </c>
      <c r="M19" s="3249">
        <f>ROUND(SUMIF(地价!B2:F2,E2,地价!B19:F19),0)</f>
        <v>258</v>
      </c>
      <c r="N19" s="3245" t="s">
        <v>1865</v>
      </c>
      <c r="O19" s="1694">
        <f>ROUNDDOWN(DATEDIF(E19,G19,"M")/3,0)</f>
        <v>14</v>
      </c>
      <c r="P19" s="2734"/>
      <c r="Q19" s="2736"/>
      <c r="R19" s="2736"/>
      <c r="S19" s="2736"/>
      <c r="T19" s="2731"/>
      <c r="U19" s="2731"/>
      <c r="V19" s="2731"/>
      <c r="W19" s="2730"/>
      <c r="X19" s="2730"/>
      <c r="Y19" s="2730"/>
      <c r="Z19" s="2737"/>
      <c r="AA19" s="2738"/>
      <c r="AB19" s="2738"/>
      <c r="AC19" s="2738"/>
      <c r="AD19" s="2738"/>
      <c r="AE19" s="1687"/>
      <c r="AF19" s="1688"/>
      <c r="AG19" s="1695"/>
      <c r="AH19" s="1623"/>
      <c r="AI19" s="1635"/>
      <c r="AJ19" s="1635"/>
      <c r="AK19" s="1635"/>
    </row>
    <row r="20" spans="1:37" s="1636" customFormat="1" ht="27.75" thickBot="1">
      <c r="A20" s="1878" t="s">
        <v>1934</v>
      </c>
      <c r="B20" s="1749" t="s">
        <v>1821</v>
      </c>
      <c r="C20" s="1696">
        <f ca="1">ROUND(POWER(1+G20,J20-I20)*(POWER(1+G20,I20)-1)/(POWER(1+G20,J20)-1),4)</f>
        <v>0.96940000000000004</v>
      </c>
      <c r="D20" s="1750" t="s">
        <v>1822</v>
      </c>
      <c r="E20" s="3302">
        <f ca="1">存贷款利率!D4/100</f>
        <v>4.3499999999999997E-2</v>
      </c>
      <c r="F20" s="1750" t="s">
        <v>1823</v>
      </c>
      <c r="G20" s="1751">
        <f ca="1">SUMIF(M15:P15,E2,M17:P17)</f>
        <v>5.1999999999999998E-2</v>
      </c>
      <c r="H20" s="1750" t="s">
        <v>1824</v>
      </c>
      <c r="I20" s="1752">
        <f>SUMIF('数据-取费表'!C6:C15,E2,'数据-取费表'!F6:F15)/COUNTIF('数据-取费表'!C6:C15,E2)</f>
        <v>44.01</v>
      </c>
      <c r="J20" s="1753">
        <f>IF(E2="住宅",70,IF(E2="商业",40,50))</f>
        <v>50</v>
      </c>
      <c r="K20" s="2386"/>
      <c r="L20" s="3248" t="s">
        <v>2957</v>
      </c>
      <c r="M20" s="3250">
        <f>ROUND(SUMPRODUCT((地价!A4:A19=YEAR(G19)&amp;"-"&amp;ROUNDUP(MONTH(G19)/3,0))*(地价!B2:F2=E2)*(地价!B4:F19)),0)</f>
        <v>0</v>
      </c>
      <c r="N20" s="3246" t="s">
        <v>2784</v>
      </c>
      <c r="O20" s="3021" t="s">
        <v>2785</v>
      </c>
      <c r="P20" s="3022" t="s">
        <v>2794</v>
      </c>
      <c r="R20" s="2736"/>
      <c r="S20" s="2736"/>
      <c r="T20" s="2731"/>
      <c r="U20" s="2731"/>
      <c r="V20" s="2731"/>
      <c r="W20" s="2730"/>
      <c r="X20" s="2730"/>
      <c r="Y20" s="2730"/>
      <c r="Z20" s="2737"/>
      <c r="AA20" s="2738"/>
      <c r="AB20" s="2738"/>
      <c r="AC20" s="2738"/>
      <c r="AD20" s="2738"/>
      <c r="AE20" s="1687"/>
      <c r="AF20" s="1687"/>
    </row>
    <row r="21" spans="1:37" s="1636" customFormat="1" ht="14.25">
      <c r="A21" s="1879" t="s">
        <v>1935</v>
      </c>
      <c r="B21" s="1796" t="s">
        <v>2495</v>
      </c>
      <c r="C21" s="1754">
        <f>IF(B21="容积率修正",IF(G3&lt;=10,D22,J22),C23)</f>
        <v>0</v>
      </c>
      <c r="D21" s="1755"/>
      <c r="E21" s="1755"/>
      <c r="F21" s="1755"/>
      <c r="G21" s="1755"/>
      <c r="H21" s="1755"/>
      <c r="I21" s="1755"/>
      <c r="J21" s="1756"/>
      <c r="K21" s="2386"/>
      <c r="N21" s="3023" t="s">
        <v>2786</v>
      </c>
      <c r="O21" s="3024"/>
      <c r="P21" s="3025">
        <f>SUMPRODUCT((地价!A3:A19=YEAR(G19)&amp;"-"&amp;ROUNDUP(MONTH(G19)/3,0))*(地价!AD2:AH2=N21)*(地价!AD3:AH19))</f>
        <v>1.5699999999999999E-2</v>
      </c>
      <c r="R21" s="2736"/>
      <c r="S21" s="2736"/>
      <c r="T21" s="2731"/>
      <c r="U21" s="2731"/>
      <c r="V21" s="2731"/>
      <c r="W21" s="2730"/>
      <c r="X21" s="2730"/>
      <c r="Y21" s="2730"/>
      <c r="Z21" s="2737"/>
      <c r="AA21" s="2738"/>
      <c r="AB21" s="2738"/>
      <c r="AC21" s="2738"/>
      <c r="AD21" s="2738"/>
      <c r="AE21" s="1687"/>
      <c r="AF21" s="1687"/>
    </row>
    <row r="22" spans="1:37" s="1636" customFormat="1" ht="14.25">
      <c r="A22" s="190" t="s">
        <v>1938</v>
      </c>
      <c r="B22" s="1698" t="s">
        <v>1825</v>
      </c>
      <c r="C22" s="1777" t="s">
        <v>1838</v>
      </c>
      <c r="D22" s="1777">
        <f>IF(E22=G22,F22,IF(G3&lt;=10,ROUND(F22+(H22-F22)*(G3-E22)/(G22-E22),4),"——"))</f>
        <v>0.85519999999999996</v>
      </c>
      <c r="E22" s="1627">
        <f>ROUNDDOWN(G3,1)</f>
        <v>4.0999999999999996</v>
      </c>
      <c r="F22" s="17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0.86009999999999998</v>
      </c>
      <c r="G22" s="1627">
        <f>ROUNDUP(G3,1)</f>
        <v>4.1999999999999993</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0.85470000000000002</v>
      </c>
      <c r="I22" s="1777" t="s">
        <v>1155</v>
      </c>
      <c r="J22" s="1757" t="str">
        <f>IF(G3&gt;10,D113,"——")</f>
        <v>——</v>
      </c>
      <c r="K22" s="2386"/>
      <c r="N22" s="3023" t="s">
        <v>2787</v>
      </c>
      <c r="O22" s="3024"/>
      <c r="P22" s="3025">
        <f>SUMPRODUCT((地价!A3:A19=YEAR(G19)&amp;"-"&amp;ROUNDUP(MONTH(G19)/3,0))*(地价!AD2:AH2=N22)*(地价!AD3:AH19))</f>
        <v>1.5699999999999999E-2</v>
      </c>
      <c r="R22" s="2736"/>
      <c r="S22" s="2736"/>
      <c r="T22" s="2731"/>
      <c r="U22" s="2731"/>
      <c r="V22" s="2731"/>
      <c r="W22" s="2730"/>
      <c r="X22" s="2730"/>
      <c r="Y22" s="2730"/>
      <c r="Z22" s="2737"/>
      <c r="AA22" s="2738"/>
      <c r="AB22" s="2738"/>
      <c r="AC22" s="2738"/>
      <c r="AD22" s="2738"/>
      <c r="AE22" s="1687"/>
      <c r="AF22" s="1687"/>
    </row>
    <row r="23" spans="1:37" ht="27.75" thickBot="1">
      <c r="A23" s="190" t="s">
        <v>1939</v>
      </c>
      <c r="B23" s="1869" t="s">
        <v>1826</v>
      </c>
      <c r="C23" s="1870">
        <f>ROUND(IF(G3&gt;1,IF(I3&lt;7,SUMPRODUCT((B93:B98=I3)*(C92:N92=G2)*(C93:N98)),SUMIF(C92:N92,G2,C100:N100)),IF(I3&lt;7,SUMPRODUCT((B102:B107=I3)*(C92:N92=G2)*(C102:N107)),SUMIF(C92:N92,G2,C109:N109))),4)</f>
        <v>0</v>
      </c>
      <c r="D23" s="1670"/>
      <c r="E23" s="1670"/>
      <c r="F23" s="1699"/>
      <c r="G23" s="1700"/>
      <c r="H23" s="1871"/>
      <c r="I23" s="1872"/>
      <c r="J23" s="1873"/>
      <c r="K23" s="2379"/>
      <c r="N23" s="3023" t="s">
        <v>40</v>
      </c>
      <c r="O23" s="3024"/>
      <c r="P23" s="3025">
        <f>SUMPRODUCT((地价!A3:A19=YEAR(G19)&amp;"-"&amp;ROUNDUP(MONTH(G19)/3,0))*(地价!AD2:AH2=N23)*(地价!AD3:AH19))</f>
        <v>2.6599999999999999E-2</v>
      </c>
      <c r="R23" s="2736"/>
      <c r="S23" s="2736"/>
      <c r="T23" s="2731"/>
      <c r="U23" s="2731"/>
      <c r="V23" s="2731"/>
      <c r="W23" s="2730"/>
      <c r="X23" s="2730"/>
      <c r="Y23" s="2730"/>
      <c r="Z23" s="2737"/>
      <c r="AA23" s="2738"/>
      <c r="AB23" s="2738"/>
      <c r="AC23" s="2738"/>
      <c r="AD23" s="2738"/>
      <c r="AK23" s="1623"/>
    </row>
    <row r="24" spans="1:37" s="1636" customFormat="1" ht="15.75" thickBot="1">
      <c r="A24" s="1878" t="s">
        <v>1936</v>
      </c>
      <c r="B24" s="1680" t="s">
        <v>1827</v>
      </c>
      <c r="C24" s="1689">
        <f>SUMIF(A45:A88,E2,B45:B88)</f>
        <v>1</v>
      </c>
      <c r="D24" s="1684"/>
      <c r="E24" s="1874"/>
      <c r="F24" s="1874"/>
      <c r="G24" s="1874"/>
      <c r="H24" s="1874"/>
      <c r="I24" s="1874"/>
      <c r="J24" s="1875"/>
      <c r="K24" s="2386"/>
      <c r="N24" s="3026" t="s">
        <v>39</v>
      </c>
      <c r="O24" s="3027"/>
      <c r="P24" s="3028">
        <f>SUMPRODUCT((地价!A3:A19=YEAR(G19)&amp;"-"&amp;ROUNDUP(MONTH(G19)/3,0))*(地价!AD2:AH2=N24)*(地价!AD3:AH19))</f>
        <v>1.34E-2</v>
      </c>
      <c r="R24" s="2736"/>
      <c r="S24" s="2736"/>
      <c r="T24" s="2731"/>
      <c r="U24" s="2731"/>
      <c r="V24" s="2731"/>
      <c r="W24" s="2730"/>
      <c r="X24" s="2730"/>
      <c r="Y24" s="2730"/>
      <c r="Z24" s="2737"/>
      <c r="AA24" s="2738"/>
      <c r="AB24" s="2738"/>
      <c r="AC24" s="2738"/>
      <c r="AD24" s="2738"/>
      <c r="AE24" s="1687"/>
      <c r="AF24" s="1687"/>
    </row>
    <row r="25" spans="1:37" ht="15" thickBot="1">
      <c r="A25" s="1878" t="s">
        <v>1937</v>
      </c>
      <c r="B25" s="1701" t="s">
        <v>1828</v>
      </c>
      <c r="C25" s="1702"/>
      <c r="D25" s="1647"/>
      <c r="E25" s="1647"/>
      <c r="F25" s="1703"/>
      <c r="G25" s="1647"/>
      <c r="H25" s="1647"/>
      <c r="I25" s="1647"/>
      <c r="J25" s="1648"/>
      <c r="K25" s="2379"/>
      <c r="N25" s="3030" t="s">
        <v>2788</v>
      </c>
      <c r="O25" s="3029"/>
      <c r="P25" s="3028">
        <f>SUMPRODUCT((地价!A3:A19=YEAR(G19)&amp;"-"&amp;ROUNDUP(MONTH(G19)/3,0))*(地价!AD2:AH2=N25)*(地价!AD3:AH19))</f>
        <v>2.3900000000000001E-2</v>
      </c>
      <c r="R25" s="2736"/>
      <c r="S25" s="2736"/>
      <c r="T25" s="2731"/>
      <c r="U25" s="2731"/>
      <c r="V25" s="2731"/>
      <c r="W25" s="2730"/>
      <c r="X25" s="2730"/>
      <c r="Y25" s="2730"/>
      <c r="Z25" s="2737"/>
      <c r="AA25" s="2738"/>
      <c r="AB25" s="2738"/>
      <c r="AC25" s="2738"/>
      <c r="AD25" s="2738"/>
    </row>
    <row r="26" spans="1:37" ht="14.25">
      <c r="A26" s="1881"/>
      <c r="B26" s="1698" t="s">
        <v>1859</v>
      </c>
      <c r="C26" s="538">
        <f ca="1">E29+SUM(E33:E39)</f>
        <v>0</v>
      </c>
      <c r="D26" s="1707"/>
      <c r="E26" s="1670"/>
      <c r="F26" s="1708"/>
      <c r="G26" s="1670"/>
      <c r="H26" s="1670"/>
      <c r="I26" s="1670"/>
      <c r="J26" s="1709"/>
      <c r="K26" s="2379"/>
      <c r="R26" s="2736"/>
      <c r="S26" s="2736"/>
      <c r="T26" s="2731"/>
      <c r="U26" s="2731"/>
      <c r="V26" s="2731"/>
      <c r="W26" s="2730"/>
      <c r="X26" s="2730"/>
      <c r="Y26" s="2730"/>
      <c r="Z26" s="2737"/>
      <c r="AA26" s="2738"/>
      <c r="AB26" s="2738"/>
      <c r="AC26" s="2738"/>
      <c r="AD26" s="2738"/>
    </row>
    <row r="27" spans="1:37" ht="15" thickBot="1">
      <c r="A27" s="1881"/>
      <c r="B27" s="1711" t="s">
        <v>1860</v>
      </c>
      <c r="C27" s="1712" t="e">
        <f ca="1">E30+SUM(I33:I39)</f>
        <v>#DIV/0!</v>
      </c>
      <c r="D27" s="1713"/>
      <c r="E27" s="1714"/>
      <c r="F27" s="1715"/>
      <c r="G27" s="1714"/>
      <c r="H27" s="1714"/>
      <c r="I27" s="1714"/>
      <c r="J27" s="1716"/>
      <c r="K27" s="2379"/>
      <c r="L27" s="2379"/>
      <c r="M27" s="2379"/>
      <c r="N27" s="2379"/>
      <c r="O27" s="2735"/>
      <c r="P27" s="2735"/>
      <c r="Q27" s="2736"/>
      <c r="R27" s="2736"/>
      <c r="S27" s="2736"/>
      <c r="T27" s="2731"/>
      <c r="U27" s="2731"/>
      <c r="V27" s="2731"/>
      <c r="W27" s="2730"/>
      <c r="X27" s="2730"/>
      <c r="Y27" s="2730"/>
      <c r="Z27" s="2737"/>
      <c r="AA27" s="2738"/>
      <c r="AB27" s="2738"/>
      <c r="AC27" s="2738"/>
      <c r="AD27" s="2738"/>
    </row>
    <row r="28" spans="1:37" ht="14.25">
      <c r="A28" s="1868"/>
      <c r="B28" s="1718" t="s">
        <v>1858</v>
      </c>
      <c r="C28" s="1719" t="s">
        <v>1833</v>
      </c>
      <c r="D28" s="1719" t="s">
        <v>1849</v>
      </c>
      <c r="E28" s="1720" t="s">
        <v>1850</v>
      </c>
      <c r="F28" s="1721"/>
      <c r="G28" s="1663"/>
      <c r="H28" s="1663"/>
      <c r="I28" s="1663"/>
      <c r="J28" s="1664"/>
      <c r="K28" s="2379"/>
      <c r="L28" s="2379"/>
      <c r="M28" s="2379"/>
      <c r="N28" s="2379"/>
      <c r="O28" s="2735"/>
      <c r="P28" s="2735"/>
      <c r="Q28" s="2736"/>
      <c r="R28" s="2736"/>
      <c r="S28" s="2736"/>
      <c r="T28" s="2731"/>
      <c r="U28" s="2731"/>
      <c r="V28" s="2731"/>
      <c r="W28" s="2730"/>
      <c r="X28" s="2730"/>
      <c r="Y28" s="2730"/>
      <c r="Z28" s="2737"/>
      <c r="AA28" s="2738"/>
      <c r="AB28" s="2738"/>
      <c r="AC28" s="2738"/>
      <c r="AD28" s="2738"/>
    </row>
    <row r="29" spans="1:37" ht="24">
      <c r="A29" s="1778"/>
      <c r="B29" s="1722" t="s">
        <v>1853</v>
      </c>
      <c r="C29" s="538">
        <f ca="1">ROUND(C5*C18*C19*C20*C21*C24,0)</f>
        <v>0</v>
      </c>
      <c r="D29" s="1745"/>
      <c r="E29" s="1779">
        <f ca="1">ROUND(C29*D29/10000,0)</f>
        <v>0</v>
      </c>
      <c r="F29" s="1723" t="s">
        <v>1835</v>
      </c>
      <c r="G29" s="1724"/>
      <c r="H29" s="1724"/>
      <c r="I29" s="1724"/>
      <c r="J29" s="1725"/>
      <c r="K29" s="2379"/>
      <c r="L29" s="2379"/>
      <c r="M29" s="2379"/>
      <c r="N29" s="2379"/>
      <c r="O29" s="2735"/>
      <c r="P29" s="2735"/>
      <c r="Q29" s="2736"/>
      <c r="R29" s="2736"/>
      <c r="S29" s="2736"/>
      <c r="T29" s="2731"/>
      <c r="U29" s="2731"/>
      <c r="V29" s="2731"/>
      <c r="W29" s="2730"/>
      <c r="X29" s="2730"/>
      <c r="Y29" s="2730"/>
      <c r="Z29" s="2737"/>
      <c r="AA29" s="2738"/>
      <c r="AB29" s="2738"/>
      <c r="AC29" s="2738"/>
      <c r="AD29" s="2738"/>
      <c r="AE29" s="1621"/>
      <c r="AF29" s="1621"/>
      <c r="AG29" s="1624"/>
      <c r="AH29" s="1624"/>
      <c r="AI29" s="1624"/>
      <c r="AJ29" s="1624"/>
    </row>
    <row r="30" spans="1:37" ht="24.75" thickBot="1">
      <c r="A30" s="1726"/>
      <c r="B30" s="1727" t="s">
        <v>1854</v>
      </c>
      <c r="C30" s="561">
        <f ca="1">ROUND(IF(E2="工业",C29*M39,C29*M38),0)</f>
        <v>0</v>
      </c>
      <c r="D30" s="1746"/>
      <c r="E30" s="1779">
        <f ca="1">ROUND(C30*D30/10000,0)</f>
        <v>0</v>
      </c>
      <c r="F30" s="1728" t="s">
        <v>1851</v>
      </c>
      <c r="G30" s="1729"/>
      <c r="H30" s="1729"/>
      <c r="I30" s="1729"/>
      <c r="J30" s="1730"/>
      <c r="K30" s="2379"/>
      <c r="L30" s="2379"/>
      <c r="M30" s="2379"/>
      <c r="N30" s="2379"/>
      <c r="O30" s="2735"/>
      <c r="P30" s="2735"/>
      <c r="Q30" s="2736"/>
      <c r="R30" s="2736"/>
      <c r="S30" s="2736"/>
      <c r="T30" s="2731"/>
      <c r="U30" s="2731"/>
      <c r="V30" s="2731"/>
      <c r="W30" s="2730"/>
      <c r="X30" s="2730"/>
      <c r="Y30" s="2730"/>
      <c r="Z30" s="2737"/>
      <c r="AA30" s="2738"/>
      <c r="AB30" s="2738"/>
      <c r="AC30" s="2738"/>
      <c r="AD30" s="2738"/>
      <c r="AE30" s="1621"/>
      <c r="AF30" s="1621"/>
      <c r="AG30" s="1624"/>
      <c r="AH30" s="1624"/>
      <c r="AI30" s="1624"/>
      <c r="AJ30" s="1624"/>
    </row>
    <row r="31" spans="1:37" ht="14.25">
      <c r="A31" s="1731"/>
      <c r="B31" s="1732" t="s">
        <v>1855</v>
      </c>
      <c r="C31" s="1733" t="s">
        <v>1856</v>
      </c>
      <c r="D31" s="1663"/>
      <c r="E31" s="1733"/>
      <c r="F31" s="1733"/>
      <c r="G31" s="1661" t="s">
        <v>1857</v>
      </c>
      <c r="H31" s="1663"/>
      <c r="I31" s="1734"/>
      <c r="J31" s="1664"/>
      <c r="K31" s="2379"/>
      <c r="L31" s="2379"/>
      <c r="M31" s="2379"/>
      <c r="N31" s="2379"/>
      <c r="O31" s="2735"/>
      <c r="P31" s="2735"/>
      <c r="Q31" s="2736"/>
      <c r="R31" s="2736"/>
      <c r="S31" s="2736"/>
      <c r="T31" s="2731"/>
      <c r="U31" s="2731"/>
      <c r="V31" s="2731"/>
      <c r="W31" s="2730"/>
      <c r="X31" s="2730"/>
      <c r="Y31" s="2730"/>
      <c r="Z31" s="2737"/>
      <c r="AA31" s="2738"/>
      <c r="AB31" s="2738"/>
      <c r="AC31" s="2738"/>
      <c r="AD31" s="2738"/>
      <c r="AE31" s="1621"/>
      <c r="AF31" s="1621"/>
      <c r="AG31" s="1624"/>
      <c r="AH31" s="1624"/>
      <c r="AI31" s="1624"/>
      <c r="AJ31" s="1624"/>
    </row>
    <row r="32" spans="1:37" ht="24">
      <c r="A32" s="1778"/>
      <c r="B32" s="1735"/>
      <c r="C32" s="171" t="s">
        <v>1833</v>
      </c>
      <c r="D32" s="168" t="s">
        <v>1849</v>
      </c>
      <c r="E32" s="168" t="s">
        <v>1850</v>
      </c>
      <c r="F32" s="1736" t="s">
        <v>1837</v>
      </c>
      <c r="G32" s="1697" t="s">
        <v>1833</v>
      </c>
      <c r="H32" s="1697" t="s">
        <v>1849</v>
      </c>
      <c r="I32" s="1697" t="s">
        <v>1850</v>
      </c>
      <c r="J32" s="1737"/>
      <c r="K32" s="2379"/>
      <c r="L32" s="2379"/>
      <c r="M32" s="2379"/>
      <c r="N32" s="2379"/>
      <c r="O32" s="2735"/>
      <c r="P32" s="2735"/>
      <c r="Q32" s="2736"/>
      <c r="R32" s="2736"/>
      <c r="S32" s="2736"/>
      <c r="T32" s="2731"/>
      <c r="U32" s="2731"/>
      <c r="V32" s="2731"/>
      <c r="W32" s="2730"/>
      <c r="X32" s="2730"/>
      <c r="Y32" s="2730"/>
      <c r="Z32" s="2737"/>
      <c r="AA32" s="2738"/>
      <c r="AB32" s="2738"/>
      <c r="AC32" s="2738"/>
      <c r="AD32" s="2738"/>
      <c r="AE32" s="1621"/>
      <c r="AF32" s="1621"/>
      <c r="AG32" s="1624"/>
      <c r="AH32" s="1624"/>
      <c r="AI32" s="1624"/>
      <c r="AJ32" s="1624"/>
    </row>
    <row r="33" spans="1:37" ht="14.25">
      <c r="A33" s="1738"/>
      <c r="B33" s="1739" t="s">
        <v>1157</v>
      </c>
      <c r="C33" s="538">
        <f ca="1">ROUND(C5*C19*C20*C24*F33,0)</f>
        <v>0</v>
      </c>
      <c r="D33" s="1745"/>
      <c r="E33" s="532">
        <f ca="1">ROUND(C33*D33/10000,0)</f>
        <v>0</v>
      </c>
      <c r="F33" s="532">
        <f>SUMIF(修正!A45:A56,G2,修正!B45:B56)</f>
        <v>0.7</v>
      </c>
      <c r="G33" s="532">
        <f t="shared" ref="G33:G39" ca="1" si="6">ROUND(IF(E2="工业",C33*$M$39,C33*$M$38),0)</f>
        <v>0</v>
      </c>
      <c r="H33" s="532">
        <f>D33</f>
        <v>0</v>
      </c>
      <c r="I33" s="532">
        <f ca="1">ROUND(G33*H33/10000,0)</f>
        <v>0</v>
      </c>
      <c r="J33" s="1740"/>
      <c r="K33" s="2379"/>
      <c r="L33" s="2379"/>
      <c r="M33" s="2379"/>
      <c r="N33" s="2379"/>
      <c r="O33" s="2735"/>
      <c r="P33" s="2735"/>
      <c r="Q33" s="2736"/>
      <c r="R33" s="2736"/>
      <c r="S33" s="2736"/>
      <c r="T33" s="2731"/>
      <c r="U33" s="2731"/>
      <c r="V33" s="2731"/>
      <c r="W33" s="2730"/>
      <c r="X33" s="2730"/>
      <c r="Y33" s="2730"/>
      <c r="Z33" s="2737"/>
      <c r="AA33" s="2738"/>
      <c r="AB33" s="2738"/>
      <c r="AC33" s="2738"/>
      <c r="AD33" s="2738"/>
    </row>
    <row r="34" spans="1:37" ht="14.25">
      <c r="A34" s="1738"/>
      <c r="B34" s="1666" t="s">
        <v>1158</v>
      </c>
      <c r="C34" s="538">
        <f ca="1">ROUND(C5*C19*C20*C24*F34,0)</f>
        <v>0</v>
      </c>
      <c r="D34" s="1745"/>
      <c r="E34" s="532">
        <f t="shared" ref="E34:E39" ca="1" si="7">ROUND(C34*D34/10000,0)</f>
        <v>0</v>
      </c>
      <c r="F34" s="532">
        <f>SUMIF(修正!A45:A56,G2,修正!C45:C56)</f>
        <v>0.4</v>
      </c>
      <c r="G34" s="532">
        <f t="shared" ca="1" si="6"/>
        <v>0</v>
      </c>
      <c r="H34" s="532">
        <f t="shared" ref="H34:H39" si="8">D34</f>
        <v>0</v>
      </c>
      <c r="I34" s="532">
        <f t="shared" ref="I34:I39" ca="1" si="9">ROUND(G34*H34/10000,0)</f>
        <v>0</v>
      </c>
      <c r="J34" s="1740"/>
      <c r="K34" s="2379"/>
      <c r="L34" s="2379"/>
      <c r="M34" s="2379"/>
      <c r="N34" s="2379"/>
      <c r="O34" s="2735"/>
      <c r="P34" s="2735"/>
      <c r="Q34" s="2736"/>
      <c r="R34" s="2736"/>
      <c r="S34" s="2736"/>
      <c r="T34" s="2731"/>
      <c r="U34" s="2731"/>
      <c r="V34" s="2731"/>
      <c r="W34" s="2730"/>
      <c r="X34" s="2730"/>
      <c r="Y34" s="2730"/>
      <c r="Z34" s="2737"/>
      <c r="AA34" s="2738"/>
      <c r="AB34" s="2738"/>
      <c r="AC34" s="2738"/>
      <c r="AD34" s="2738"/>
    </row>
    <row r="35" spans="1:37" ht="12.75">
      <c r="A35" s="1738"/>
      <c r="B35" s="1666" t="s">
        <v>1159</v>
      </c>
      <c r="C35" s="538">
        <f ca="1">ROUND(C5*C19*C20*C24*F35,0)</f>
        <v>0</v>
      </c>
      <c r="D35" s="1745"/>
      <c r="E35" s="532">
        <f t="shared" ca="1" si="7"/>
        <v>0</v>
      </c>
      <c r="F35" s="532">
        <f>SUMIF(修正!A45:A56,G2,修正!D45:D56)</f>
        <v>0.28000000000000003</v>
      </c>
      <c r="G35" s="532">
        <f t="shared" ca="1" si="6"/>
        <v>0</v>
      </c>
      <c r="H35" s="532">
        <f t="shared" si="8"/>
        <v>0</v>
      </c>
      <c r="I35" s="532">
        <f t="shared" ca="1" si="9"/>
        <v>0</v>
      </c>
      <c r="J35" s="1740"/>
      <c r="K35" s="2379"/>
      <c r="L35" s="2379"/>
      <c r="M35" s="2379"/>
      <c r="N35" s="2379"/>
      <c r="O35" s="2379"/>
      <c r="P35" s="2379"/>
      <c r="Q35" s="2379"/>
      <c r="R35" s="2379"/>
      <c r="S35" s="2379"/>
      <c r="T35" s="2379"/>
      <c r="U35" s="2379"/>
      <c r="V35" s="2379"/>
      <c r="W35" s="2379"/>
      <c r="X35" s="2379"/>
      <c r="Y35" s="2379"/>
      <c r="Z35" s="2380"/>
    </row>
    <row r="36" spans="1:37" ht="13.5" thickBot="1">
      <c r="A36" s="1738"/>
      <c r="B36" s="1666" t="s">
        <v>1160</v>
      </c>
      <c r="C36" s="538">
        <f ca="1">ROUND(C5*C19*C20*C24*F36,0)</f>
        <v>0</v>
      </c>
      <c r="D36" s="1745"/>
      <c r="E36" s="532">
        <f t="shared" ca="1" si="7"/>
        <v>0</v>
      </c>
      <c r="F36" s="532">
        <f>SUMIF(修正!A45:A56,G2,修正!E45:E56)</f>
        <v>0.25</v>
      </c>
      <c r="G36" s="532">
        <f t="shared" ca="1" si="6"/>
        <v>0</v>
      </c>
      <c r="H36" s="532">
        <f t="shared" si="8"/>
        <v>0</v>
      </c>
      <c r="I36" s="532">
        <f t="shared" ca="1" si="9"/>
        <v>0</v>
      </c>
      <c r="J36" s="1740"/>
      <c r="K36" s="2379"/>
      <c r="L36" s="2383"/>
      <c r="M36" s="2383"/>
      <c r="N36" s="2379"/>
      <c r="O36" s="2379"/>
      <c r="P36" s="2379"/>
      <c r="Q36" s="2379"/>
      <c r="R36" s="2379"/>
      <c r="S36" s="2379"/>
      <c r="T36" s="2379"/>
      <c r="U36" s="2379"/>
      <c r="V36" s="2379"/>
      <c r="W36" s="2379"/>
      <c r="X36" s="2379"/>
      <c r="Y36" s="2379"/>
      <c r="Z36" s="2380"/>
    </row>
    <row r="37" spans="1:37" ht="12.75">
      <c r="A37" s="1738"/>
      <c r="B37" s="1666" t="s">
        <v>1161</v>
      </c>
      <c r="C37" s="532">
        <f ca="1">ROUND(C5*C19*C20*C24*F37,0)</f>
        <v>0</v>
      </c>
      <c r="D37" s="1745"/>
      <c r="E37" s="532">
        <f t="shared" ca="1" si="7"/>
        <v>0</v>
      </c>
      <c r="F37" s="538">
        <f>SUMIF(修正!A45:A56,G2,修正!F45:F56)</f>
        <v>0.25</v>
      </c>
      <c r="G37" s="532">
        <f t="shared" ca="1" si="6"/>
        <v>0</v>
      </c>
      <c r="H37" s="532">
        <f t="shared" si="8"/>
        <v>0</v>
      </c>
      <c r="I37" s="532">
        <f t="shared" ca="1" si="9"/>
        <v>0</v>
      </c>
      <c r="J37" s="1740"/>
      <c r="K37" s="2379"/>
      <c r="L37" s="2387" t="s">
        <v>1852</v>
      </c>
      <c r="M37" s="2388"/>
      <c r="N37" s="2379"/>
      <c r="O37" s="2379"/>
      <c r="P37" s="2379"/>
      <c r="Q37" s="2379"/>
      <c r="R37" s="2379"/>
      <c r="S37" s="2379"/>
      <c r="T37" s="2379"/>
      <c r="U37" s="2379"/>
      <c r="V37" s="2379"/>
      <c r="W37" s="2379"/>
      <c r="X37" s="2379"/>
      <c r="Y37" s="2379"/>
      <c r="Z37" s="2380"/>
    </row>
    <row r="38" spans="1:37" ht="12.75">
      <c r="A38" s="1738"/>
      <c r="B38" s="1666" t="s">
        <v>1162</v>
      </c>
      <c r="C38" s="532">
        <f ca="1">ROUND(C5*C19*C20*C24*F38,0)</f>
        <v>0</v>
      </c>
      <c r="D38" s="1745"/>
      <c r="E38" s="532">
        <f t="shared" ca="1" si="7"/>
        <v>0</v>
      </c>
      <c r="F38" s="538">
        <f>SUMIF(修正!A45:A56,G2,修正!G45:G56)</f>
        <v>0.25</v>
      </c>
      <c r="G38" s="532">
        <f t="shared" ca="1" si="6"/>
        <v>0</v>
      </c>
      <c r="H38" s="532">
        <f t="shared" si="8"/>
        <v>0</v>
      </c>
      <c r="I38" s="532">
        <f t="shared" ca="1" si="9"/>
        <v>0</v>
      </c>
      <c r="J38" s="1740"/>
      <c r="K38" s="2379"/>
      <c r="L38" s="1760" t="s">
        <v>1836</v>
      </c>
      <c r="M38" s="1761">
        <v>0.25</v>
      </c>
      <c r="N38" s="2379"/>
      <c r="O38" s="2379"/>
      <c r="P38" s="2379"/>
      <c r="Q38" s="2379"/>
      <c r="R38" s="2379"/>
      <c r="S38" s="2379"/>
      <c r="T38" s="2379"/>
      <c r="U38" s="2379"/>
      <c r="V38" s="2379"/>
      <c r="W38" s="2379"/>
      <c r="X38" s="2379"/>
      <c r="Y38" s="2379"/>
      <c r="Z38" s="2380"/>
    </row>
    <row r="39" spans="1:37" ht="13.5" thickBot="1">
      <c r="A39" s="1726"/>
      <c r="B39" s="1741" t="s">
        <v>1163</v>
      </c>
      <c r="C39" s="561">
        <f ca="1">ROUND(C5*C19*C20*C24*F39,0)</f>
        <v>0</v>
      </c>
      <c r="D39" s="1746"/>
      <c r="E39" s="561">
        <f t="shared" ca="1" si="7"/>
        <v>0</v>
      </c>
      <c r="F39" s="1742">
        <f>SUMIF(修正!A45:A56,G2,修正!H45:H56)</f>
        <v>0.2</v>
      </c>
      <c r="G39" s="561" t="e">
        <f t="shared" si="6"/>
        <v>#DIV/0!</v>
      </c>
      <c r="H39" s="561">
        <f t="shared" si="8"/>
        <v>0</v>
      </c>
      <c r="I39" s="561" t="e">
        <f t="shared" si="9"/>
        <v>#DIV/0!</v>
      </c>
      <c r="J39" s="1743"/>
      <c r="K39" s="2379"/>
      <c r="L39" s="1762" t="s">
        <v>1832</v>
      </c>
      <c r="M39" s="1763">
        <v>0.15</v>
      </c>
      <c r="N39" s="2379"/>
      <c r="O39" s="2379"/>
      <c r="P39" s="2379"/>
      <c r="Q39" s="2379"/>
      <c r="R39" s="2379"/>
      <c r="S39" s="2379"/>
      <c r="T39" s="2379"/>
      <c r="U39" s="2379"/>
      <c r="V39" s="2379"/>
      <c r="W39" s="2379"/>
      <c r="X39" s="2379"/>
      <c r="Y39" s="2379"/>
      <c r="Z39" s="2380"/>
    </row>
    <row r="40" spans="1:37" s="2379" customFormat="1">
      <c r="Z40" s="2380"/>
      <c r="AA40" s="2380"/>
      <c r="AB40" s="2380"/>
      <c r="AC40" s="2380"/>
      <c r="AD40" s="2380"/>
      <c r="AE40" s="2380"/>
      <c r="AF40" s="2380"/>
      <c r="AG40" s="2380"/>
      <c r="AH40" s="2380"/>
      <c r="AI40" s="2380"/>
      <c r="AJ40" s="2380"/>
    </row>
    <row r="41" spans="1:37" s="2379" customFormat="1">
      <c r="A41" s="2380"/>
      <c r="B41" s="2381"/>
      <c r="Z41" s="2380"/>
      <c r="AA41" s="2380"/>
      <c r="AB41" s="2380"/>
      <c r="AC41" s="2380"/>
      <c r="AD41" s="2380"/>
      <c r="AE41" s="2380"/>
      <c r="AF41" s="2380"/>
      <c r="AG41" s="2380"/>
      <c r="AH41" s="2380"/>
      <c r="AI41" s="2380"/>
      <c r="AJ41" s="2380"/>
    </row>
    <row r="42" spans="1:37" s="2379" customFormat="1">
      <c r="A42" s="2380"/>
      <c r="B42" s="2381"/>
      <c r="Z42" s="2380"/>
      <c r="AA42" s="2380"/>
      <c r="AB42" s="2380"/>
      <c r="AC42" s="2380"/>
      <c r="AD42" s="2380"/>
      <c r="AE42" s="2380"/>
      <c r="AF42" s="2380"/>
      <c r="AG42" s="2380"/>
      <c r="AH42" s="2380"/>
      <c r="AI42" s="2380"/>
      <c r="AJ42" s="2380"/>
    </row>
    <row r="43" spans="1:37" s="2379" customFormat="1">
      <c r="A43" s="2380"/>
      <c r="B43" s="2381"/>
      <c r="Z43" s="2380"/>
      <c r="AA43" s="2380"/>
      <c r="AB43" s="2380"/>
      <c r="AC43" s="2380"/>
      <c r="AD43" s="2380"/>
      <c r="AE43" s="2380"/>
      <c r="AF43" s="2380"/>
      <c r="AG43" s="2380"/>
      <c r="AH43" s="2380"/>
      <c r="AI43" s="2380"/>
      <c r="AJ43" s="2380"/>
    </row>
    <row r="44" spans="1:37" s="2379" customFormat="1">
      <c r="A44" s="2380"/>
      <c r="B44" s="2381"/>
      <c r="Z44" s="2380"/>
      <c r="AA44" s="2380"/>
      <c r="AB44" s="2380"/>
      <c r="AC44" s="2380"/>
      <c r="AD44" s="2380"/>
      <c r="AE44" s="2380"/>
      <c r="AF44" s="2380"/>
      <c r="AG44" s="2380"/>
      <c r="AH44" s="2380"/>
      <c r="AI44" s="2380"/>
      <c r="AJ44" s="2380"/>
    </row>
    <row r="45" spans="1:37" s="2379" customFormat="1" ht="15" thickBot="1">
      <c r="A45" s="1485" t="s">
        <v>1772</v>
      </c>
      <c r="B45" s="1486"/>
      <c r="C45" s="1162"/>
      <c r="D45" s="294"/>
      <c r="E45" s="294"/>
      <c r="F45" s="292"/>
      <c r="G45" s="1542"/>
      <c r="H45" s="292"/>
      <c r="I45" s="1487"/>
      <c r="J45" s="1487"/>
      <c r="K45" s="1487"/>
      <c r="L45" s="1487"/>
      <c r="M45" s="1487"/>
      <c r="N45" s="1621"/>
      <c r="Z45" s="2380"/>
      <c r="AA45" s="2380"/>
      <c r="AB45" s="2380"/>
      <c r="AC45" s="2380"/>
      <c r="AD45" s="2380"/>
      <c r="AE45" s="2380"/>
      <c r="AF45" s="2380"/>
      <c r="AG45" s="2380"/>
      <c r="AH45" s="2380"/>
      <c r="AI45" s="2380"/>
      <c r="AJ45" s="2380"/>
    </row>
    <row r="46" spans="1:37" s="2379" customFormat="1" ht="15">
      <c r="A46" s="1488" t="s">
        <v>1</v>
      </c>
      <c r="B46" s="1489">
        <f>1+E48</f>
        <v>1</v>
      </c>
      <c r="C46" s="1490"/>
      <c r="D46" s="1491"/>
      <c r="E46" s="1492"/>
      <c r="F46" s="2133"/>
      <c r="G46" s="292"/>
      <c r="H46" s="1487"/>
      <c r="I46" s="1487"/>
      <c r="J46" s="1487"/>
      <c r="K46" s="1487"/>
      <c r="L46" s="1487"/>
      <c r="M46" s="1487"/>
      <c r="N46" s="1621"/>
      <c r="Z46" s="2380"/>
      <c r="AA46" s="2380"/>
      <c r="AB46" s="2380"/>
      <c r="AC46" s="2380"/>
      <c r="AD46" s="2380"/>
      <c r="AE46" s="2380"/>
      <c r="AF46" s="2380"/>
      <c r="AG46" s="2380"/>
      <c r="AH46" s="2380"/>
      <c r="AI46" s="2380"/>
      <c r="AJ46" s="2380"/>
    </row>
    <row r="47" spans="1:37" s="2379" customFormat="1" ht="24">
      <c r="A47" s="1494" t="s">
        <v>1773</v>
      </c>
      <c r="B47" s="1495" t="s">
        <v>1774</v>
      </c>
      <c r="C47" s="1496" t="s">
        <v>1775</v>
      </c>
      <c r="D47" s="1497" t="s">
        <v>1846</v>
      </c>
      <c r="E47" s="1498" t="s">
        <v>1848</v>
      </c>
      <c r="F47" s="2601" t="s">
        <v>2493</v>
      </c>
      <c r="G47" s="1497" t="s">
        <v>1844</v>
      </c>
      <c r="H47" s="2602" t="s">
        <v>2494</v>
      </c>
      <c r="I47" s="1497" t="s">
        <v>1847</v>
      </c>
      <c r="J47" s="946" t="s">
        <v>421</v>
      </c>
      <c r="K47" s="946" t="s">
        <v>422</v>
      </c>
      <c r="L47" s="946" t="s">
        <v>423</v>
      </c>
      <c r="M47" s="946" t="s">
        <v>424</v>
      </c>
      <c r="N47" s="946" t="s">
        <v>425</v>
      </c>
      <c r="AA47" s="2380"/>
      <c r="AB47" s="2380"/>
      <c r="AC47" s="2380"/>
      <c r="AD47" s="2380"/>
      <c r="AE47" s="2380"/>
      <c r="AF47" s="2380"/>
      <c r="AG47" s="2380"/>
      <c r="AH47" s="2380"/>
      <c r="AI47" s="2380"/>
      <c r="AJ47" s="2380"/>
      <c r="AK47" s="2380"/>
    </row>
    <row r="48" spans="1:37" s="2379" customFormat="1" ht="48">
      <c r="A48" s="1494" t="s">
        <v>1776</v>
      </c>
      <c r="B48" s="1499" t="str">
        <f>估价对象房地状况!C4</f>
        <v>估价对象位于科技园商圈，周边商业氛围一般，人流量一般，商业繁华度一般</v>
      </c>
      <c r="C48" s="1484"/>
      <c r="D48" s="2600">
        <f t="shared" ref="D48:D56" si="10">SUMIF($J$47:$N$47,C48,J48:N48)</f>
        <v>0</v>
      </c>
      <c r="E48" s="1501">
        <f>ROUND(SUM(D48:D56),4)</f>
        <v>0</v>
      </c>
      <c r="F48" s="1502" t="str">
        <f>IF(E2="商业",SUMIF(L1:L12,G2,N1:N12),"——")</f>
        <v>——</v>
      </c>
      <c r="G48" s="2598"/>
      <c r="H48" s="2616" t="str">
        <f t="shared" ref="H48:H56" si="11">IFERROR(ROUNDDOWN($F$48*I48/2,4),"——")</f>
        <v>——</v>
      </c>
      <c r="I48" s="1500">
        <v>0.33</v>
      </c>
      <c r="J48" s="2599">
        <f t="shared" ref="J48:J56" si="12">K48+$G48</f>
        <v>0</v>
      </c>
      <c r="K48" s="2599">
        <f t="shared" ref="K48:K56" si="13">$L48+$G48</f>
        <v>0</v>
      </c>
      <c r="L48" s="2599">
        <v>0</v>
      </c>
      <c r="M48" s="2599">
        <f t="shared" ref="M48:N56" si="14">L48-$G48</f>
        <v>0</v>
      </c>
      <c r="N48" s="2599">
        <f t="shared" si="14"/>
        <v>0</v>
      </c>
      <c r="AA48" s="2380"/>
      <c r="AB48" s="2380"/>
      <c r="AC48" s="2380"/>
      <c r="AD48" s="2380"/>
      <c r="AE48" s="2380"/>
      <c r="AF48" s="2380"/>
      <c r="AG48" s="2380"/>
      <c r="AH48" s="2380"/>
      <c r="AI48" s="2380"/>
      <c r="AJ48" s="2380"/>
      <c r="AK48" s="2380"/>
    </row>
    <row r="49" spans="1:37" s="2379" customFormat="1" ht="48">
      <c r="A49" s="1494" t="s">
        <v>88</v>
      </c>
      <c r="B49" s="1503" t="str">
        <f>估价对象房地状况!C18</f>
        <v>估价对象周边道路状况、公共交通通达情况、停车便捷程度，综合评价交通便捷度较好</v>
      </c>
      <c r="C49" s="1484"/>
      <c r="D49" s="2600">
        <f t="shared" si="10"/>
        <v>0</v>
      </c>
      <c r="E49" s="1504"/>
      <c r="F49" s="1502"/>
      <c r="G49" s="2598"/>
      <c r="H49" s="2616" t="str">
        <f t="shared" si="11"/>
        <v>——</v>
      </c>
      <c r="I49" s="1500">
        <v>0.25</v>
      </c>
      <c r="J49" s="2599">
        <f t="shared" si="12"/>
        <v>0</v>
      </c>
      <c r="K49" s="2599">
        <f t="shared" si="13"/>
        <v>0</v>
      </c>
      <c r="L49" s="2599">
        <v>0</v>
      </c>
      <c r="M49" s="2599">
        <f t="shared" si="14"/>
        <v>0</v>
      </c>
      <c r="N49" s="2599">
        <f t="shared" si="14"/>
        <v>0</v>
      </c>
      <c r="AA49" s="2380"/>
      <c r="AB49" s="2380"/>
      <c r="AC49" s="2380"/>
      <c r="AD49" s="2380"/>
      <c r="AE49" s="2380"/>
      <c r="AF49" s="2380"/>
      <c r="AG49" s="2380"/>
      <c r="AH49" s="2380"/>
      <c r="AI49" s="2380"/>
      <c r="AJ49" s="2380"/>
      <c r="AK49" s="2380"/>
    </row>
    <row r="50" spans="1:37" s="2379" customFormat="1" ht="24">
      <c r="A50" s="1494" t="s">
        <v>105</v>
      </c>
      <c r="B50" s="1503">
        <f>估价对象房地状况!C19</f>
        <v>0</v>
      </c>
      <c r="C50" s="1484"/>
      <c r="D50" s="2600">
        <f t="shared" si="10"/>
        <v>0</v>
      </c>
      <c r="E50" s="1504"/>
      <c r="F50" s="1502"/>
      <c r="G50" s="2598"/>
      <c r="H50" s="2616" t="str">
        <f t="shared" si="11"/>
        <v>——</v>
      </c>
      <c r="I50" s="1500">
        <v>0.05</v>
      </c>
      <c r="J50" s="2599">
        <f t="shared" si="12"/>
        <v>0</v>
      </c>
      <c r="K50" s="2599">
        <f t="shared" si="13"/>
        <v>0</v>
      </c>
      <c r="L50" s="2599">
        <v>0</v>
      </c>
      <c r="M50" s="2599">
        <f t="shared" si="14"/>
        <v>0</v>
      </c>
      <c r="N50" s="2599">
        <f t="shared" si="14"/>
        <v>0</v>
      </c>
      <c r="AA50" s="2380"/>
      <c r="AB50" s="2380"/>
      <c r="AC50" s="2380"/>
      <c r="AD50" s="2380"/>
      <c r="AE50" s="2380"/>
      <c r="AF50" s="2380"/>
      <c r="AG50" s="2380"/>
      <c r="AH50" s="2380"/>
      <c r="AI50" s="2380"/>
      <c r="AJ50" s="2380"/>
      <c r="AK50" s="2380"/>
    </row>
    <row r="51" spans="1:37" s="2379" customFormat="1" ht="36">
      <c r="A51" s="1494" t="s">
        <v>1777</v>
      </c>
      <c r="B51" s="3305" t="s">
        <v>3026</v>
      </c>
      <c r="C51" s="1484"/>
      <c r="D51" s="2600">
        <f t="shared" si="10"/>
        <v>0</v>
      </c>
      <c r="E51" s="1504"/>
      <c r="F51" s="1502"/>
      <c r="G51" s="2598"/>
      <c r="H51" s="2616" t="str">
        <f t="shared" si="11"/>
        <v>——</v>
      </c>
      <c r="I51" s="1500">
        <v>0.05</v>
      </c>
      <c r="J51" s="2599">
        <f t="shared" si="12"/>
        <v>0</v>
      </c>
      <c r="K51" s="2599">
        <f t="shared" si="13"/>
        <v>0</v>
      </c>
      <c r="L51" s="2599">
        <v>0</v>
      </c>
      <c r="M51" s="2599">
        <f t="shared" si="14"/>
        <v>0</v>
      </c>
      <c r="N51" s="2599">
        <f t="shared" si="14"/>
        <v>0</v>
      </c>
      <c r="AA51" s="2380"/>
      <c r="AB51" s="2380"/>
      <c r="AC51" s="2380"/>
      <c r="AD51" s="2380"/>
      <c r="AE51" s="2380"/>
      <c r="AF51" s="2380"/>
      <c r="AG51" s="2380"/>
      <c r="AH51" s="2380"/>
      <c r="AI51" s="2380"/>
      <c r="AJ51" s="2380"/>
      <c r="AK51" s="2380"/>
    </row>
    <row r="52" spans="1:37" s="2379" customFormat="1" ht="24">
      <c r="A52" s="1494" t="s">
        <v>1778</v>
      </c>
      <c r="B52" s="1503">
        <f>估价对象房地状况!C24</f>
        <v>0</v>
      </c>
      <c r="C52" s="1484"/>
      <c r="D52" s="2600">
        <f t="shared" si="10"/>
        <v>0</v>
      </c>
      <c r="E52" s="1504"/>
      <c r="F52" s="1502"/>
      <c r="G52" s="2598"/>
      <c r="H52" s="2616" t="str">
        <f t="shared" si="11"/>
        <v>——</v>
      </c>
      <c r="I52" s="1500">
        <v>0.08</v>
      </c>
      <c r="J52" s="2599">
        <f t="shared" si="12"/>
        <v>0</v>
      </c>
      <c r="K52" s="2599">
        <f t="shared" si="13"/>
        <v>0</v>
      </c>
      <c r="L52" s="2599">
        <v>0</v>
      </c>
      <c r="M52" s="2599">
        <f t="shared" si="14"/>
        <v>0</v>
      </c>
      <c r="N52" s="2599">
        <f t="shared" si="14"/>
        <v>0</v>
      </c>
      <c r="AA52" s="2380"/>
      <c r="AB52" s="2380"/>
      <c r="AC52" s="2380"/>
      <c r="AD52" s="2380"/>
      <c r="AE52" s="2380"/>
      <c r="AF52" s="2380"/>
      <c r="AG52" s="2380"/>
      <c r="AH52" s="2380"/>
      <c r="AI52" s="2380"/>
      <c r="AJ52" s="2380"/>
      <c r="AK52" s="2380"/>
    </row>
    <row r="53" spans="1:37" s="2379" customFormat="1" ht="24">
      <c r="A53" s="1494" t="s">
        <v>1779</v>
      </c>
      <c r="B53" s="3304" t="s">
        <v>3025</v>
      </c>
      <c r="C53" s="1484"/>
      <c r="D53" s="2600">
        <f t="shared" si="10"/>
        <v>0</v>
      </c>
      <c r="E53" s="1504"/>
      <c r="F53" s="1502"/>
      <c r="G53" s="2598"/>
      <c r="H53" s="2616" t="str">
        <f t="shared" si="11"/>
        <v>——</v>
      </c>
      <c r="I53" s="1500">
        <v>0.03</v>
      </c>
      <c r="J53" s="2599">
        <f t="shared" si="12"/>
        <v>0</v>
      </c>
      <c r="K53" s="2599">
        <f t="shared" si="13"/>
        <v>0</v>
      </c>
      <c r="L53" s="2599">
        <v>0</v>
      </c>
      <c r="M53" s="2599">
        <f t="shared" si="14"/>
        <v>0</v>
      </c>
      <c r="N53" s="2599">
        <f t="shared" si="14"/>
        <v>0</v>
      </c>
      <c r="AA53" s="2380"/>
      <c r="AB53" s="2380"/>
      <c r="AC53" s="2380"/>
      <c r="AD53" s="2380"/>
      <c r="AE53" s="2380"/>
      <c r="AF53" s="2380"/>
      <c r="AG53" s="2380"/>
      <c r="AH53" s="2380"/>
      <c r="AI53" s="2380"/>
      <c r="AJ53" s="2380"/>
      <c r="AK53" s="2380"/>
    </row>
    <row r="54" spans="1:37" s="2379" customFormat="1" ht="24">
      <c r="A54" s="1505" t="s">
        <v>1780</v>
      </c>
      <c r="B54" s="2596" t="str">
        <f>估价对象房地状况!C21</f>
        <v>估价对象所在区域公共配套设施齐备情况</v>
      </c>
      <c r="C54" s="1484"/>
      <c r="D54" s="2600">
        <f t="shared" si="10"/>
        <v>0</v>
      </c>
      <c r="E54" s="1504"/>
      <c r="F54" s="1502"/>
      <c r="G54" s="2598"/>
      <c r="H54" s="2616" t="str">
        <f t="shared" si="11"/>
        <v>——</v>
      </c>
      <c r="I54" s="1500">
        <v>0.05</v>
      </c>
      <c r="J54" s="2599">
        <f t="shared" si="12"/>
        <v>0</v>
      </c>
      <c r="K54" s="2599">
        <f t="shared" si="13"/>
        <v>0</v>
      </c>
      <c r="L54" s="2599">
        <v>0</v>
      </c>
      <c r="M54" s="2599">
        <f t="shared" si="14"/>
        <v>0</v>
      </c>
      <c r="N54" s="2599">
        <f t="shared" si="14"/>
        <v>0</v>
      </c>
      <c r="AA54" s="2380"/>
      <c r="AB54" s="2380"/>
      <c r="AC54" s="2380"/>
      <c r="AD54" s="2380"/>
      <c r="AE54" s="2380"/>
      <c r="AF54" s="2380"/>
      <c r="AG54" s="2380"/>
      <c r="AH54" s="2380"/>
      <c r="AI54" s="2380"/>
      <c r="AJ54" s="2380"/>
      <c r="AK54" s="2380"/>
    </row>
    <row r="55" spans="1:37" s="2379" customFormat="1" ht="24">
      <c r="A55" s="1505" t="s">
        <v>1781</v>
      </c>
      <c r="B55" s="1503" t="str">
        <f>估价对象房地状况!C22</f>
        <v>估价对象所在区域基础设施水平</v>
      </c>
      <c r="C55" s="1484"/>
      <c r="D55" s="2600">
        <f t="shared" si="10"/>
        <v>0</v>
      </c>
      <c r="E55" s="1504"/>
      <c r="F55" s="1502"/>
      <c r="G55" s="2598"/>
      <c r="H55" s="2616" t="str">
        <f t="shared" si="11"/>
        <v>——</v>
      </c>
      <c r="I55" s="1500">
        <v>0.1</v>
      </c>
      <c r="J55" s="2599">
        <f t="shared" si="12"/>
        <v>0</v>
      </c>
      <c r="K55" s="2599">
        <f t="shared" si="13"/>
        <v>0</v>
      </c>
      <c r="L55" s="2599">
        <v>0</v>
      </c>
      <c r="M55" s="2599">
        <f t="shared" si="14"/>
        <v>0</v>
      </c>
      <c r="N55" s="2599">
        <f t="shared" si="14"/>
        <v>0</v>
      </c>
      <c r="AA55" s="2380"/>
      <c r="AB55" s="2380"/>
      <c r="AC55" s="2380"/>
      <c r="AD55" s="2380"/>
      <c r="AE55" s="2380"/>
      <c r="AF55" s="2380"/>
      <c r="AG55" s="2380"/>
      <c r="AH55" s="2380"/>
      <c r="AI55" s="2380"/>
      <c r="AJ55" s="2380"/>
      <c r="AK55" s="2380"/>
    </row>
    <row r="56" spans="1:37" s="2379" customFormat="1" ht="36.75" thickBot="1">
      <c r="A56" s="1507" t="s">
        <v>1782</v>
      </c>
      <c r="B56" s="1508" t="str">
        <f>估价对象房地状况!C20</f>
        <v>区域自然环境：；人文环境；综合评价环境状况一般</v>
      </c>
      <c r="C56" s="1484"/>
      <c r="D56" s="2600">
        <f t="shared" si="10"/>
        <v>0</v>
      </c>
      <c r="E56" s="1510"/>
      <c r="F56" s="1502"/>
      <c r="G56" s="2598"/>
      <c r="H56" s="2616" t="str">
        <f t="shared" si="11"/>
        <v>——</v>
      </c>
      <c r="I56" s="1509">
        <v>0.06</v>
      </c>
      <c r="J56" s="2599">
        <f t="shared" si="12"/>
        <v>0</v>
      </c>
      <c r="K56" s="2599">
        <f t="shared" si="13"/>
        <v>0</v>
      </c>
      <c r="L56" s="2599">
        <v>0</v>
      </c>
      <c r="M56" s="2599">
        <f t="shared" si="14"/>
        <v>0</v>
      </c>
      <c r="N56" s="2599">
        <f t="shared" si="14"/>
        <v>0</v>
      </c>
      <c r="AA56" s="2380"/>
      <c r="AB56" s="2380"/>
      <c r="AC56" s="2380"/>
      <c r="AD56" s="2380"/>
      <c r="AE56" s="2380"/>
      <c r="AF56" s="2380"/>
      <c r="AG56" s="2380"/>
      <c r="AH56" s="2380"/>
      <c r="AI56" s="2380"/>
      <c r="AJ56" s="2380"/>
      <c r="AK56" s="2380"/>
    </row>
    <row r="57" spans="1:37" s="2379" customFormat="1" ht="15">
      <c r="A57" s="1488" t="s">
        <v>1156</v>
      </c>
      <c r="B57" s="1489">
        <f>1+E59</f>
        <v>1</v>
      </c>
      <c r="C57" s="1511"/>
      <c r="D57" s="1491"/>
      <c r="E57" s="1492"/>
      <c r="F57" s="2133"/>
      <c r="G57" s="292"/>
      <c r="H57" s="292"/>
      <c r="I57" s="292"/>
      <c r="J57" s="1487"/>
      <c r="K57" s="1487"/>
      <c r="L57" s="1487"/>
      <c r="M57" s="1487"/>
      <c r="N57" s="1487"/>
      <c r="AA57" s="2380"/>
      <c r="AB57" s="2380"/>
      <c r="AC57" s="2380"/>
      <c r="AD57" s="2380"/>
      <c r="AE57" s="2380"/>
      <c r="AF57" s="2380"/>
      <c r="AG57" s="2380"/>
      <c r="AH57" s="2380"/>
      <c r="AI57" s="2380"/>
      <c r="AJ57" s="2380"/>
      <c r="AK57" s="2380"/>
    </row>
    <row r="58" spans="1:37" s="2379" customFormat="1" ht="24">
      <c r="A58" s="1494" t="s">
        <v>1773</v>
      </c>
      <c r="B58" s="1495"/>
      <c r="C58" s="1496" t="s">
        <v>1775</v>
      </c>
      <c r="D58" s="1497" t="s">
        <v>1846</v>
      </c>
      <c r="E58" s="1498" t="s">
        <v>1848</v>
      </c>
      <c r="F58" s="2601" t="s">
        <v>2290</v>
      </c>
      <c r="G58" s="1497" t="s">
        <v>1844</v>
      </c>
      <c r="H58" s="2602" t="s">
        <v>2494</v>
      </c>
      <c r="I58" s="1497" t="s">
        <v>1847</v>
      </c>
      <c r="J58" s="946" t="s">
        <v>421</v>
      </c>
      <c r="K58" s="946" t="s">
        <v>422</v>
      </c>
      <c r="L58" s="946" t="s">
        <v>423</v>
      </c>
      <c r="M58" s="946" t="s">
        <v>424</v>
      </c>
      <c r="N58" s="946" t="s">
        <v>425</v>
      </c>
      <c r="AA58" s="2380"/>
      <c r="AB58" s="2380"/>
      <c r="AC58" s="2380"/>
      <c r="AD58" s="2380"/>
      <c r="AE58" s="2380"/>
      <c r="AF58" s="2380"/>
      <c r="AG58" s="2380"/>
      <c r="AH58" s="2380"/>
      <c r="AI58" s="2380"/>
      <c r="AJ58" s="2380"/>
      <c r="AK58" s="2380"/>
    </row>
    <row r="59" spans="1:37" s="2379" customFormat="1" ht="48">
      <c r="A59" s="1494" t="s">
        <v>1087</v>
      </c>
      <c r="B59" s="1499" t="str">
        <f>估价对象房地状况!C17</f>
        <v>估价对象位于丰台科技园商圈，周边办公楼项目较多，入驻率高，办公集聚程度较好</v>
      </c>
      <c r="C59" s="1484"/>
      <c r="D59" s="2600">
        <f t="shared" ref="D59:D67" si="15">SUMIF($J$58:$N$58,C59,J59:N59)</f>
        <v>0</v>
      </c>
      <c r="E59" s="1501">
        <f>ROUND(SUM(D59:D67),4)</f>
        <v>0</v>
      </c>
      <c r="F59" s="1502">
        <f>IF(E2="办公",SUMIF(L1:L12,G2,N1:N12),"——")</f>
        <v>9.9000000000000005E-2</v>
      </c>
      <c r="G59" s="2598"/>
      <c r="H59" s="2616">
        <f t="shared" ref="H59:H67" si="16">IFERROR(ROUNDDOWN($F$59*I59/2,4),"——")</f>
        <v>1.18E-2</v>
      </c>
      <c r="I59" s="1500">
        <v>0.24</v>
      </c>
      <c r="J59" s="2599">
        <f t="shared" ref="J59:J67" si="17">K59+$G59</f>
        <v>0</v>
      </c>
      <c r="K59" s="2599">
        <f t="shared" ref="K59:K67" si="18">$L59+$G59</f>
        <v>0</v>
      </c>
      <c r="L59" s="2599">
        <v>0</v>
      </c>
      <c r="M59" s="2599">
        <f t="shared" ref="M59:N67" si="19">L59-$G59</f>
        <v>0</v>
      </c>
      <c r="N59" s="2599">
        <f t="shared" si="19"/>
        <v>0</v>
      </c>
      <c r="AA59" s="2380"/>
      <c r="AB59" s="2380"/>
      <c r="AC59" s="2380"/>
      <c r="AD59" s="2380"/>
      <c r="AE59" s="2380"/>
      <c r="AF59" s="2380"/>
      <c r="AG59" s="2380"/>
      <c r="AH59" s="2380"/>
      <c r="AI59" s="2380"/>
      <c r="AJ59" s="2380"/>
      <c r="AK59" s="2380"/>
    </row>
    <row r="60" spans="1:37" s="2379" customFormat="1" ht="48">
      <c r="A60" s="1494" t="s">
        <v>88</v>
      </c>
      <c r="B60" s="1503" t="str">
        <f>估价对象房地状况!C18</f>
        <v>估价对象周边道路状况、公共交通通达情况、停车便捷程度，综合评价交通便捷度较好</v>
      </c>
      <c r="C60" s="1484"/>
      <c r="D60" s="2600">
        <f t="shared" si="15"/>
        <v>0</v>
      </c>
      <c r="E60" s="1504"/>
      <c r="F60" s="1502"/>
      <c r="G60" s="2598"/>
      <c r="H60" s="2616">
        <f t="shared" si="16"/>
        <v>1.4800000000000001E-2</v>
      </c>
      <c r="I60" s="1500">
        <v>0.3</v>
      </c>
      <c r="J60" s="2599">
        <f t="shared" si="17"/>
        <v>0</v>
      </c>
      <c r="K60" s="2599">
        <f t="shared" si="18"/>
        <v>0</v>
      </c>
      <c r="L60" s="2599">
        <v>0</v>
      </c>
      <c r="M60" s="2599">
        <f t="shared" si="19"/>
        <v>0</v>
      </c>
      <c r="N60" s="2599">
        <f t="shared" si="19"/>
        <v>0</v>
      </c>
      <c r="AA60" s="2380"/>
      <c r="AB60" s="2380"/>
      <c r="AC60" s="2380"/>
      <c r="AD60" s="2380"/>
      <c r="AE60" s="2380"/>
      <c r="AF60" s="2380"/>
      <c r="AG60" s="2380"/>
      <c r="AH60" s="2380"/>
      <c r="AI60" s="2380"/>
      <c r="AJ60" s="2380"/>
      <c r="AK60" s="2380"/>
    </row>
    <row r="61" spans="1:37" s="2379" customFormat="1" ht="24">
      <c r="A61" s="1494" t="s">
        <v>105</v>
      </c>
      <c r="B61" s="1503">
        <f>估价对象房地状况!C19</f>
        <v>0</v>
      </c>
      <c r="C61" s="1484"/>
      <c r="D61" s="2600">
        <f t="shared" si="15"/>
        <v>0</v>
      </c>
      <c r="E61" s="1504"/>
      <c r="F61" s="1502"/>
      <c r="G61" s="2598"/>
      <c r="H61" s="2616">
        <f t="shared" si="16"/>
        <v>3.8999999999999998E-3</v>
      </c>
      <c r="I61" s="1500">
        <v>0.08</v>
      </c>
      <c r="J61" s="2599">
        <f t="shared" si="17"/>
        <v>0</v>
      </c>
      <c r="K61" s="2599">
        <f t="shared" si="18"/>
        <v>0</v>
      </c>
      <c r="L61" s="2599">
        <v>0</v>
      </c>
      <c r="M61" s="2599">
        <f t="shared" si="19"/>
        <v>0</v>
      </c>
      <c r="N61" s="2599">
        <f t="shared" si="19"/>
        <v>0</v>
      </c>
      <c r="AA61" s="2380"/>
      <c r="AB61" s="2380"/>
      <c r="AC61" s="2380"/>
      <c r="AD61" s="2380"/>
      <c r="AE61" s="2380"/>
      <c r="AF61" s="2380"/>
      <c r="AG61" s="2380"/>
      <c r="AH61" s="2380"/>
      <c r="AI61" s="2380"/>
      <c r="AJ61" s="2380"/>
      <c r="AK61" s="2380"/>
    </row>
    <row r="62" spans="1:37" s="2379" customFormat="1" ht="36">
      <c r="A62" s="1494" t="s">
        <v>1777</v>
      </c>
      <c r="B62" s="3305" t="s">
        <v>3026</v>
      </c>
      <c r="C62" s="1484"/>
      <c r="D62" s="2600">
        <f t="shared" si="15"/>
        <v>0</v>
      </c>
      <c r="E62" s="1504"/>
      <c r="F62" s="1502"/>
      <c r="G62" s="2598"/>
      <c r="H62" s="2616">
        <f t="shared" si="16"/>
        <v>1.9E-3</v>
      </c>
      <c r="I62" s="1500">
        <v>0.04</v>
      </c>
      <c r="J62" s="2599">
        <f t="shared" si="17"/>
        <v>0</v>
      </c>
      <c r="K62" s="2599">
        <f t="shared" si="18"/>
        <v>0</v>
      </c>
      <c r="L62" s="2599">
        <v>0</v>
      </c>
      <c r="M62" s="2599">
        <f t="shared" si="19"/>
        <v>0</v>
      </c>
      <c r="N62" s="2599">
        <f t="shared" si="19"/>
        <v>0</v>
      </c>
      <c r="AA62" s="2380"/>
      <c r="AB62" s="2380"/>
      <c r="AC62" s="2380"/>
      <c r="AD62" s="2380"/>
      <c r="AE62" s="2380"/>
      <c r="AF62" s="2380"/>
      <c r="AG62" s="2380"/>
      <c r="AH62" s="2380"/>
      <c r="AI62" s="2380"/>
      <c r="AJ62" s="2380"/>
      <c r="AK62" s="2380"/>
    </row>
    <row r="63" spans="1:37" s="2379" customFormat="1" ht="24">
      <c r="A63" s="1494" t="s">
        <v>1778</v>
      </c>
      <c r="B63" s="1503">
        <f>估价对象房地状况!C24</f>
        <v>0</v>
      </c>
      <c r="C63" s="1484"/>
      <c r="D63" s="2600">
        <f t="shared" si="15"/>
        <v>0</v>
      </c>
      <c r="E63" s="1504"/>
      <c r="F63" s="1502"/>
      <c r="G63" s="2598"/>
      <c r="H63" s="2616">
        <f t="shared" si="16"/>
        <v>2.3999999999999998E-3</v>
      </c>
      <c r="I63" s="1500">
        <v>0.05</v>
      </c>
      <c r="J63" s="2599">
        <f t="shared" si="17"/>
        <v>0</v>
      </c>
      <c r="K63" s="2599">
        <f t="shared" si="18"/>
        <v>0</v>
      </c>
      <c r="L63" s="2599">
        <v>0</v>
      </c>
      <c r="M63" s="2599">
        <f t="shared" si="19"/>
        <v>0</v>
      </c>
      <c r="N63" s="2599">
        <f t="shared" si="19"/>
        <v>0</v>
      </c>
      <c r="AA63" s="2380"/>
      <c r="AB63" s="2380"/>
      <c r="AC63" s="2380"/>
      <c r="AD63" s="2380"/>
      <c r="AE63" s="2380"/>
      <c r="AF63" s="2380"/>
      <c r="AG63" s="2380"/>
      <c r="AH63" s="2380"/>
      <c r="AI63" s="2380"/>
      <c r="AJ63" s="2380"/>
      <c r="AK63" s="2380"/>
    </row>
    <row r="64" spans="1:37" s="2379" customFormat="1" ht="24">
      <c r="A64" s="1494" t="s">
        <v>1779</v>
      </c>
      <c r="B64" s="3304" t="s">
        <v>3025</v>
      </c>
      <c r="C64" s="1484"/>
      <c r="D64" s="2600">
        <f t="shared" si="15"/>
        <v>0</v>
      </c>
      <c r="E64" s="1504"/>
      <c r="F64" s="1502"/>
      <c r="G64" s="2598"/>
      <c r="H64" s="2616">
        <f t="shared" si="16"/>
        <v>2.3999999999999998E-3</v>
      </c>
      <c r="I64" s="1500">
        <v>0.05</v>
      </c>
      <c r="J64" s="2599">
        <f t="shared" si="17"/>
        <v>0</v>
      </c>
      <c r="K64" s="2599">
        <f t="shared" si="18"/>
        <v>0</v>
      </c>
      <c r="L64" s="2599">
        <v>0</v>
      </c>
      <c r="M64" s="2599">
        <f t="shared" si="19"/>
        <v>0</v>
      </c>
      <c r="N64" s="2599">
        <f t="shared" si="19"/>
        <v>0</v>
      </c>
      <c r="AA64" s="2380"/>
      <c r="AB64" s="2380"/>
      <c r="AC64" s="2380"/>
      <c r="AD64" s="2380"/>
      <c r="AE64" s="2380"/>
      <c r="AF64" s="2380"/>
      <c r="AG64" s="2380"/>
      <c r="AH64" s="2380"/>
      <c r="AI64" s="2380"/>
      <c r="AJ64" s="2380"/>
      <c r="AK64" s="2380"/>
    </row>
    <row r="65" spans="1:37" s="2379" customFormat="1" ht="24">
      <c r="A65" s="1494" t="s">
        <v>1780</v>
      </c>
      <c r="B65" s="2596" t="str">
        <f>估价对象房地状况!C21</f>
        <v>估价对象所在区域公共配套设施齐备情况</v>
      </c>
      <c r="C65" s="1484"/>
      <c r="D65" s="2600">
        <f t="shared" si="15"/>
        <v>0</v>
      </c>
      <c r="E65" s="1504"/>
      <c r="F65" s="1502"/>
      <c r="G65" s="2598"/>
      <c r="H65" s="2616">
        <f t="shared" si="16"/>
        <v>2.8999999999999998E-3</v>
      </c>
      <c r="I65" s="1500">
        <v>0.06</v>
      </c>
      <c r="J65" s="2599">
        <f t="shared" si="17"/>
        <v>0</v>
      </c>
      <c r="K65" s="2599">
        <f t="shared" si="18"/>
        <v>0</v>
      </c>
      <c r="L65" s="2599">
        <v>0</v>
      </c>
      <c r="M65" s="2599">
        <f t="shared" si="19"/>
        <v>0</v>
      </c>
      <c r="N65" s="2599">
        <f t="shared" si="19"/>
        <v>0</v>
      </c>
      <c r="AA65" s="2380"/>
      <c r="AB65" s="2380"/>
      <c r="AC65" s="2380"/>
      <c r="AD65" s="2380"/>
      <c r="AE65" s="2380"/>
      <c r="AF65" s="2380"/>
      <c r="AG65" s="2380"/>
      <c r="AH65" s="2380"/>
      <c r="AI65" s="2380"/>
      <c r="AJ65" s="2380"/>
      <c r="AK65" s="2380"/>
    </row>
    <row r="66" spans="1:37" s="2379" customFormat="1" ht="24">
      <c r="A66" s="1494" t="s">
        <v>1781</v>
      </c>
      <c r="B66" s="2596" t="str">
        <f>估价对象房地状况!C22</f>
        <v>估价对象所在区域基础设施水平</v>
      </c>
      <c r="C66" s="1484"/>
      <c r="D66" s="2600">
        <f t="shared" si="15"/>
        <v>0</v>
      </c>
      <c r="E66" s="1504"/>
      <c r="F66" s="1502"/>
      <c r="G66" s="2598"/>
      <c r="H66" s="2616">
        <f t="shared" si="16"/>
        <v>5.8999999999999999E-3</v>
      </c>
      <c r="I66" s="1500">
        <v>0.12</v>
      </c>
      <c r="J66" s="2599">
        <f t="shared" si="17"/>
        <v>0</v>
      </c>
      <c r="K66" s="2599">
        <f t="shared" si="18"/>
        <v>0</v>
      </c>
      <c r="L66" s="2599">
        <v>0</v>
      </c>
      <c r="M66" s="2599">
        <f t="shared" si="19"/>
        <v>0</v>
      </c>
      <c r="N66" s="2599">
        <f t="shared" si="19"/>
        <v>0</v>
      </c>
      <c r="AA66" s="2380"/>
      <c r="AB66" s="2380"/>
      <c r="AC66" s="2380"/>
      <c r="AD66" s="2380"/>
      <c r="AE66" s="2380"/>
      <c r="AF66" s="2380"/>
      <c r="AG66" s="2380"/>
      <c r="AH66" s="2380"/>
      <c r="AI66" s="2380"/>
      <c r="AJ66" s="2380"/>
      <c r="AK66" s="2380"/>
    </row>
    <row r="67" spans="1:37" s="2379" customFormat="1" ht="36.75" thickBot="1">
      <c r="A67" s="1507" t="s">
        <v>1782</v>
      </c>
      <c r="B67" s="1512" t="str">
        <f>估价对象房地状况!C20</f>
        <v>区域自然环境：；人文环境；综合评价环境状况一般</v>
      </c>
      <c r="C67" s="1484"/>
      <c r="D67" s="2600">
        <f t="shared" si="15"/>
        <v>0</v>
      </c>
      <c r="E67" s="1510"/>
      <c r="F67" s="1502"/>
      <c r="G67" s="2598"/>
      <c r="H67" s="2616">
        <f t="shared" si="16"/>
        <v>2.8999999999999998E-3</v>
      </c>
      <c r="I67" s="1509">
        <v>0.06</v>
      </c>
      <c r="J67" s="2599">
        <f t="shared" si="17"/>
        <v>0</v>
      </c>
      <c r="K67" s="2599">
        <f t="shared" si="18"/>
        <v>0</v>
      </c>
      <c r="L67" s="2599">
        <v>0</v>
      </c>
      <c r="M67" s="2599">
        <f t="shared" si="19"/>
        <v>0</v>
      </c>
      <c r="N67" s="2599">
        <f t="shared" si="19"/>
        <v>0</v>
      </c>
      <c r="AA67" s="2380"/>
      <c r="AB67" s="2380"/>
      <c r="AC67" s="2380"/>
      <c r="AD67" s="2380"/>
      <c r="AE67" s="2380"/>
      <c r="AF67" s="2380"/>
      <c r="AG67" s="2380"/>
      <c r="AH67" s="2380"/>
      <c r="AI67" s="2380"/>
      <c r="AJ67" s="2380"/>
      <c r="AK67" s="2380"/>
    </row>
    <row r="68" spans="1:37" s="2379" customFormat="1" ht="15">
      <c r="A68" s="1488" t="s">
        <v>976</v>
      </c>
      <c r="B68" s="1489">
        <f>1+E70</f>
        <v>1</v>
      </c>
      <c r="C68" s="1511"/>
      <c r="D68" s="1491"/>
      <c r="E68" s="1492"/>
      <c r="F68" s="2133"/>
      <c r="G68" s="292"/>
      <c r="H68" s="292"/>
      <c r="I68" s="292"/>
      <c r="J68" s="1487"/>
      <c r="K68" s="1487"/>
      <c r="L68" s="1487"/>
      <c r="M68" s="1487"/>
      <c r="N68" s="1487"/>
      <c r="AA68" s="2380"/>
      <c r="AB68" s="2380"/>
      <c r="AC68" s="2380"/>
      <c r="AD68" s="2380"/>
      <c r="AE68" s="2380"/>
      <c r="AF68" s="2380"/>
      <c r="AG68" s="2380"/>
      <c r="AH68" s="2380"/>
      <c r="AI68" s="2380"/>
      <c r="AJ68" s="2380"/>
      <c r="AK68" s="2380"/>
    </row>
    <row r="69" spans="1:37" s="2379" customFormat="1" ht="24">
      <c r="A69" s="1494" t="s">
        <v>1773</v>
      </c>
      <c r="B69" s="1495"/>
      <c r="C69" s="1496" t="s">
        <v>1775</v>
      </c>
      <c r="D69" s="1497" t="s">
        <v>1846</v>
      </c>
      <c r="E69" s="1498" t="s">
        <v>1848</v>
      </c>
      <c r="F69" s="2601" t="s">
        <v>2290</v>
      </c>
      <c r="G69" s="1497" t="s">
        <v>1844</v>
      </c>
      <c r="H69" s="2602" t="s">
        <v>2494</v>
      </c>
      <c r="I69" s="1497" t="s">
        <v>1847</v>
      </c>
      <c r="J69" s="946" t="s">
        <v>421</v>
      </c>
      <c r="K69" s="946" t="s">
        <v>422</v>
      </c>
      <c r="L69" s="946" t="s">
        <v>423</v>
      </c>
      <c r="M69" s="946" t="s">
        <v>424</v>
      </c>
      <c r="N69" s="946" t="s">
        <v>425</v>
      </c>
      <c r="AA69" s="2380"/>
      <c r="AB69" s="2380"/>
      <c r="AC69" s="2380"/>
      <c r="AD69" s="2380"/>
      <c r="AE69" s="2380"/>
      <c r="AF69" s="2380"/>
      <c r="AG69" s="2380"/>
      <c r="AH69" s="2380"/>
      <c r="AI69" s="2380"/>
      <c r="AJ69" s="2380"/>
      <c r="AK69" s="2380"/>
    </row>
    <row r="70" spans="1:37" s="2379" customFormat="1" ht="48">
      <c r="A70" s="1494" t="s">
        <v>106</v>
      </c>
      <c r="B70" s="1499" t="str">
        <f>估价对象房地状况!C15</f>
        <v>估价对象周边居住用地比例、居住小区规模和社区发展完善程度，综合评价居住社区成熟度一般</v>
      </c>
      <c r="C70" s="1484"/>
      <c r="D70" s="2600">
        <f t="shared" ref="D70:D78" si="20">SUMIF($J$69:$N$69,C70,J70:N70)</f>
        <v>0</v>
      </c>
      <c r="E70" s="1501">
        <f>ROUND(SUM(D70:D78),4)</f>
        <v>0</v>
      </c>
      <c r="F70" s="1502" t="str">
        <f>IF(E2="住宅",SUMIF(L1:L12,G2,N1:N12),"——")</f>
        <v>——</v>
      </c>
      <c r="G70" s="2598"/>
      <c r="H70" s="2616" t="str">
        <f t="shared" ref="H70:H78" si="21">IFERROR(ROUNDDOWN($F$70*I70/2,4),"——")</f>
        <v>——</v>
      </c>
      <c r="I70" s="1500">
        <v>0.14000000000000001</v>
      </c>
      <c r="J70" s="2599">
        <f t="shared" ref="J70:J78" si="22">K70+$G70</f>
        <v>0</v>
      </c>
      <c r="K70" s="2599">
        <f t="shared" ref="K70:K78" si="23">$L70+$G70</f>
        <v>0</v>
      </c>
      <c r="L70" s="2599">
        <v>0</v>
      </c>
      <c r="M70" s="2599">
        <f t="shared" ref="M70:N78" si="24">L70-$G70</f>
        <v>0</v>
      </c>
      <c r="N70" s="2599">
        <f t="shared" si="24"/>
        <v>0</v>
      </c>
      <c r="AA70" s="2380"/>
      <c r="AB70" s="2380"/>
      <c r="AC70" s="2380"/>
      <c r="AD70" s="2380"/>
      <c r="AE70" s="2380"/>
      <c r="AF70" s="2380"/>
      <c r="AG70" s="2380"/>
      <c r="AH70" s="2380"/>
      <c r="AI70" s="2380"/>
      <c r="AJ70" s="2380"/>
      <c r="AK70" s="2380"/>
    </row>
    <row r="71" spans="1:37" s="2379" customFormat="1" ht="48">
      <c r="A71" s="1494" t="s">
        <v>88</v>
      </c>
      <c r="B71" s="1503" t="str">
        <f>估价对象房地状况!C18</f>
        <v>估价对象周边道路状况、公共交通通达情况、停车便捷程度，综合评价交通便捷度较好</v>
      </c>
      <c r="C71" s="1484"/>
      <c r="D71" s="2600">
        <f t="shared" si="20"/>
        <v>0</v>
      </c>
      <c r="E71" s="1513"/>
      <c r="F71" s="1502"/>
      <c r="G71" s="2598"/>
      <c r="H71" s="2616" t="str">
        <f t="shared" si="21"/>
        <v>——</v>
      </c>
      <c r="I71" s="1500">
        <v>0.3</v>
      </c>
      <c r="J71" s="2599">
        <f t="shared" si="22"/>
        <v>0</v>
      </c>
      <c r="K71" s="2599">
        <f t="shared" si="23"/>
        <v>0</v>
      </c>
      <c r="L71" s="2599">
        <v>0</v>
      </c>
      <c r="M71" s="2599">
        <f t="shared" si="24"/>
        <v>0</v>
      </c>
      <c r="N71" s="2599">
        <f t="shared" si="24"/>
        <v>0</v>
      </c>
      <c r="AA71" s="2380"/>
      <c r="AB71" s="2380"/>
      <c r="AC71" s="2380"/>
      <c r="AD71" s="2380"/>
      <c r="AE71" s="2380"/>
      <c r="AF71" s="2380"/>
      <c r="AG71" s="2380"/>
      <c r="AH71" s="2380"/>
      <c r="AI71" s="2380"/>
      <c r="AJ71" s="2380"/>
      <c r="AK71" s="2380"/>
    </row>
    <row r="72" spans="1:37" s="2379" customFormat="1" ht="24">
      <c r="A72" s="1494" t="s">
        <v>105</v>
      </c>
      <c r="B72" s="1503">
        <f>估价对象房地状况!C19</f>
        <v>0</v>
      </c>
      <c r="C72" s="1484"/>
      <c r="D72" s="2600">
        <f t="shared" si="20"/>
        <v>0</v>
      </c>
      <c r="E72" s="1513"/>
      <c r="F72" s="1502"/>
      <c r="G72" s="2598"/>
      <c r="H72" s="2616" t="str">
        <f t="shared" si="21"/>
        <v>——</v>
      </c>
      <c r="I72" s="1500">
        <v>0.08</v>
      </c>
      <c r="J72" s="2599">
        <f t="shared" si="22"/>
        <v>0</v>
      </c>
      <c r="K72" s="2599">
        <f t="shared" si="23"/>
        <v>0</v>
      </c>
      <c r="L72" s="2599">
        <v>0</v>
      </c>
      <c r="M72" s="2599">
        <f t="shared" si="24"/>
        <v>0</v>
      </c>
      <c r="N72" s="2599">
        <f t="shared" si="24"/>
        <v>0</v>
      </c>
      <c r="AA72" s="2380"/>
      <c r="AB72" s="2380"/>
      <c r="AC72" s="2380"/>
      <c r="AD72" s="2380"/>
      <c r="AE72" s="2380"/>
      <c r="AF72" s="2380"/>
      <c r="AG72" s="2380"/>
      <c r="AH72" s="2380"/>
      <c r="AI72" s="2380"/>
      <c r="AJ72" s="2380"/>
      <c r="AK72" s="2380"/>
    </row>
    <row r="73" spans="1:37" s="2379" customFormat="1" ht="14.25">
      <c r="A73" s="1494" t="s">
        <v>1783</v>
      </c>
      <c r="B73" s="1503">
        <f>估价对象房地状况!C24</f>
        <v>0</v>
      </c>
      <c r="C73" s="1484"/>
      <c r="D73" s="2600">
        <f t="shared" si="20"/>
        <v>0</v>
      </c>
      <c r="E73" s="1513"/>
      <c r="F73" s="1502"/>
      <c r="G73" s="2598"/>
      <c r="H73" s="2616" t="str">
        <f t="shared" si="21"/>
        <v>——</v>
      </c>
      <c r="I73" s="1500">
        <v>0.04</v>
      </c>
      <c r="J73" s="2599">
        <f t="shared" si="22"/>
        <v>0</v>
      </c>
      <c r="K73" s="2599">
        <f t="shared" si="23"/>
        <v>0</v>
      </c>
      <c r="L73" s="2599">
        <v>0</v>
      </c>
      <c r="M73" s="2599">
        <f t="shared" si="24"/>
        <v>0</v>
      </c>
      <c r="N73" s="2599">
        <f t="shared" si="24"/>
        <v>0</v>
      </c>
      <c r="AA73" s="2380"/>
      <c r="AB73" s="2380"/>
      <c r="AC73" s="2380"/>
      <c r="AD73" s="2380"/>
      <c r="AE73" s="2380"/>
      <c r="AF73" s="2380"/>
      <c r="AG73" s="2380"/>
      <c r="AH73" s="2380"/>
      <c r="AI73" s="2380"/>
      <c r="AJ73" s="2380"/>
      <c r="AK73" s="2380"/>
    </row>
    <row r="74" spans="1:37" s="2379" customFormat="1" ht="24">
      <c r="A74" s="1494" t="s">
        <v>1780</v>
      </c>
      <c r="B74" s="2596" t="str">
        <f>估价对象房地状况!C21</f>
        <v>估价对象所在区域公共配套设施齐备情况</v>
      </c>
      <c r="C74" s="1484"/>
      <c r="D74" s="2600">
        <f t="shared" si="20"/>
        <v>0</v>
      </c>
      <c r="E74" s="1513"/>
      <c r="F74" s="1502"/>
      <c r="G74" s="2598"/>
      <c r="H74" s="2616" t="str">
        <f t="shared" si="21"/>
        <v>——</v>
      </c>
      <c r="I74" s="1500">
        <v>0.08</v>
      </c>
      <c r="J74" s="2599">
        <f t="shared" si="22"/>
        <v>0</v>
      </c>
      <c r="K74" s="2599">
        <f t="shared" si="23"/>
        <v>0</v>
      </c>
      <c r="L74" s="2599">
        <v>0</v>
      </c>
      <c r="M74" s="2599">
        <f t="shared" si="24"/>
        <v>0</v>
      </c>
      <c r="N74" s="2599">
        <f t="shared" si="24"/>
        <v>0</v>
      </c>
      <c r="AA74" s="2380"/>
      <c r="AB74" s="2380"/>
      <c r="AC74" s="2380"/>
      <c r="AD74" s="2380"/>
      <c r="AE74" s="2380"/>
      <c r="AF74" s="2380"/>
      <c r="AG74" s="2380"/>
      <c r="AH74" s="2380"/>
      <c r="AI74" s="2380"/>
      <c r="AJ74" s="2380"/>
      <c r="AK74" s="2380"/>
    </row>
    <row r="75" spans="1:37" s="2379" customFormat="1" ht="24">
      <c r="A75" s="1494" t="s">
        <v>1781</v>
      </c>
      <c r="B75" s="2596" t="str">
        <f>估价对象房地状况!C22</f>
        <v>估价对象所在区域基础设施水平</v>
      </c>
      <c r="C75" s="1484"/>
      <c r="D75" s="2600">
        <f t="shared" si="20"/>
        <v>0</v>
      </c>
      <c r="E75" s="1513"/>
      <c r="F75" s="1502"/>
      <c r="G75" s="2598"/>
      <c r="H75" s="2616" t="str">
        <f t="shared" si="21"/>
        <v>——</v>
      </c>
      <c r="I75" s="1500">
        <v>0.12</v>
      </c>
      <c r="J75" s="2599">
        <f t="shared" si="22"/>
        <v>0</v>
      </c>
      <c r="K75" s="2599">
        <f t="shared" si="23"/>
        <v>0</v>
      </c>
      <c r="L75" s="2599">
        <v>0</v>
      </c>
      <c r="M75" s="2599">
        <f t="shared" si="24"/>
        <v>0</v>
      </c>
      <c r="N75" s="2599">
        <f t="shared" si="24"/>
        <v>0</v>
      </c>
      <c r="AA75" s="2380"/>
      <c r="AB75" s="2380"/>
      <c r="AC75" s="2380"/>
      <c r="AD75" s="2380"/>
      <c r="AE75" s="2380"/>
      <c r="AF75" s="2380"/>
      <c r="AG75" s="2380"/>
      <c r="AH75" s="2380"/>
      <c r="AI75" s="2380"/>
      <c r="AJ75" s="2380"/>
      <c r="AK75" s="2380"/>
    </row>
    <row r="76" spans="1:37" s="2383" customFormat="1" ht="24">
      <c r="A76" s="1494" t="s">
        <v>1779</v>
      </c>
      <c r="B76" s="3304" t="s">
        <v>3025</v>
      </c>
      <c r="C76" s="1484"/>
      <c r="D76" s="2600">
        <f t="shared" si="20"/>
        <v>0</v>
      </c>
      <c r="E76" s="1513"/>
      <c r="F76" s="1502"/>
      <c r="G76" s="2598"/>
      <c r="H76" s="2616" t="str">
        <f t="shared" si="21"/>
        <v>——</v>
      </c>
      <c r="I76" s="1500">
        <v>0.05</v>
      </c>
      <c r="J76" s="2599">
        <f t="shared" si="22"/>
        <v>0</v>
      </c>
      <c r="K76" s="2599">
        <f t="shared" si="23"/>
        <v>0</v>
      </c>
      <c r="L76" s="2599">
        <v>0</v>
      </c>
      <c r="M76" s="2599">
        <f t="shared" si="24"/>
        <v>0</v>
      </c>
      <c r="N76" s="2599">
        <f t="shared" si="24"/>
        <v>0</v>
      </c>
      <c r="AA76" s="2382"/>
      <c r="AB76" s="2380"/>
      <c r="AC76" s="2380"/>
      <c r="AD76" s="2380"/>
      <c r="AE76" s="2380"/>
      <c r="AF76" s="2380"/>
      <c r="AG76" s="2380"/>
      <c r="AH76" s="2382"/>
      <c r="AI76" s="2382"/>
      <c r="AJ76" s="2382"/>
      <c r="AK76" s="2382"/>
    </row>
    <row r="77" spans="1:37" ht="36">
      <c r="A77" s="1494" t="s">
        <v>1782</v>
      </c>
      <c r="B77" s="1499" t="str">
        <f>估价对象房地状况!C20</f>
        <v>区域自然环境：；人文环境；综合评价环境状况一般</v>
      </c>
      <c r="C77" s="1484"/>
      <c r="D77" s="2600">
        <f t="shared" si="20"/>
        <v>0</v>
      </c>
      <c r="E77" s="1513"/>
      <c r="F77" s="1502"/>
      <c r="G77" s="2598"/>
      <c r="H77" s="2616" t="str">
        <f t="shared" si="21"/>
        <v>——</v>
      </c>
      <c r="I77" s="1500">
        <v>0.15</v>
      </c>
      <c r="J77" s="2599">
        <f t="shared" si="22"/>
        <v>0</v>
      </c>
      <c r="K77" s="2599">
        <f t="shared" si="23"/>
        <v>0</v>
      </c>
      <c r="L77" s="2599">
        <v>0</v>
      </c>
      <c r="M77" s="2599">
        <f t="shared" si="24"/>
        <v>0</v>
      </c>
      <c r="N77" s="2599">
        <f t="shared" si="24"/>
        <v>0</v>
      </c>
      <c r="Z77" s="1624"/>
      <c r="AA77" s="1623"/>
      <c r="AG77" s="1622"/>
      <c r="AK77" s="1623"/>
    </row>
    <row r="78" spans="1:37" ht="24.75" thickBot="1">
      <c r="A78" s="1507" t="s">
        <v>1784</v>
      </c>
      <c r="B78" s="3303"/>
      <c r="C78" s="1484"/>
      <c r="D78" s="2600">
        <f t="shared" si="20"/>
        <v>0</v>
      </c>
      <c r="E78" s="1514"/>
      <c r="F78" s="1502"/>
      <c r="G78" s="2598"/>
      <c r="H78" s="2616" t="str">
        <f t="shared" si="21"/>
        <v>——</v>
      </c>
      <c r="I78" s="1509">
        <v>0.04</v>
      </c>
      <c r="J78" s="2599">
        <f t="shared" si="22"/>
        <v>0</v>
      </c>
      <c r="K78" s="2599">
        <f t="shared" si="23"/>
        <v>0</v>
      </c>
      <c r="L78" s="2599">
        <v>0</v>
      </c>
      <c r="M78" s="2599">
        <f t="shared" si="24"/>
        <v>0</v>
      </c>
      <c r="N78" s="2599">
        <f t="shared" si="24"/>
        <v>0</v>
      </c>
      <c r="Z78" s="1624"/>
      <c r="AA78" s="1623"/>
      <c r="AG78" s="1622"/>
      <c r="AK78" s="1623"/>
    </row>
    <row r="79" spans="1:37" ht="15">
      <c r="A79" s="1488" t="s">
        <v>1098</v>
      </c>
      <c r="B79" s="1489">
        <f>1+E81</f>
        <v>1</v>
      </c>
      <c r="C79" s="1511"/>
      <c r="D79" s="1491"/>
      <c r="E79" s="1492"/>
      <c r="F79" s="2133"/>
      <c r="G79" s="292"/>
      <c r="H79" s="292"/>
      <c r="I79" s="292"/>
      <c r="J79" s="1487"/>
      <c r="K79" s="1487"/>
      <c r="L79" s="1487"/>
      <c r="M79" s="1487"/>
      <c r="N79" s="1487"/>
      <c r="Z79" s="1624"/>
      <c r="AA79" s="1623"/>
      <c r="AG79" s="1622"/>
      <c r="AK79" s="1623"/>
    </row>
    <row r="80" spans="1:37" ht="24">
      <c r="A80" s="1494" t="s">
        <v>1773</v>
      </c>
      <c r="B80" s="1495"/>
      <c r="C80" s="1496" t="s">
        <v>1775</v>
      </c>
      <c r="D80" s="1497" t="s">
        <v>1846</v>
      </c>
      <c r="E80" s="1498" t="s">
        <v>1848</v>
      </c>
      <c r="F80" s="2601" t="s">
        <v>2290</v>
      </c>
      <c r="G80" s="1497" t="s">
        <v>1844</v>
      </c>
      <c r="H80" s="2602" t="s">
        <v>2494</v>
      </c>
      <c r="I80" s="1497" t="s">
        <v>1847</v>
      </c>
      <c r="J80" s="946" t="s">
        <v>421</v>
      </c>
      <c r="K80" s="946" t="s">
        <v>422</v>
      </c>
      <c r="L80" s="946" t="s">
        <v>423</v>
      </c>
      <c r="M80" s="946" t="s">
        <v>424</v>
      </c>
      <c r="N80" s="946" t="s">
        <v>425</v>
      </c>
      <c r="Z80" s="1624"/>
      <c r="AA80" s="1623"/>
      <c r="AG80" s="1622"/>
      <c r="AK80" s="1623"/>
    </row>
    <row r="81" spans="1:37" ht="36">
      <c r="A81" s="1494" t="s">
        <v>155</v>
      </c>
      <c r="B81" s="1503" t="str">
        <f>估价对象房地状况!G15</f>
        <v>估价对象位于XX开发区，园区建设成熟度XX，产业集聚程度XX</v>
      </c>
      <c r="C81" s="1484"/>
      <c r="D81" s="2600">
        <f t="shared" ref="D81:D88" si="25">SUMIF($J$80:$N$80,C81,J81:N81)</f>
        <v>0</v>
      </c>
      <c r="E81" s="1501">
        <f>ROUND(SUM(D81:D88),4)</f>
        <v>0</v>
      </c>
      <c r="F81" s="1502" t="str">
        <f>IF(E2="工业",SUMIF(L1:L12,G2,N1:N12),"——")</f>
        <v>——</v>
      </c>
      <c r="G81" s="2598"/>
      <c r="H81" s="2616" t="str">
        <f t="shared" ref="H81:H88" si="26">IFERROR(ROUNDDOWN($F$81*I81/2,4),"——")</f>
        <v>——</v>
      </c>
      <c r="I81" s="1500">
        <v>0.26</v>
      </c>
      <c r="J81" s="2599">
        <f t="shared" ref="J81:J88" si="27">K81+$G81</f>
        <v>0</v>
      </c>
      <c r="K81" s="2599">
        <f t="shared" ref="K81:K88" si="28">$L81+$G81</f>
        <v>0</v>
      </c>
      <c r="L81" s="2599">
        <v>0</v>
      </c>
      <c r="M81" s="2599">
        <f t="shared" ref="M81:N88" si="29">L81-$G81</f>
        <v>0</v>
      </c>
      <c r="N81" s="2599">
        <f t="shared" si="29"/>
        <v>0</v>
      </c>
      <c r="Z81" s="1624"/>
      <c r="AA81" s="1623"/>
      <c r="AG81" s="1622"/>
      <c r="AK81" s="1623"/>
    </row>
    <row r="82" spans="1:37" ht="48">
      <c r="A82" s="1494" t="s">
        <v>88</v>
      </c>
      <c r="B82" s="1503" t="str">
        <f>估价对象房地状况!G16</f>
        <v>估价对象周边道路状况、公共交通通达情况、停车便捷程度，综合评价交通便捷度较好</v>
      </c>
      <c r="C82" s="1484"/>
      <c r="D82" s="2600">
        <f t="shared" si="25"/>
        <v>0</v>
      </c>
      <c r="E82" s="1513"/>
      <c r="F82" s="1502"/>
      <c r="G82" s="2598"/>
      <c r="H82" s="2616" t="str">
        <f t="shared" si="26"/>
        <v>——</v>
      </c>
      <c r="I82" s="1500">
        <v>0.33</v>
      </c>
      <c r="J82" s="2599">
        <f t="shared" si="27"/>
        <v>0</v>
      </c>
      <c r="K82" s="2599">
        <f t="shared" si="28"/>
        <v>0</v>
      </c>
      <c r="L82" s="2599">
        <v>0</v>
      </c>
      <c r="M82" s="2599">
        <f t="shared" si="29"/>
        <v>0</v>
      </c>
      <c r="N82" s="2599">
        <f t="shared" si="29"/>
        <v>0</v>
      </c>
      <c r="Z82" s="1624"/>
      <c r="AA82" s="1623"/>
      <c r="AG82" s="1622"/>
      <c r="AK82" s="1623"/>
    </row>
    <row r="83" spans="1:37" ht="24">
      <c r="A83" s="1494" t="s">
        <v>105</v>
      </c>
      <c r="B83" s="1503">
        <f>估价对象房地状况!G17</f>
        <v>0</v>
      </c>
      <c r="C83" s="1484"/>
      <c r="D83" s="2600">
        <f t="shared" si="25"/>
        <v>0</v>
      </c>
      <c r="E83" s="1513"/>
      <c r="F83" s="1502"/>
      <c r="G83" s="2598"/>
      <c r="H83" s="2616" t="str">
        <f t="shared" si="26"/>
        <v>——</v>
      </c>
      <c r="I83" s="1500">
        <v>0.05</v>
      </c>
      <c r="J83" s="2599">
        <f t="shared" si="27"/>
        <v>0</v>
      </c>
      <c r="K83" s="2599">
        <f t="shared" si="28"/>
        <v>0</v>
      </c>
      <c r="L83" s="2599">
        <v>0</v>
      </c>
      <c r="M83" s="2599">
        <f t="shared" si="29"/>
        <v>0</v>
      </c>
      <c r="N83" s="2599">
        <f t="shared" si="29"/>
        <v>0</v>
      </c>
      <c r="Z83" s="1624"/>
      <c r="AA83" s="1623"/>
      <c r="AG83" s="1622"/>
      <c r="AK83" s="1623"/>
    </row>
    <row r="84" spans="1:37" ht="14.25">
      <c r="A84" s="1494" t="s">
        <v>1783</v>
      </c>
      <c r="B84" s="1503">
        <f>估价对象房地状况!G22</f>
        <v>0</v>
      </c>
      <c r="C84" s="1484"/>
      <c r="D84" s="2600">
        <f t="shared" si="25"/>
        <v>0</v>
      </c>
      <c r="E84" s="1513"/>
      <c r="F84" s="1502"/>
      <c r="G84" s="2598"/>
      <c r="H84" s="2616" t="str">
        <f t="shared" si="26"/>
        <v>——</v>
      </c>
      <c r="I84" s="1500">
        <v>0.04</v>
      </c>
      <c r="J84" s="2599">
        <f t="shared" si="27"/>
        <v>0</v>
      </c>
      <c r="K84" s="2599">
        <f t="shared" si="28"/>
        <v>0</v>
      </c>
      <c r="L84" s="2599">
        <v>0</v>
      </c>
      <c r="M84" s="2599">
        <f t="shared" si="29"/>
        <v>0</v>
      </c>
      <c r="N84" s="2599">
        <f t="shared" si="29"/>
        <v>0</v>
      </c>
      <c r="Z84" s="1624"/>
      <c r="AA84" s="1623"/>
      <c r="AG84" s="1622"/>
      <c r="AK84" s="1623"/>
    </row>
    <row r="85" spans="1:37" ht="24">
      <c r="A85" s="1494" t="s">
        <v>1780</v>
      </c>
      <c r="B85" s="2596" t="str">
        <f>估价对象房地状况!G19</f>
        <v>估价对象所在区域公共配套设施齐备情况</v>
      </c>
      <c r="C85" s="1484"/>
      <c r="D85" s="2600">
        <f t="shared" si="25"/>
        <v>0</v>
      </c>
      <c r="E85" s="1513"/>
      <c r="F85" s="1502"/>
      <c r="G85" s="2598"/>
      <c r="H85" s="2616" t="str">
        <f t="shared" si="26"/>
        <v>——</v>
      </c>
      <c r="I85" s="1500">
        <v>0.06</v>
      </c>
      <c r="J85" s="2599">
        <f t="shared" si="27"/>
        <v>0</v>
      </c>
      <c r="K85" s="2599">
        <f t="shared" si="28"/>
        <v>0</v>
      </c>
      <c r="L85" s="2599">
        <v>0</v>
      </c>
      <c r="M85" s="2599">
        <f t="shared" si="29"/>
        <v>0</v>
      </c>
      <c r="N85" s="2599">
        <f t="shared" si="29"/>
        <v>0</v>
      </c>
      <c r="Z85" s="1624"/>
      <c r="AA85" s="1623"/>
      <c r="AG85" s="1622"/>
      <c r="AK85" s="1623"/>
    </row>
    <row r="86" spans="1:37" ht="24">
      <c r="A86" s="1494" t="s">
        <v>1781</v>
      </c>
      <c r="B86" s="2596" t="str">
        <f>估价对象房地状况!G20</f>
        <v>估价对象所在区域基础设施水平</v>
      </c>
      <c r="C86" s="1484"/>
      <c r="D86" s="2600">
        <f t="shared" si="25"/>
        <v>0</v>
      </c>
      <c r="E86" s="1513"/>
      <c r="F86" s="1502"/>
      <c r="G86" s="2598"/>
      <c r="H86" s="2616" t="str">
        <f t="shared" si="26"/>
        <v>——</v>
      </c>
      <c r="I86" s="1500">
        <v>0.15</v>
      </c>
      <c r="J86" s="2599">
        <f t="shared" si="27"/>
        <v>0</v>
      </c>
      <c r="K86" s="2599">
        <f t="shared" si="28"/>
        <v>0</v>
      </c>
      <c r="L86" s="2599">
        <v>0</v>
      </c>
      <c r="M86" s="2599">
        <f t="shared" si="29"/>
        <v>0</v>
      </c>
      <c r="N86" s="2599">
        <f t="shared" si="29"/>
        <v>0</v>
      </c>
      <c r="Z86" s="1624"/>
      <c r="AA86" s="1623"/>
      <c r="AG86" s="1622"/>
      <c r="AK86" s="1623"/>
    </row>
    <row r="87" spans="1:37" ht="24">
      <c r="A87" s="1494" t="s">
        <v>1779</v>
      </c>
      <c r="B87" s="3304" t="s">
        <v>2492</v>
      </c>
      <c r="C87" s="1484"/>
      <c r="D87" s="2600">
        <f t="shared" si="25"/>
        <v>0</v>
      </c>
      <c r="E87" s="1513"/>
      <c r="F87" s="1502"/>
      <c r="G87" s="2598"/>
      <c r="H87" s="2616" t="str">
        <f t="shared" si="26"/>
        <v>——</v>
      </c>
      <c r="I87" s="1500">
        <v>0.05</v>
      </c>
      <c r="J87" s="2599">
        <f t="shared" si="27"/>
        <v>0</v>
      </c>
      <c r="K87" s="2599">
        <f t="shared" si="28"/>
        <v>0</v>
      </c>
      <c r="L87" s="2599">
        <v>0</v>
      </c>
      <c r="M87" s="2599">
        <f t="shared" si="29"/>
        <v>0</v>
      </c>
      <c r="N87" s="2599">
        <f t="shared" si="29"/>
        <v>0</v>
      </c>
      <c r="Z87" s="1624"/>
      <c r="AA87" s="1623"/>
      <c r="AG87" s="1622"/>
      <c r="AK87" s="1623"/>
    </row>
    <row r="88" spans="1:37" ht="36.75" thickBot="1">
      <c r="A88" s="1507" t="s">
        <v>1785</v>
      </c>
      <c r="B88" s="2597" t="str">
        <f>估价对象房地状况!G18</f>
        <v>该园区内是否有污染型企业，绿化情况，卫生条件，整体环境状况判断</v>
      </c>
      <c r="C88" s="1484"/>
      <c r="D88" s="2600">
        <f t="shared" si="25"/>
        <v>0</v>
      </c>
      <c r="E88" s="1514"/>
      <c r="F88" s="1502"/>
      <c r="G88" s="2598"/>
      <c r="H88" s="2616" t="str">
        <f t="shared" si="26"/>
        <v>——</v>
      </c>
      <c r="I88" s="1509">
        <v>0.06</v>
      </c>
      <c r="J88" s="2599">
        <f t="shared" si="27"/>
        <v>0</v>
      </c>
      <c r="K88" s="2599">
        <f t="shared" si="28"/>
        <v>0</v>
      </c>
      <c r="L88" s="2599">
        <v>0</v>
      </c>
      <c r="M88" s="2599">
        <f t="shared" si="29"/>
        <v>0</v>
      </c>
      <c r="N88" s="2599">
        <f t="shared" si="29"/>
        <v>0</v>
      </c>
      <c r="Z88" s="1624"/>
      <c r="AA88" s="1623"/>
      <c r="AG88" s="1622"/>
      <c r="AK88" s="1623"/>
    </row>
    <row r="90" spans="1:37">
      <c r="A90" s="3709" t="s">
        <v>1754</v>
      </c>
      <c r="B90" s="3709"/>
      <c r="C90" s="3709"/>
      <c r="D90" s="3709"/>
      <c r="E90" s="3709"/>
      <c r="F90" s="3709"/>
      <c r="G90" s="3709"/>
      <c r="H90" s="3709"/>
      <c r="I90" s="3709"/>
      <c r="J90" s="3709"/>
      <c r="K90" s="2605"/>
      <c r="L90" s="2605"/>
      <c r="M90" s="2605"/>
      <c r="N90" s="2605"/>
    </row>
    <row r="91" spans="1:37">
      <c r="A91" s="3711" t="s">
        <v>64</v>
      </c>
      <c r="B91" s="3711" t="s">
        <v>1755</v>
      </c>
      <c r="C91" s="1583" t="s">
        <v>1756</v>
      </c>
      <c r="D91" s="1584"/>
      <c r="E91" s="1584"/>
      <c r="F91" s="1584"/>
      <c r="G91" s="1584"/>
      <c r="H91" s="1584"/>
      <c r="I91" s="1584"/>
      <c r="J91" s="1585"/>
      <c r="K91" s="1573"/>
      <c r="L91" s="1573"/>
      <c r="M91" s="1573"/>
      <c r="N91" s="1573"/>
    </row>
    <row r="92" spans="1:37">
      <c r="A92" s="3711"/>
      <c r="B92" s="3711"/>
      <c r="C92" s="2604" t="s">
        <v>161</v>
      </c>
      <c r="D92" s="2604" t="s">
        <v>162</v>
      </c>
      <c r="E92" s="2604" t="s">
        <v>157</v>
      </c>
      <c r="F92" s="2604" t="s">
        <v>158</v>
      </c>
      <c r="G92" s="2604" t="s">
        <v>159</v>
      </c>
      <c r="H92" s="2604" t="s">
        <v>160</v>
      </c>
      <c r="I92" s="2604" t="s">
        <v>1171</v>
      </c>
      <c r="J92" s="2604" t="s">
        <v>1172</v>
      </c>
      <c r="K92" s="2604" t="s">
        <v>1173</v>
      </c>
      <c r="L92" s="2604" t="s">
        <v>1174</v>
      </c>
      <c r="M92" s="2604" t="s">
        <v>1175</v>
      </c>
      <c r="N92" s="2604" t="s">
        <v>1176</v>
      </c>
    </row>
    <row r="93" spans="1:37">
      <c r="A93" s="3712" t="s">
        <v>1757</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713"/>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713"/>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713"/>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713"/>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713"/>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713"/>
      <c r="B99" s="1586" t="s">
        <v>1758</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714"/>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712" t="s">
        <v>1759</v>
      </c>
      <c r="B101" s="1590" t="s">
        <v>89</v>
      </c>
      <c r="C101" s="1591">
        <f>$G$3</f>
        <v>4.1900000000000004</v>
      </c>
      <c r="D101" s="1591">
        <f t="shared" ref="D101:N101" si="31">$G$3</f>
        <v>4.1900000000000004</v>
      </c>
      <c r="E101" s="1591">
        <f t="shared" si="31"/>
        <v>4.1900000000000004</v>
      </c>
      <c r="F101" s="1591">
        <f t="shared" si="31"/>
        <v>4.1900000000000004</v>
      </c>
      <c r="G101" s="1591">
        <f t="shared" si="31"/>
        <v>4.1900000000000004</v>
      </c>
      <c r="H101" s="1591">
        <f t="shared" si="31"/>
        <v>4.1900000000000004</v>
      </c>
      <c r="I101" s="1591">
        <f t="shared" si="31"/>
        <v>4.1900000000000004</v>
      </c>
      <c r="J101" s="1591">
        <f t="shared" si="31"/>
        <v>4.1900000000000004</v>
      </c>
      <c r="K101" s="1591">
        <f t="shared" si="31"/>
        <v>4.1900000000000004</v>
      </c>
      <c r="L101" s="1591">
        <f t="shared" si="31"/>
        <v>4.1900000000000004</v>
      </c>
      <c r="M101" s="1591">
        <f t="shared" si="31"/>
        <v>4.1900000000000004</v>
      </c>
      <c r="N101" s="1591">
        <f t="shared" si="31"/>
        <v>4.1900000000000004</v>
      </c>
    </row>
    <row r="102" spans="1:14">
      <c r="A102" s="3713"/>
      <c r="B102" s="1586">
        <v>1</v>
      </c>
      <c r="C102" s="1587">
        <f>1.9362/C101</f>
        <v>0.46210023866348443</v>
      </c>
      <c r="D102" s="1587">
        <f>1.9362/D101</f>
        <v>0.46210023866348443</v>
      </c>
      <c r="E102" s="1587">
        <f>1.8629/E101</f>
        <v>0.44460620525059663</v>
      </c>
      <c r="F102" s="1587">
        <f>1.8629/F101</f>
        <v>0.44460620525059663</v>
      </c>
      <c r="G102" s="1587">
        <f>1.8629/G101</f>
        <v>0.44460620525059663</v>
      </c>
      <c r="H102" s="1587">
        <f>1.8629/H101</f>
        <v>0.44460620525059663</v>
      </c>
      <c r="I102" s="1587">
        <f>1.8629/I101</f>
        <v>0.44460620525059663</v>
      </c>
      <c r="J102" s="1587">
        <f>1.942/J101</f>
        <v>0.46348448687350829</v>
      </c>
      <c r="K102" s="1587">
        <f>1.942/K101</f>
        <v>0.46348448687350829</v>
      </c>
      <c r="L102" s="1587">
        <f>1.942/L101</f>
        <v>0.46348448687350829</v>
      </c>
      <c r="M102" s="1587">
        <f>1.942/M101</f>
        <v>0.46348448687350829</v>
      </c>
      <c r="N102" s="1587">
        <f>1.942/N101</f>
        <v>0.46348448687350829</v>
      </c>
    </row>
    <row r="103" spans="1:14">
      <c r="A103" s="3713"/>
      <c r="B103" s="1586">
        <v>2</v>
      </c>
      <c r="C103" s="1587">
        <f>1.4198/C101</f>
        <v>0.33885441527446297</v>
      </c>
      <c r="D103" s="1587">
        <f>1.4198/D101</f>
        <v>0.33885441527446297</v>
      </c>
      <c r="E103" s="1587">
        <f>1.3372/E101</f>
        <v>0.31914081145584722</v>
      </c>
      <c r="F103" s="1587">
        <f>1.3372/F101</f>
        <v>0.31914081145584722</v>
      </c>
      <c r="G103" s="1587">
        <f>1.3372/G101</f>
        <v>0.31914081145584722</v>
      </c>
      <c r="H103" s="1587">
        <f>1.3372/H101</f>
        <v>0.31914081145584722</v>
      </c>
      <c r="I103" s="1587">
        <f>1.3372/I101</f>
        <v>0.31914081145584722</v>
      </c>
      <c r="J103" s="1587">
        <f>1.2799/J101</f>
        <v>0.30546539379474941</v>
      </c>
      <c r="K103" s="1587">
        <f>1.2799/K101</f>
        <v>0.30546539379474941</v>
      </c>
      <c r="L103" s="1587">
        <f>1.2799/L101</f>
        <v>0.30546539379474941</v>
      </c>
      <c r="M103" s="1587">
        <f>1.2799/M101</f>
        <v>0.30546539379474941</v>
      </c>
      <c r="N103" s="1587">
        <f>1.2799/N101</f>
        <v>0.30546539379474941</v>
      </c>
    </row>
    <row r="104" spans="1:14">
      <c r="A104" s="3713"/>
      <c r="B104" s="1586">
        <v>3</v>
      </c>
      <c r="C104" s="1587">
        <f>1.1594/C101</f>
        <v>0.27670644391408111</v>
      </c>
      <c r="D104" s="1587">
        <f>1.1594/D101</f>
        <v>0.27670644391408111</v>
      </c>
      <c r="E104" s="1587">
        <f>1.0788/E101</f>
        <v>0.25747016706443909</v>
      </c>
      <c r="F104" s="1587">
        <f>1.0788/F101</f>
        <v>0.25747016706443909</v>
      </c>
      <c r="G104" s="1587">
        <f>1.0788/G101</f>
        <v>0.25747016706443909</v>
      </c>
      <c r="H104" s="1587">
        <f>1.0788/H101</f>
        <v>0.25747016706443909</v>
      </c>
      <c r="I104" s="1587">
        <f>1.0788/I101</f>
        <v>0.25747016706443909</v>
      </c>
      <c r="J104" s="1587">
        <f>1.0072/J101</f>
        <v>0.24038186157517899</v>
      </c>
      <c r="K104" s="1587">
        <f>1.0072/K101</f>
        <v>0.24038186157517899</v>
      </c>
      <c r="L104" s="1587">
        <f>1.0072/L101</f>
        <v>0.24038186157517899</v>
      </c>
      <c r="M104" s="1587">
        <f>1.0072/M101</f>
        <v>0.24038186157517899</v>
      </c>
      <c r="N104" s="1587">
        <f>1.0072/N101</f>
        <v>0.24038186157517899</v>
      </c>
    </row>
    <row r="105" spans="1:14">
      <c r="A105" s="3713"/>
      <c r="B105" s="1586">
        <v>4</v>
      </c>
      <c r="C105" s="1587">
        <f>0.9622/C101</f>
        <v>0.22964200477326968</v>
      </c>
      <c r="D105" s="1587">
        <f>0.9622/D101</f>
        <v>0.22964200477326968</v>
      </c>
      <c r="E105" s="1587">
        <f>0.8656/E101</f>
        <v>0.2065871121718377</v>
      </c>
      <c r="F105" s="1587">
        <f>0.8656/F101</f>
        <v>0.2065871121718377</v>
      </c>
      <c r="G105" s="1587">
        <f>0.8656/G101</f>
        <v>0.2065871121718377</v>
      </c>
      <c r="H105" s="1587">
        <f>0.8656/H101</f>
        <v>0.2065871121718377</v>
      </c>
      <c r="I105" s="1587">
        <f>0.8656/I101</f>
        <v>0.2065871121718377</v>
      </c>
      <c r="J105" s="1587">
        <f>0.7525/J101</f>
        <v>0.1795942720763723</v>
      </c>
      <c r="K105" s="1587">
        <f>0.7525/K101</f>
        <v>0.1795942720763723</v>
      </c>
      <c r="L105" s="1587">
        <f>0.7525/L101</f>
        <v>0.1795942720763723</v>
      </c>
      <c r="M105" s="1587">
        <f>0.7525/M101</f>
        <v>0.1795942720763723</v>
      </c>
      <c r="N105" s="1587">
        <f>0.7525/N101</f>
        <v>0.1795942720763723</v>
      </c>
    </row>
    <row r="106" spans="1:14">
      <c r="A106" s="3713"/>
      <c r="B106" s="1586">
        <v>5</v>
      </c>
      <c r="C106" s="1587">
        <f>0.8417/C101</f>
        <v>0.20088305489260141</v>
      </c>
      <c r="D106" s="1587">
        <f>0.8417/D101</f>
        <v>0.20088305489260141</v>
      </c>
      <c r="E106" s="1587">
        <f>0.7371/E101</f>
        <v>0.17591885441527444</v>
      </c>
      <c r="F106" s="1587">
        <f>0.7371/F101</f>
        <v>0.17591885441527444</v>
      </c>
      <c r="G106" s="1587">
        <f>0.7371/G101</f>
        <v>0.17591885441527444</v>
      </c>
      <c r="H106" s="1587">
        <f>0.7371/H101</f>
        <v>0.17591885441527444</v>
      </c>
      <c r="I106" s="1587">
        <f>0.7371/I101</f>
        <v>0.17591885441527444</v>
      </c>
      <c r="J106" s="1587">
        <f>0.5659/J101</f>
        <v>0.1350596658711217</v>
      </c>
      <c r="K106" s="1587">
        <f>0.5659/K101</f>
        <v>0.1350596658711217</v>
      </c>
      <c r="L106" s="1587">
        <f>0.5659/L101</f>
        <v>0.1350596658711217</v>
      </c>
      <c r="M106" s="1587">
        <f>0.5659/M101</f>
        <v>0.1350596658711217</v>
      </c>
      <c r="N106" s="1587">
        <f>0.5659/N101</f>
        <v>0.1350596658711217</v>
      </c>
    </row>
    <row r="107" spans="1:14">
      <c r="A107" s="3713"/>
      <c r="B107" s="1586">
        <v>6</v>
      </c>
      <c r="C107" s="1587">
        <f>0.7608/C101</f>
        <v>0.18157517899761336</v>
      </c>
      <c r="D107" s="1587">
        <f>0.7608/D101</f>
        <v>0.18157517899761336</v>
      </c>
      <c r="E107" s="1587">
        <f>0.6482/E101</f>
        <v>0.15470167064439139</v>
      </c>
      <c r="F107" s="1587">
        <f>0.6482/F101</f>
        <v>0.15470167064439139</v>
      </c>
      <c r="G107" s="1587">
        <f>0.6482/G101</f>
        <v>0.15470167064439139</v>
      </c>
      <c r="H107" s="1587">
        <f>0.6482/H101</f>
        <v>0.15470167064439139</v>
      </c>
      <c r="I107" s="1587">
        <f>0.6482/I101</f>
        <v>0.15470167064439139</v>
      </c>
      <c r="J107" s="1587">
        <f>0.4525/J101</f>
        <v>0.10799522673031026</v>
      </c>
      <c r="K107" s="1587">
        <f>0.4525/K101</f>
        <v>0.10799522673031026</v>
      </c>
      <c r="L107" s="1587">
        <f>0.4525/L101</f>
        <v>0.10799522673031026</v>
      </c>
      <c r="M107" s="1587">
        <f>0.4525/M101</f>
        <v>0.10799522673031026</v>
      </c>
      <c r="N107" s="1587">
        <f>0.4525/N101</f>
        <v>0.10799522673031026</v>
      </c>
    </row>
    <row r="108" spans="1:14">
      <c r="A108" s="3713"/>
      <c r="B108" s="3715" t="s">
        <v>1761</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714"/>
      <c r="B109" s="3716"/>
      <c r="C109" s="1589">
        <f>(-0.163*(C108^2)-0.59*C108+7617)*(10^(-4))/C101</f>
        <v>0.18178997613365155</v>
      </c>
      <c r="D109" s="1589">
        <f>(-0.163*(D108^2)-0.59*D108+7617)*(10^(-4))/D101</f>
        <v>0.18178997613365155</v>
      </c>
      <c r="E109" s="1589">
        <f>(-0.161*(E108^2)-7.509*E108+6533)*(10^(-4))/E101</f>
        <v>0.15591885441527445</v>
      </c>
      <c r="F109" s="1589">
        <f>(-0.161*(F108^2)-7.509*F108+6533)*(10^(-4))/F101</f>
        <v>0.15591885441527445</v>
      </c>
      <c r="G109" s="1589">
        <f>(-0.161*(G108^2)-7.509*G108+6533)*(10^(-4))/G101</f>
        <v>0.15591885441527445</v>
      </c>
      <c r="H109" s="1589">
        <f>(-0.161*(H108^2)-7.509*H108+6533)*(10^(-4))/H101</f>
        <v>0.15591885441527445</v>
      </c>
      <c r="I109" s="1589">
        <f>(-0.161*(I108^2)-7.509*I108+6533)*(10^(-4))/I101</f>
        <v>0.15591885441527445</v>
      </c>
      <c r="J109" s="1589">
        <f>(-0.214*(J108^2)-21.991*J108+4665)*(10^(-4))/J101</f>
        <v>0.11133651551312648</v>
      </c>
      <c r="K109" s="1589">
        <f>(-0.214*(K108^2)-21.991*K108+4665)*(10^(-4))/K101</f>
        <v>0.11133651551312648</v>
      </c>
      <c r="L109" s="1589">
        <f>(-0.214*(L108^2)-21.991*L108+4665)*(10^(-4))/L101</f>
        <v>0.11133651551312648</v>
      </c>
      <c r="M109" s="1589">
        <f>(-0.214*(M108^2)-21.991*M108+4665)*(10^(-4))/M101</f>
        <v>0.11133651551312648</v>
      </c>
      <c r="N109" s="1589">
        <f>(-0.214*(N108^2)-21.991*N108+4665)*(10^(-4))/N101</f>
        <v>0.11133651551312648</v>
      </c>
    </row>
    <row r="110" spans="1:14">
      <c r="A110" s="3710" t="s">
        <v>1762</v>
      </c>
      <c r="B110" s="3710"/>
      <c r="C110" s="3710"/>
      <c r="D110" s="3710"/>
      <c r="E110" s="3710"/>
      <c r="F110" s="3710"/>
      <c r="G110" s="3710"/>
      <c r="H110" s="3710"/>
      <c r="I110" s="3710"/>
      <c r="J110" s="3710"/>
      <c r="K110" s="2603"/>
      <c r="L110" s="2603"/>
      <c r="M110" s="2603"/>
      <c r="N110" s="2603"/>
    </row>
    <row r="112" spans="1:14" ht="12.75" thickBot="1"/>
    <row r="113" spans="1:13" ht="25.5" thickBot="1">
      <c r="A113" s="1599" t="s">
        <v>1764</v>
      </c>
      <c r="B113" s="2606">
        <f>G3</f>
        <v>4.1900000000000004</v>
      </c>
      <c r="C113" s="1600" t="s">
        <v>1765</v>
      </c>
      <c r="D113" s="1601">
        <f>SUMPRODUCT((A115:A118=F113)*(B114:M114=H113)*B115:M118)</f>
        <v>0.80220000000000002</v>
      </c>
      <c r="E113" s="1602" t="s">
        <v>64</v>
      </c>
      <c r="F113" s="1603" t="str">
        <f>E2</f>
        <v>办公</v>
      </c>
      <c r="G113" s="1602" t="s">
        <v>1554</v>
      </c>
      <c r="H113" s="1603" t="str">
        <f>G2</f>
        <v>五级</v>
      </c>
      <c r="I113" s="1602"/>
      <c r="J113" s="1594"/>
      <c r="K113" s="1594"/>
      <c r="L113" s="1594"/>
      <c r="M113" s="1594"/>
    </row>
    <row r="114" spans="1:13" ht="12.75">
      <c r="A114" s="1606"/>
      <c r="B114" s="1607" t="s">
        <v>161</v>
      </c>
      <c r="C114" s="1607" t="s">
        <v>162</v>
      </c>
      <c r="D114" s="1607" t="s">
        <v>157</v>
      </c>
      <c r="E114" s="1608" t="s">
        <v>158</v>
      </c>
      <c r="F114" s="1608" t="s">
        <v>159</v>
      </c>
      <c r="G114" s="1608" t="s">
        <v>160</v>
      </c>
      <c r="H114" s="1609" t="s">
        <v>1171</v>
      </c>
      <c r="I114" s="1609" t="s">
        <v>1172</v>
      </c>
      <c r="J114" s="1610" t="s">
        <v>1173</v>
      </c>
      <c r="K114" s="1610" t="s">
        <v>1174</v>
      </c>
      <c r="L114" s="1610" t="s">
        <v>1175</v>
      </c>
      <c r="M114" s="1611" t="s">
        <v>1176</v>
      </c>
    </row>
    <row r="115" spans="1:13" ht="12.75">
      <c r="A115" s="1612" t="s">
        <v>1766</v>
      </c>
      <c r="B115" s="1613">
        <f>ROUND(0.9335-0.0094*B113,4)</f>
        <v>0.89410000000000001</v>
      </c>
      <c r="C115" s="1613">
        <f>B115</f>
        <v>0.89410000000000001</v>
      </c>
      <c r="D115" s="1613">
        <f>ROUND(0.8331-0.0109*B113,4)</f>
        <v>0.78739999999999999</v>
      </c>
      <c r="E115" s="1613">
        <f>D115</f>
        <v>0.78739999999999999</v>
      </c>
      <c r="F115" s="1613">
        <f>E115</f>
        <v>0.78739999999999999</v>
      </c>
      <c r="G115" s="1613">
        <f>F115</f>
        <v>0.78739999999999999</v>
      </c>
      <c r="H115" s="1613">
        <f>G115</f>
        <v>0.78739999999999999</v>
      </c>
      <c r="I115" s="1613">
        <f>ROUND(0.689-0.0155*B113,4)</f>
        <v>0.62409999999999999</v>
      </c>
      <c r="J115" s="1613">
        <f t="shared" ref="J115:M118" si="33">I115</f>
        <v>0.62409999999999999</v>
      </c>
      <c r="K115" s="1613">
        <f t="shared" si="33"/>
        <v>0.62409999999999999</v>
      </c>
      <c r="L115" s="1613">
        <f t="shared" si="33"/>
        <v>0.62409999999999999</v>
      </c>
      <c r="M115" s="1614">
        <f t="shared" si="33"/>
        <v>0.62409999999999999</v>
      </c>
    </row>
    <row r="116" spans="1:13" ht="12.75">
      <c r="A116" s="1612" t="s">
        <v>1767</v>
      </c>
      <c r="B116" s="1613">
        <f>ROUND(0.949-0.012*B113,4)</f>
        <v>0.89870000000000005</v>
      </c>
      <c r="C116" s="1613">
        <f>B116</f>
        <v>0.89870000000000005</v>
      </c>
      <c r="D116" s="1613">
        <f>ROUND(0.8567-0.013*B113,4)</f>
        <v>0.80220000000000002</v>
      </c>
      <c r="E116" s="1613">
        <f t="shared" ref="E116:H117" si="34">D116</f>
        <v>0.80220000000000002</v>
      </c>
      <c r="F116" s="1613">
        <f t="shared" si="34"/>
        <v>0.80220000000000002</v>
      </c>
      <c r="G116" s="1613">
        <f t="shared" si="34"/>
        <v>0.80220000000000002</v>
      </c>
      <c r="H116" s="1613">
        <f t="shared" si="34"/>
        <v>0.80220000000000002</v>
      </c>
      <c r="I116" s="1613">
        <f>ROUND(0.7694-0.014*B113,4)</f>
        <v>0.7107</v>
      </c>
      <c r="J116" s="1613">
        <f t="shared" si="33"/>
        <v>0.7107</v>
      </c>
      <c r="K116" s="1613">
        <f t="shared" si="33"/>
        <v>0.7107</v>
      </c>
      <c r="L116" s="1613">
        <f t="shared" si="33"/>
        <v>0.7107</v>
      </c>
      <c r="M116" s="1614">
        <f t="shared" si="33"/>
        <v>0.7107</v>
      </c>
    </row>
    <row r="117" spans="1:13" ht="12.75">
      <c r="A117" s="1615" t="s">
        <v>976</v>
      </c>
      <c r="B117" s="1613">
        <f>ROUND(0.8808-0.006*B113,4)</f>
        <v>0.85570000000000002</v>
      </c>
      <c r="C117" s="1613">
        <f>B117</f>
        <v>0.85570000000000002</v>
      </c>
      <c r="D117" s="1613">
        <f>ROUND(0.8748-0.008*B113,4)</f>
        <v>0.84130000000000005</v>
      </c>
      <c r="E117" s="1613">
        <f t="shared" si="34"/>
        <v>0.84130000000000005</v>
      </c>
      <c r="F117" s="1613">
        <f t="shared" si="34"/>
        <v>0.84130000000000005</v>
      </c>
      <c r="G117" s="1613">
        <f t="shared" si="34"/>
        <v>0.84130000000000005</v>
      </c>
      <c r="H117" s="1613">
        <f t="shared" si="34"/>
        <v>0.84130000000000005</v>
      </c>
      <c r="I117" s="1613">
        <f>ROUND(0.7412-0.0095*B113,4)</f>
        <v>0.70140000000000002</v>
      </c>
      <c r="J117" s="1613">
        <f t="shared" si="33"/>
        <v>0.70140000000000002</v>
      </c>
      <c r="K117" s="1613">
        <f t="shared" si="33"/>
        <v>0.70140000000000002</v>
      </c>
      <c r="L117" s="1613">
        <f t="shared" si="33"/>
        <v>0.70140000000000002</v>
      </c>
      <c r="M117" s="1614">
        <f t="shared" si="33"/>
        <v>0.70140000000000002</v>
      </c>
    </row>
    <row r="118" spans="1:13" ht="13.5" thickBot="1">
      <c r="A118" s="1123" t="s">
        <v>1768</v>
      </c>
      <c r="B118" s="1616">
        <f>ROUND(0.7275-0.01*B113,4)</f>
        <v>0.68559999999999999</v>
      </c>
      <c r="C118" s="1616">
        <f>B118</f>
        <v>0.68559999999999999</v>
      </c>
      <c r="D118" s="1616">
        <f>ROUND(0.7043-0.012*B113,4)</f>
        <v>0.65400000000000003</v>
      </c>
      <c r="E118" s="1616">
        <f>D118</f>
        <v>0.65400000000000003</v>
      </c>
      <c r="F118" s="1616">
        <f>E118</f>
        <v>0.65400000000000003</v>
      </c>
      <c r="G118" s="1616">
        <f>ROUND(0.6299-0.0122*B113,4)</f>
        <v>0.57879999999999998</v>
      </c>
      <c r="H118" s="1616">
        <f>G118</f>
        <v>0.57879999999999998</v>
      </c>
      <c r="I118" s="1616">
        <f>ROUND(0.5667-0.0136*B113,4)</f>
        <v>0.50970000000000004</v>
      </c>
      <c r="J118" s="1616">
        <f t="shared" si="33"/>
        <v>0.50970000000000004</v>
      </c>
      <c r="K118" s="1616">
        <f t="shared" si="33"/>
        <v>0.50970000000000004</v>
      </c>
      <c r="L118" s="1616">
        <f t="shared" si="33"/>
        <v>0.50970000000000004</v>
      </c>
      <c r="M118" s="1617">
        <f t="shared" si="33"/>
        <v>0.50970000000000004</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1554</v>
      </c>
      <c r="B1" s="1518" t="s">
        <v>1165</v>
      </c>
      <c r="C1" s="1518" t="s">
        <v>1166</v>
      </c>
      <c r="D1" s="1518" t="s">
        <v>1167</v>
      </c>
      <c r="E1" s="1518" t="s">
        <v>1168</v>
      </c>
      <c r="F1" s="1518" t="s">
        <v>1169</v>
      </c>
      <c r="G1" s="1518" t="s">
        <v>1170</v>
      </c>
      <c r="H1" s="1518" t="s">
        <v>1171</v>
      </c>
      <c r="I1" s="1518" t="s">
        <v>1172</v>
      </c>
      <c r="J1" s="1518" t="s">
        <v>1173</v>
      </c>
      <c r="K1" s="1518" t="s">
        <v>1174</v>
      </c>
      <c r="L1" s="1518" t="s">
        <v>1175</v>
      </c>
      <c r="M1" s="1519" t="s">
        <v>1176</v>
      </c>
    </row>
    <row r="2" spans="1:13" ht="19.5" customHeight="1">
      <c r="A2" s="1544" t="s">
        <v>1191</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1192</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1841</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1194</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1555</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1556</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1557</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1558</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1559</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1560</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1561</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1562</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1563</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1564</v>
      </c>
      <c r="B16" s="1563"/>
      <c r="C16" s="1564"/>
      <c r="D16" s="1564"/>
      <c r="E16" s="1563"/>
      <c r="F16" s="1564"/>
      <c r="G16" s="1564"/>
    </row>
    <row r="17" spans="1:9" ht="19.5" customHeight="1">
      <c r="A17" s="1495" t="s">
        <v>1565</v>
      </c>
      <c r="B17" s="1566" t="s">
        <v>1566</v>
      </c>
      <c r="C17" s="1748" t="s">
        <v>1864</v>
      </c>
      <c r="D17" s="1567"/>
      <c r="E17" s="1495" t="s">
        <v>1567</v>
      </c>
      <c r="F17" s="1568"/>
      <c r="G17" s="1568"/>
    </row>
    <row r="18" spans="1:9" s="1574" customFormat="1" ht="19.5" customHeight="1">
      <c r="A18" s="3711" t="s">
        <v>1191</v>
      </c>
      <c r="B18" s="1569" t="s">
        <v>1568</v>
      </c>
      <c r="C18" s="1570" t="s">
        <v>1569</v>
      </c>
      <c r="D18" s="1571"/>
      <c r="E18" s="1569">
        <v>1</v>
      </c>
      <c r="F18" s="1572" t="s">
        <v>1570</v>
      </c>
      <c r="G18" s="1573"/>
      <c r="H18" s="1565"/>
      <c r="I18" s="1565"/>
    </row>
    <row r="19" spans="1:9" s="1574" customFormat="1" ht="19.5" customHeight="1">
      <c r="A19" s="3711"/>
      <c r="B19" s="3711" t="s">
        <v>1571</v>
      </c>
      <c r="C19" s="1570" t="s">
        <v>1572</v>
      </c>
      <c r="D19" s="1571"/>
      <c r="E19" s="1569">
        <v>0.9</v>
      </c>
      <c r="F19" s="1572" t="s">
        <v>1573</v>
      </c>
      <c r="G19" s="1573"/>
      <c r="H19" s="1565"/>
      <c r="I19" s="1565"/>
    </row>
    <row r="20" spans="1:9" s="1574" customFormat="1" ht="19.5" customHeight="1">
      <c r="A20" s="3711"/>
      <c r="B20" s="3711"/>
      <c r="C20" s="1570" t="s">
        <v>1574</v>
      </c>
      <c r="D20" s="1571"/>
      <c r="E20" s="1569">
        <v>1.1000000000000001</v>
      </c>
      <c r="F20" s="1572" t="s">
        <v>1575</v>
      </c>
      <c r="G20" s="1573"/>
      <c r="H20" s="1565"/>
      <c r="I20" s="1565"/>
    </row>
    <row r="21" spans="1:9" s="1574" customFormat="1" ht="19.5" customHeight="1">
      <c r="A21" s="3711"/>
      <c r="B21" s="3711"/>
      <c r="C21" s="1570" t="s">
        <v>1576</v>
      </c>
      <c r="D21" s="1571"/>
      <c r="E21" s="1569">
        <v>0.8</v>
      </c>
      <c r="F21" s="1572" t="s">
        <v>1577</v>
      </c>
      <c r="G21" s="1573"/>
      <c r="H21" s="1565"/>
      <c r="I21" s="1565"/>
    </row>
    <row r="22" spans="1:9" s="1574" customFormat="1" ht="19.5" customHeight="1">
      <c r="A22" s="3711"/>
      <c r="B22" s="3711"/>
      <c r="C22" s="1570" t="s">
        <v>1578</v>
      </c>
      <c r="D22" s="1571"/>
      <c r="E22" s="1569">
        <v>0.5</v>
      </c>
      <c r="F22" s="1572"/>
      <c r="G22" s="1573"/>
      <c r="H22" s="1565"/>
      <c r="I22" s="1565"/>
    </row>
    <row r="23" spans="1:9" s="1574" customFormat="1" ht="19.5" customHeight="1">
      <c r="A23" s="3711" t="s">
        <v>1192</v>
      </c>
      <c r="B23" s="1569" t="s">
        <v>1568</v>
      </c>
      <c r="C23" s="1570" t="s">
        <v>1579</v>
      </c>
      <c r="D23" s="1571"/>
      <c r="E23" s="1569">
        <v>1</v>
      </c>
      <c r="F23" s="1572" t="s">
        <v>1580</v>
      </c>
      <c r="G23" s="1573"/>
      <c r="H23" s="1565"/>
      <c r="I23" s="1565"/>
    </row>
    <row r="24" spans="1:9" s="1574" customFormat="1" ht="19.5" customHeight="1">
      <c r="A24" s="3711"/>
      <c r="B24" s="3711" t="s">
        <v>1571</v>
      </c>
      <c r="C24" s="1570" t="s">
        <v>1581</v>
      </c>
      <c r="D24" s="1571"/>
      <c r="E24" s="1569">
        <v>0.5</v>
      </c>
      <c r="F24" s="1572"/>
      <c r="G24" s="1573"/>
      <c r="H24" s="1565"/>
      <c r="I24" s="1565"/>
    </row>
    <row r="25" spans="1:9" s="1574" customFormat="1" ht="19.5" customHeight="1">
      <c r="A25" s="3711"/>
      <c r="B25" s="3711"/>
      <c r="C25" s="1570" t="s">
        <v>1582</v>
      </c>
      <c r="D25" s="1571"/>
      <c r="E25" s="1569">
        <v>1.1000000000000001</v>
      </c>
      <c r="F25" s="1572"/>
      <c r="G25" s="1573"/>
      <c r="H25" s="1565"/>
      <c r="I25" s="1565"/>
    </row>
    <row r="26" spans="1:9" s="1574" customFormat="1" ht="19.5" customHeight="1">
      <c r="A26" s="3711"/>
      <c r="B26" s="3711"/>
      <c r="C26" s="1570" t="s">
        <v>1583</v>
      </c>
      <c r="D26" s="1571"/>
      <c r="E26" s="1569">
        <v>1.1000000000000001</v>
      </c>
      <c r="F26" s="1572"/>
      <c r="G26" s="1573"/>
      <c r="H26" s="1565"/>
      <c r="I26" s="1565"/>
    </row>
    <row r="27" spans="1:9" s="1574" customFormat="1" ht="19.5" customHeight="1">
      <c r="A27" s="3711"/>
      <c r="B27" s="3711"/>
      <c r="C27" s="1570" t="s">
        <v>1584</v>
      </c>
      <c r="D27" s="1571"/>
      <c r="E27" s="1569">
        <v>0.9</v>
      </c>
      <c r="F27" s="1572" t="s">
        <v>1585</v>
      </c>
      <c r="G27" s="1573"/>
      <c r="H27" s="1565"/>
      <c r="I27" s="1565"/>
    </row>
    <row r="28" spans="1:9" s="1574" customFormat="1" ht="19.5" customHeight="1">
      <c r="A28" s="3711"/>
      <c r="B28" s="3711"/>
      <c r="C28" s="1570" t="s">
        <v>1586</v>
      </c>
      <c r="D28" s="1571"/>
      <c r="E28" s="1569">
        <v>0.9</v>
      </c>
      <c r="F28" s="1572" t="s">
        <v>1587</v>
      </c>
      <c r="G28" s="1573"/>
      <c r="H28" s="1565"/>
      <c r="I28" s="1565"/>
    </row>
    <row r="29" spans="1:9" s="1574" customFormat="1" ht="19.5" customHeight="1">
      <c r="A29" s="3711"/>
      <c r="B29" s="3711"/>
      <c r="C29" s="1570" t="s">
        <v>1588</v>
      </c>
      <c r="D29" s="1571"/>
      <c r="E29" s="1569">
        <v>0.9</v>
      </c>
      <c r="F29" s="1572" t="s">
        <v>1589</v>
      </c>
      <c r="G29" s="1573"/>
      <c r="H29" s="1565"/>
      <c r="I29" s="1565"/>
    </row>
    <row r="30" spans="1:9" s="1574" customFormat="1" ht="19.5" customHeight="1">
      <c r="A30" s="3711"/>
      <c r="B30" s="3711"/>
      <c r="C30" s="1570" t="s">
        <v>1590</v>
      </c>
      <c r="D30" s="1571"/>
      <c r="E30" s="1569">
        <v>0.9</v>
      </c>
      <c r="F30" s="1572" t="s">
        <v>1591</v>
      </c>
      <c r="G30" s="1573"/>
      <c r="H30" s="1565"/>
      <c r="I30" s="1565"/>
    </row>
    <row r="31" spans="1:9" s="1574" customFormat="1" ht="19.5" customHeight="1">
      <c r="A31" s="3711"/>
      <c r="B31" s="3711"/>
      <c r="C31" s="1570" t="s">
        <v>1592</v>
      </c>
      <c r="D31" s="1571"/>
      <c r="E31" s="1569">
        <v>0.8</v>
      </c>
      <c r="F31" s="1572" t="s">
        <v>1593</v>
      </c>
      <c r="G31" s="1573"/>
      <c r="H31" s="1565"/>
      <c r="I31" s="1565"/>
    </row>
    <row r="32" spans="1:9" s="1574" customFormat="1" ht="19.5" customHeight="1">
      <c r="A32" s="3711"/>
      <c r="B32" s="3711"/>
      <c r="C32" s="1570" t="s">
        <v>1594</v>
      </c>
      <c r="D32" s="1571"/>
      <c r="E32" s="1569">
        <v>0.8</v>
      </c>
      <c r="F32" s="1572" t="s">
        <v>1595</v>
      </c>
      <c r="G32" s="1573"/>
      <c r="H32" s="1565"/>
      <c r="I32" s="1565"/>
    </row>
    <row r="33" spans="1:9" s="1574" customFormat="1" ht="19.5" customHeight="1">
      <c r="A33" s="3711" t="s">
        <v>1193</v>
      </c>
      <c r="B33" s="1569" t="s">
        <v>1568</v>
      </c>
      <c r="C33" s="1570" t="s">
        <v>1596</v>
      </c>
      <c r="D33" s="1571"/>
      <c r="E33" s="1569">
        <v>1</v>
      </c>
      <c r="F33" s="1572" t="s">
        <v>1597</v>
      </c>
      <c r="G33" s="1573"/>
      <c r="H33" s="1565"/>
      <c r="I33" s="1565"/>
    </row>
    <row r="34" spans="1:9" s="1574" customFormat="1" ht="19.5" customHeight="1">
      <c r="A34" s="3711"/>
      <c r="B34" s="1569" t="s">
        <v>1571</v>
      </c>
      <c r="C34" s="1570" t="s">
        <v>1598</v>
      </c>
      <c r="D34" s="1571"/>
      <c r="E34" s="1569">
        <v>1.5</v>
      </c>
      <c r="F34" s="1572" t="s">
        <v>1599</v>
      </c>
      <c r="G34" s="1573"/>
      <c r="H34" s="1565"/>
      <c r="I34" s="1565"/>
    </row>
    <row r="35" spans="1:9" s="1574" customFormat="1" ht="19.5" customHeight="1">
      <c r="A35" s="3711" t="s">
        <v>1194</v>
      </c>
      <c r="B35" s="1569" t="s">
        <v>1568</v>
      </c>
      <c r="C35" s="1570" t="s">
        <v>1600</v>
      </c>
      <c r="D35" s="1571"/>
      <c r="E35" s="1569">
        <v>1</v>
      </c>
      <c r="F35" s="1572" t="s">
        <v>1601</v>
      </c>
      <c r="G35" s="1573"/>
      <c r="H35" s="1565"/>
      <c r="I35" s="1565"/>
    </row>
    <row r="36" spans="1:9" s="1574" customFormat="1" ht="19.5" customHeight="1">
      <c r="A36" s="3711"/>
      <c r="B36" s="3711" t="s">
        <v>1571</v>
      </c>
      <c r="C36" s="1570" t="s">
        <v>1602</v>
      </c>
      <c r="D36" s="1571"/>
      <c r="E36" s="1569">
        <v>1</v>
      </c>
      <c r="F36" s="1572" t="s">
        <v>1603</v>
      </c>
      <c r="G36" s="1573"/>
      <c r="H36" s="1565"/>
      <c r="I36" s="1565"/>
    </row>
    <row r="37" spans="1:9" s="1574" customFormat="1" ht="19.5" customHeight="1">
      <c r="A37" s="3711"/>
      <c r="B37" s="3711"/>
      <c r="C37" s="1570" t="s">
        <v>1604</v>
      </c>
      <c r="D37" s="1571"/>
      <c r="E37" s="1569">
        <v>1.5</v>
      </c>
      <c r="F37" s="1572" t="s">
        <v>1605</v>
      </c>
      <c r="G37" s="1573"/>
      <c r="H37" s="1565"/>
      <c r="I37" s="1565"/>
    </row>
    <row r="38" spans="1:9" s="1574" customFormat="1" ht="19.5" customHeight="1">
      <c r="A38" s="3711"/>
      <c r="B38" s="3711"/>
      <c r="C38" s="1570" t="s">
        <v>1606</v>
      </c>
      <c r="D38" s="1571"/>
      <c r="E38" s="1569">
        <v>1</v>
      </c>
      <c r="F38" s="1572" t="s">
        <v>1607</v>
      </c>
      <c r="G38" s="1573"/>
      <c r="H38" s="1565"/>
      <c r="I38" s="1565"/>
    </row>
    <row r="39" spans="1:9" s="1574" customFormat="1" ht="19.5" customHeight="1">
      <c r="A39" s="3711"/>
      <c r="B39" s="3711"/>
      <c r="C39" s="1570" t="s">
        <v>1608</v>
      </c>
      <c r="D39" s="1571"/>
      <c r="E39" s="1569">
        <v>1</v>
      </c>
      <c r="F39" s="1572" t="s">
        <v>1609</v>
      </c>
      <c r="G39" s="1573"/>
      <c r="H39" s="1565"/>
      <c r="I39" s="1565"/>
    </row>
    <row r="40" spans="1:9" s="1574" customFormat="1" ht="19.5" customHeight="1">
      <c r="A40" s="1575" t="s">
        <v>1610</v>
      </c>
      <c r="B40" s="1575"/>
      <c r="C40" s="1575"/>
      <c r="D40" s="1575"/>
      <c r="E40" s="1575"/>
      <c r="F40" s="1576"/>
      <c r="G40" s="1576"/>
      <c r="H40" s="1565"/>
      <c r="I40" s="1565"/>
    </row>
    <row r="42" spans="1:9" ht="19.5" customHeight="1">
      <c r="A42" s="1577"/>
      <c r="B42" s="1495" t="s">
        <v>1611</v>
      </c>
      <c r="C42" s="1495" t="s">
        <v>1611</v>
      </c>
      <c r="D42" s="1495" t="s">
        <v>1611</v>
      </c>
      <c r="E42" s="1506" t="s">
        <v>1611</v>
      </c>
      <c r="F42" s="1506" t="s">
        <v>1611</v>
      </c>
      <c r="G42" s="1506" t="s">
        <v>1612</v>
      </c>
      <c r="H42" s="1506" t="s">
        <v>1611</v>
      </c>
    </row>
    <row r="43" spans="1:9" ht="19.5" customHeight="1">
      <c r="A43" s="1578"/>
      <c r="B43" s="1506" t="s">
        <v>1191</v>
      </c>
      <c r="C43" s="1506" t="s">
        <v>1191</v>
      </c>
      <c r="D43" s="1506" t="s">
        <v>1191</v>
      </c>
      <c r="E43" s="1506" t="s">
        <v>1191</v>
      </c>
      <c r="F43" s="1495" t="s">
        <v>1192</v>
      </c>
      <c r="G43" s="1495" t="s">
        <v>1194</v>
      </c>
      <c r="H43" s="1495" t="s">
        <v>1613</v>
      </c>
    </row>
    <row r="44" spans="1:9" ht="19.5" customHeight="1">
      <c r="A44" s="1579"/>
      <c r="B44" s="1495">
        <v>1</v>
      </c>
      <c r="C44" s="1495">
        <v>2</v>
      </c>
      <c r="D44" s="1495">
        <v>3</v>
      </c>
      <c r="E44" s="1506">
        <v>4</v>
      </c>
      <c r="F44" s="1567" t="s">
        <v>1614</v>
      </c>
      <c r="G44" s="1567" t="s">
        <v>1614</v>
      </c>
      <c r="H44" s="1567" t="s">
        <v>1614</v>
      </c>
    </row>
    <row r="45" spans="1:9" ht="19.5" customHeight="1">
      <c r="A45" s="1580" t="s">
        <v>1165</v>
      </c>
      <c r="B45" s="1495">
        <v>0.8</v>
      </c>
      <c r="C45" s="1495">
        <v>0.5</v>
      </c>
      <c r="D45" s="1495">
        <v>0.36</v>
      </c>
      <c r="E45" s="1495">
        <v>0.3</v>
      </c>
      <c r="F45" s="1567">
        <v>0.3</v>
      </c>
      <c r="G45" s="1495">
        <v>0.3</v>
      </c>
      <c r="H45" s="1495">
        <v>0.25</v>
      </c>
    </row>
    <row r="46" spans="1:9" ht="19.5" customHeight="1">
      <c r="A46" s="1580" t="s">
        <v>1166</v>
      </c>
      <c r="B46" s="1495">
        <v>0.8</v>
      </c>
      <c r="C46" s="1495">
        <v>0.5</v>
      </c>
      <c r="D46" s="1495">
        <v>0.36</v>
      </c>
      <c r="E46" s="1495">
        <v>0.3</v>
      </c>
      <c r="F46" s="1495">
        <v>0.3</v>
      </c>
      <c r="G46" s="1495">
        <v>0.3</v>
      </c>
      <c r="H46" s="1495">
        <v>0.25</v>
      </c>
    </row>
    <row r="47" spans="1:9" ht="19.5" customHeight="1">
      <c r="A47" s="1580" t="s">
        <v>1167</v>
      </c>
      <c r="B47" s="1495">
        <v>0.7</v>
      </c>
      <c r="C47" s="1495">
        <v>0.4</v>
      </c>
      <c r="D47" s="1495">
        <v>0.28000000000000003</v>
      </c>
      <c r="E47" s="1495">
        <v>0.25</v>
      </c>
      <c r="F47" s="1495">
        <v>0.25</v>
      </c>
      <c r="G47" s="1495">
        <v>0.25</v>
      </c>
      <c r="H47" s="1495">
        <v>0.2</v>
      </c>
    </row>
    <row r="48" spans="1:9" ht="19.5" customHeight="1">
      <c r="A48" s="1580" t="s">
        <v>1168</v>
      </c>
      <c r="B48" s="1495">
        <v>0.7</v>
      </c>
      <c r="C48" s="1495">
        <v>0.4</v>
      </c>
      <c r="D48" s="1495">
        <v>0.28000000000000003</v>
      </c>
      <c r="E48" s="1495">
        <v>0.25</v>
      </c>
      <c r="F48" s="1495">
        <v>0.25</v>
      </c>
      <c r="G48" s="1495">
        <v>0.25</v>
      </c>
      <c r="H48" s="1495">
        <v>0.2</v>
      </c>
    </row>
    <row r="49" spans="1:8" s="1565" customFormat="1" ht="19.5" customHeight="1">
      <c r="A49" s="1580" t="s">
        <v>1169</v>
      </c>
      <c r="B49" s="1495">
        <v>0.7</v>
      </c>
      <c r="C49" s="1495">
        <v>0.4</v>
      </c>
      <c r="D49" s="1495">
        <v>0.28000000000000003</v>
      </c>
      <c r="E49" s="1495">
        <v>0.25</v>
      </c>
      <c r="F49" s="1495">
        <v>0.25</v>
      </c>
      <c r="G49" s="1495">
        <v>0.25</v>
      </c>
      <c r="H49" s="1495">
        <v>0.2</v>
      </c>
    </row>
    <row r="50" spans="1:8" s="1565" customFormat="1" ht="19.5" customHeight="1">
      <c r="A50" s="1580" t="s">
        <v>1170</v>
      </c>
      <c r="B50" s="1495">
        <v>0.7</v>
      </c>
      <c r="C50" s="1495">
        <v>0.4</v>
      </c>
      <c r="D50" s="1495">
        <v>0.28000000000000003</v>
      </c>
      <c r="E50" s="1495">
        <v>0.25</v>
      </c>
      <c r="F50" s="1495">
        <v>0.25</v>
      </c>
      <c r="G50" s="1495">
        <v>0.25</v>
      </c>
      <c r="H50" s="1495">
        <v>0.2</v>
      </c>
    </row>
    <row r="51" spans="1:8" s="1565" customFormat="1" ht="19.5" customHeight="1">
      <c r="A51" s="1580" t="s">
        <v>1171</v>
      </c>
      <c r="B51" s="1495">
        <v>0.7</v>
      </c>
      <c r="C51" s="1495">
        <v>0.4</v>
      </c>
      <c r="D51" s="1495">
        <v>0.28000000000000003</v>
      </c>
      <c r="E51" s="1495">
        <v>0.25</v>
      </c>
      <c r="F51" s="1495">
        <v>0.25</v>
      </c>
      <c r="G51" s="1495">
        <v>0.25</v>
      </c>
      <c r="H51" s="1495">
        <v>0.2</v>
      </c>
    </row>
    <row r="52" spans="1:8" s="1565" customFormat="1" ht="19.5" customHeight="1">
      <c r="A52" s="1580" t="s">
        <v>1172</v>
      </c>
      <c r="B52" s="1495">
        <v>0.6</v>
      </c>
      <c r="C52" s="1495">
        <v>0.3</v>
      </c>
      <c r="D52" s="1495">
        <v>0.2</v>
      </c>
      <c r="E52" s="1495">
        <v>0.2</v>
      </c>
      <c r="F52" s="1495">
        <v>0.2</v>
      </c>
      <c r="G52" s="1495">
        <v>0.2</v>
      </c>
      <c r="H52" s="1495">
        <v>0.15</v>
      </c>
    </row>
    <row r="53" spans="1:8" s="1565" customFormat="1" ht="19.5" customHeight="1">
      <c r="A53" s="1580" t="s">
        <v>1173</v>
      </c>
      <c r="B53" s="1495">
        <v>0.6</v>
      </c>
      <c r="C53" s="1495">
        <v>0.3</v>
      </c>
      <c r="D53" s="1495">
        <v>0.2</v>
      </c>
      <c r="E53" s="1495">
        <v>0.2</v>
      </c>
      <c r="F53" s="1495">
        <v>0.2</v>
      </c>
      <c r="G53" s="1495">
        <v>0.2</v>
      </c>
      <c r="H53" s="1495">
        <v>0.15</v>
      </c>
    </row>
    <row r="54" spans="1:8" s="1565" customFormat="1" ht="19.5" customHeight="1">
      <c r="A54" s="1580" t="s">
        <v>1174</v>
      </c>
      <c r="B54" s="1495">
        <v>0.6</v>
      </c>
      <c r="C54" s="1495">
        <v>0.3</v>
      </c>
      <c r="D54" s="1495">
        <v>0.2</v>
      </c>
      <c r="E54" s="1495">
        <v>0.2</v>
      </c>
      <c r="F54" s="1495">
        <v>0.2</v>
      </c>
      <c r="G54" s="1495">
        <v>0.2</v>
      </c>
      <c r="H54" s="1495">
        <v>0.15</v>
      </c>
    </row>
    <row r="55" spans="1:8" s="1565" customFormat="1" ht="19.5" customHeight="1">
      <c r="A55" s="1580" t="s">
        <v>1175</v>
      </c>
      <c r="B55" s="1495">
        <v>0.6</v>
      </c>
      <c r="C55" s="1495">
        <v>0.3</v>
      </c>
      <c r="D55" s="1495">
        <v>0.2</v>
      </c>
      <c r="E55" s="1495">
        <v>0.2</v>
      </c>
      <c r="F55" s="1495">
        <v>0.2</v>
      </c>
      <c r="G55" s="1495">
        <v>0.2</v>
      </c>
      <c r="H55" s="1495">
        <v>0.15</v>
      </c>
    </row>
    <row r="56" spans="1:8" s="1565" customFormat="1" ht="19.5" customHeight="1">
      <c r="A56" s="1580" t="s">
        <v>1176</v>
      </c>
      <c r="B56" s="1495">
        <v>0.6</v>
      </c>
      <c r="C56" s="1495">
        <v>0.3</v>
      </c>
      <c r="D56" s="1495">
        <v>0.2</v>
      </c>
      <c r="E56" s="1495">
        <v>0.2</v>
      </c>
      <c r="F56" s="1495">
        <v>0.2</v>
      </c>
      <c r="G56" s="1495">
        <v>0.2</v>
      </c>
      <c r="H56" s="1495">
        <v>0.15</v>
      </c>
    </row>
    <row r="58" spans="1:8" s="1565" customFormat="1" ht="19.5" customHeight="1">
      <c r="A58" s="1581"/>
      <c r="B58" s="1563"/>
      <c r="C58" s="1563"/>
      <c r="D58" s="1563" t="s">
        <v>1615</v>
      </c>
      <c r="E58" s="1563"/>
      <c r="F58" s="1563"/>
    </row>
    <row r="59" spans="1:8" s="1565" customFormat="1" ht="19.5" customHeight="1">
      <c r="A59" s="1569" t="s">
        <v>1616</v>
      </c>
      <c r="B59" s="1569" t="s">
        <v>1617</v>
      </c>
      <c r="C59" s="1569" t="s">
        <v>1618</v>
      </c>
      <c r="D59" s="1569" t="s">
        <v>1619</v>
      </c>
      <c r="E59" s="1569" t="s">
        <v>1620</v>
      </c>
      <c r="F59" s="1569" t="s">
        <v>1621</v>
      </c>
    </row>
    <row r="60" spans="1:8" ht="13.5">
      <c r="A60" s="1765"/>
      <c r="B60" s="1765"/>
      <c r="C60" s="1765" t="s">
        <v>1753</v>
      </c>
      <c r="D60" s="1765"/>
      <c r="E60" s="1582" t="s">
        <v>23</v>
      </c>
      <c r="F60" s="1765" t="s">
        <v>23</v>
      </c>
    </row>
    <row r="61" spans="1:8" s="1565" customFormat="1" ht="24">
      <c r="A61" s="1569">
        <v>1</v>
      </c>
      <c r="B61" s="3711" t="s">
        <v>1622</v>
      </c>
      <c r="C61" s="1495" t="s">
        <v>1623</v>
      </c>
      <c r="D61" s="1495" t="s">
        <v>1624</v>
      </c>
      <c r="E61" s="1582">
        <v>0.5</v>
      </c>
      <c r="F61" s="1569">
        <v>80</v>
      </c>
    </row>
    <row r="62" spans="1:8" s="1565" customFormat="1" ht="24">
      <c r="A62" s="1569">
        <v>2</v>
      </c>
      <c r="B62" s="3711"/>
      <c r="C62" s="1495" t="s">
        <v>1625</v>
      </c>
      <c r="D62" s="1495" t="s">
        <v>1626</v>
      </c>
      <c r="E62" s="1582">
        <v>0.5</v>
      </c>
      <c r="F62" s="1569">
        <v>80</v>
      </c>
    </row>
    <row r="63" spans="1:8" s="1565" customFormat="1" ht="36">
      <c r="A63" s="1569">
        <v>3</v>
      </c>
      <c r="B63" s="3711"/>
      <c r="C63" s="1495" t="s">
        <v>1627</v>
      </c>
      <c r="D63" s="1495" t="s">
        <v>1628</v>
      </c>
      <c r="E63" s="1582">
        <v>0.5</v>
      </c>
      <c r="F63" s="1569">
        <v>80</v>
      </c>
    </row>
    <row r="64" spans="1:8" s="1565" customFormat="1" ht="36">
      <c r="A64" s="1569">
        <v>4</v>
      </c>
      <c r="B64" s="3711"/>
      <c r="C64" s="1495" t="s">
        <v>1629</v>
      </c>
      <c r="D64" s="1495" t="s">
        <v>1630</v>
      </c>
      <c r="E64" s="1582">
        <v>0.4</v>
      </c>
      <c r="F64" s="1569">
        <v>60</v>
      </c>
    </row>
    <row r="65" spans="1:6" s="1565" customFormat="1" ht="36">
      <c r="A65" s="1569">
        <v>5</v>
      </c>
      <c r="B65" s="3711"/>
      <c r="C65" s="1495" t="s">
        <v>1631</v>
      </c>
      <c r="D65" s="1495" t="s">
        <v>1632</v>
      </c>
      <c r="E65" s="1582">
        <v>0.2</v>
      </c>
      <c r="F65" s="1569">
        <v>30</v>
      </c>
    </row>
    <row r="66" spans="1:6" s="1565" customFormat="1" ht="36">
      <c r="A66" s="1569">
        <v>6</v>
      </c>
      <c r="B66" s="3711"/>
      <c r="C66" s="1495" t="s">
        <v>1633</v>
      </c>
      <c r="D66" s="1495" t="s">
        <v>1634</v>
      </c>
      <c r="E66" s="1582">
        <v>0.3</v>
      </c>
      <c r="F66" s="1569">
        <v>50</v>
      </c>
    </row>
    <row r="67" spans="1:6" s="1565" customFormat="1" ht="36">
      <c r="A67" s="1569">
        <v>7</v>
      </c>
      <c r="B67" s="3711"/>
      <c r="C67" s="1495" t="s">
        <v>1635</v>
      </c>
      <c r="D67" s="1495" t="s">
        <v>1636</v>
      </c>
      <c r="E67" s="1582">
        <v>0.2</v>
      </c>
      <c r="F67" s="1569">
        <v>30</v>
      </c>
    </row>
    <row r="68" spans="1:6" s="1565" customFormat="1" ht="36">
      <c r="A68" s="1569">
        <v>8</v>
      </c>
      <c r="B68" s="3711"/>
      <c r="C68" s="1495" t="s">
        <v>1637</v>
      </c>
      <c r="D68" s="1495" t="s">
        <v>1638</v>
      </c>
      <c r="E68" s="1582">
        <v>0.2</v>
      </c>
      <c r="F68" s="1569">
        <v>30</v>
      </c>
    </row>
    <row r="69" spans="1:6" s="1565" customFormat="1" ht="36">
      <c r="A69" s="1569">
        <v>9</v>
      </c>
      <c r="B69" s="3711"/>
      <c r="C69" s="1495" t="s">
        <v>1639</v>
      </c>
      <c r="D69" s="1495" t="s">
        <v>1640</v>
      </c>
      <c r="E69" s="1582">
        <v>0.2</v>
      </c>
      <c r="F69" s="1569">
        <v>30</v>
      </c>
    </row>
    <row r="70" spans="1:6" s="1565" customFormat="1" ht="48">
      <c r="A70" s="1569">
        <v>10</v>
      </c>
      <c r="B70" s="3711"/>
      <c r="C70" s="1495" t="s">
        <v>1641</v>
      </c>
      <c r="D70" s="1495" t="s">
        <v>1642</v>
      </c>
      <c r="E70" s="1582">
        <v>0.2</v>
      </c>
      <c r="F70" s="1569">
        <v>30</v>
      </c>
    </row>
    <row r="71" spans="1:6" s="1565" customFormat="1" ht="48">
      <c r="A71" s="1569">
        <v>11</v>
      </c>
      <c r="B71" s="3711"/>
      <c r="C71" s="1495" t="s">
        <v>1643</v>
      </c>
      <c r="D71" s="1495" t="s">
        <v>1644</v>
      </c>
      <c r="E71" s="1582">
        <v>0.2</v>
      </c>
      <c r="F71" s="1569">
        <v>30</v>
      </c>
    </row>
    <row r="72" spans="1:6" s="1565" customFormat="1" ht="36">
      <c r="A72" s="1569">
        <v>12</v>
      </c>
      <c r="B72" s="3711"/>
      <c r="C72" s="1495" t="s">
        <v>1645</v>
      </c>
      <c r="D72" s="1495" t="s">
        <v>1646</v>
      </c>
      <c r="E72" s="1582">
        <v>0.5</v>
      </c>
      <c r="F72" s="1569">
        <v>80</v>
      </c>
    </row>
    <row r="73" spans="1:6" s="1565" customFormat="1" ht="24">
      <c r="A73" s="1569">
        <v>13</v>
      </c>
      <c r="B73" s="3711"/>
      <c r="C73" s="1495" t="s">
        <v>1647</v>
      </c>
      <c r="D73" s="1495" t="s">
        <v>1648</v>
      </c>
      <c r="E73" s="1582">
        <v>0.4</v>
      </c>
      <c r="F73" s="1569">
        <v>60</v>
      </c>
    </row>
    <row r="74" spans="1:6" s="1565" customFormat="1" ht="24">
      <c r="A74" s="1569">
        <v>14</v>
      </c>
      <c r="B74" s="3711"/>
      <c r="C74" s="1495" t="s">
        <v>1649</v>
      </c>
      <c r="D74" s="1495" t="s">
        <v>1650</v>
      </c>
      <c r="E74" s="1582">
        <v>0.2</v>
      </c>
      <c r="F74" s="1569">
        <v>30</v>
      </c>
    </row>
    <row r="75" spans="1:6" s="1565" customFormat="1" ht="24">
      <c r="A75" s="1569">
        <v>15</v>
      </c>
      <c r="B75" s="3711"/>
      <c r="C75" s="1495" t="s">
        <v>1651</v>
      </c>
      <c r="D75" s="1495" t="s">
        <v>1652</v>
      </c>
      <c r="E75" s="1582">
        <v>0.2</v>
      </c>
      <c r="F75" s="1569">
        <v>30</v>
      </c>
    </row>
    <row r="76" spans="1:6" s="1565" customFormat="1" ht="24">
      <c r="A76" s="1569">
        <v>16</v>
      </c>
      <c r="B76" s="3711" t="s">
        <v>1653</v>
      </c>
      <c r="C76" s="1495" t="s">
        <v>1654</v>
      </c>
      <c r="D76" s="1495" t="s">
        <v>1655</v>
      </c>
      <c r="E76" s="1582">
        <v>0.5</v>
      </c>
      <c r="F76" s="1569">
        <v>80</v>
      </c>
    </row>
    <row r="77" spans="1:6" s="1565" customFormat="1" ht="24">
      <c r="A77" s="1569">
        <v>17</v>
      </c>
      <c r="B77" s="3711"/>
      <c r="C77" s="1495" t="s">
        <v>1656</v>
      </c>
      <c r="D77" s="1495" t="s">
        <v>1657</v>
      </c>
      <c r="E77" s="1582">
        <v>0.5</v>
      </c>
      <c r="F77" s="1569">
        <v>80</v>
      </c>
    </row>
    <row r="78" spans="1:6" s="1565" customFormat="1" ht="24">
      <c r="A78" s="1569">
        <v>18</v>
      </c>
      <c r="B78" s="3711"/>
      <c r="C78" s="1495" t="s">
        <v>1658</v>
      </c>
      <c r="D78" s="1495" t="s">
        <v>1659</v>
      </c>
      <c r="E78" s="1582">
        <v>0.2</v>
      </c>
      <c r="F78" s="1569">
        <v>30</v>
      </c>
    </row>
    <row r="79" spans="1:6" s="1565" customFormat="1" ht="24">
      <c r="A79" s="1569">
        <v>19</v>
      </c>
      <c r="B79" s="3711"/>
      <c r="C79" s="1495" t="s">
        <v>1660</v>
      </c>
      <c r="D79" s="1495" t="s">
        <v>1661</v>
      </c>
      <c r="E79" s="1582">
        <v>0.5</v>
      </c>
      <c r="F79" s="1569">
        <v>80</v>
      </c>
    </row>
    <row r="80" spans="1:6" s="1565" customFormat="1" ht="36">
      <c r="A80" s="1569">
        <v>20</v>
      </c>
      <c r="B80" s="3711"/>
      <c r="C80" s="1495" t="s">
        <v>1662</v>
      </c>
      <c r="D80" s="1495" t="s">
        <v>1663</v>
      </c>
      <c r="E80" s="1582">
        <v>0.2</v>
      </c>
      <c r="F80" s="1569">
        <v>30</v>
      </c>
    </row>
    <row r="81" spans="1:6" s="1565" customFormat="1" ht="36">
      <c r="A81" s="1569">
        <v>21</v>
      </c>
      <c r="B81" s="3711"/>
      <c r="C81" s="1495" t="s">
        <v>1664</v>
      </c>
      <c r="D81" s="1495" t="s">
        <v>1665</v>
      </c>
      <c r="E81" s="1582">
        <v>0.2</v>
      </c>
      <c r="F81" s="1569">
        <v>30</v>
      </c>
    </row>
    <row r="82" spans="1:6" s="1565" customFormat="1" ht="48">
      <c r="A82" s="1569">
        <v>22</v>
      </c>
      <c r="B82" s="3711"/>
      <c r="C82" s="1495" t="s">
        <v>1666</v>
      </c>
      <c r="D82" s="1495" t="s">
        <v>1667</v>
      </c>
      <c r="E82" s="1582">
        <v>0.2</v>
      </c>
      <c r="F82" s="1569">
        <v>30</v>
      </c>
    </row>
    <row r="83" spans="1:6" s="1565" customFormat="1" ht="48">
      <c r="A83" s="1569">
        <v>23</v>
      </c>
      <c r="B83" s="3711"/>
      <c r="C83" s="1495" t="s">
        <v>1668</v>
      </c>
      <c r="D83" s="1495" t="s">
        <v>1669</v>
      </c>
      <c r="E83" s="1582">
        <v>0.2</v>
      </c>
      <c r="F83" s="1569">
        <v>30</v>
      </c>
    </row>
    <row r="84" spans="1:6" s="1565" customFormat="1" ht="36">
      <c r="A84" s="1569">
        <v>24</v>
      </c>
      <c r="B84" s="3711"/>
      <c r="C84" s="1495" t="s">
        <v>1670</v>
      </c>
      <c r="D84" s="1495" t="s">
        <v>1671</v>
      </c>
      <c r="E84" s="1582">
        <v>0.2</v>
      </c>
      <c r="F84" s="1569">
        <v>30</v>
      </c>
    </row>
    <row r="85" spans="1:6" s="1565" customFormat="1" ht="36">
      <c r="A85" s="1569">
        <v>25</v>
      </c>
      <c r="B85" s="3711"/>
      <c r="C85" s="1495" t="s">
        <v>1672</v>
      </c>
      <c r="D85" s="1495" t="s">
        <v>1673</v>
      </c>
      <c r="E85" s="1582">
        <v>0.5</v>
      </c>
      <c r="F85" s="1569">
        <v>80</v>
      </c>
    </row>
    <row r="86" spans="1:6" s="1565" customFormat="1" ht="36">
      <c r="A86" s="1569">
        <v>26</v>
      </c>
      <c r="B86" s="3711"/>
      <c r="C86" s="1495" t="s">
        <v>1674</v>
      </c>
      <c r="D86" s="1495" t="s">
        <v>1675</v>
      </c>
      <c r="E86" s="1582">
        <v>0.2</v>
      </c>
      <c r="F86" s="1569">
        <v>30</v>
      </c>
    </row>
    <row r="87" spans="1:6" s="1565" customFormat="1" ht="36">
      <c r="A87" s="1569">
        <v>27</v>
      </c>
      <c r="B87" s="3711"/>
      <c r="C87" s="1495" t="s">
        <v>1676</v>
      </c>
      <c r="D87" s="1495" t="s">
        <v>1677</v>
      </c>
      <c r="E87" s="1582">
        <v>0.2</v>
      </c>
      <c r="F87" s="1569">
        <v>30</v>
      </c>
    </row>
    <row r="88" spans="1:6" s="1565" customFormat="1" ht="36">
      <c r="A88" s="1569">
        <v>28</v>
      </c>
      <c r="B88" s="3711"/>
      <c r="C88" s="1495" t="s">
        <v>1678</v>
      </c>
      <c r="D88" s="1495" t="s">
        <v>1679</v>
      </c>
      <c r="E88" s="1582">
        <v>0.2</v>
      </c>
      <c r="F88" s="1569">
        <v>30</v>
      </c>
    </row>
    <row r="89" spans="1:6" s="1565" customFormat="1" ht="24">
      <c r="A89" s="1569">
        <v>29</v>
      </c>
      <c r="B89" s="3711"/>
      <c r="C89" s="1495" t="s">
        <v>1680</v>
      </c>
      <c r="D89" s="1495" t="s">
        <v>1681</v>
      </c>
      <c r="E89" s="1582">
        <v>0.2</v>
      </c>
      <c r="F89" s="1569">
        <v>30</v>
      </c>
    </row>
    <row r="90" spans="1:6" s="1565" customFormat="1" ht="24">
      <c r="A90" s="1569">
        <v>30</v>
      </c>
      <c r="B90" s="3711"/>
      <c r="C90" s="1495" t="s">
        <v>1682</v>
      </c>
      <c r="D90" s="1495" t="s">
        <v>1683</v>
      </c>
      <c r="E90" s="1582">
        <v>0.2</v>
      </c>
      <c r="F90" s="1569">
        <v>30</v>
      </c>
    </row>
    <row r="91" spans="1:6" s="1565" customFormat="1" ht="36">
      <c r="A91" s="1569">
        <v>31</v>
      </c>
      <c r="B91" s="3711"/>
      <c r="C91" s="1495" t="s">
        <v>1684</v>
      </c>
      <c r="D91" s="1495" t="s">
        <v>1685</v>
      </c>
      <c r="E91" s="1582">
        <v>0.2</v>
      </c>
      <c r="F91" s="1569">
        <v>30</v>
      </c>
    </row>
    <row r="92" spans="1:6" s="1565" customFormat="1" ht="24">
      <c r="A92" s="1569">
        <v>32</v>
      </c>
      <c r="B92" s="3711" t="s">
        <v>1686</v>
      </c>
      <c r="C92" s="1569" t="s">
        <v>1687</v>
      </c>
      <c r="D92" s="1495" t="s">
        <v>1688</v>
      </c>
      <c r="E92" s="1582">
        <v>0.2</v>
      </c>
      <c r="F92" s="1569">
        <v>30</v>
      </c>
    </row>
    <row r="93" spans="1:6" s="1565" customFormat="1" ht="36">
      <c r="A93" s="1569">
        <v>33</v>
      </c>
      <c r="B93" s="3711"/>
      <c r="C93" s="1569" t="s">
        <v>1689</v>
      </c>
      <c r="D93" s="1495" t="s">
        <v>1690</v>
      </c>
      <c r="E93" s="1582">
        <v>0.2</v>
      </c>
      <c r="F93" s="1569">
        <v>30</v>
      </c>
    </row>
    <row r="94" spans="1:6" s="1565" customFormat="1" ht="48">
      <c r="A94" s="1569">
        <v>34</v>
      </c>
      <c r="B94" s="3711"/>
      <c r="C94" s="1569" t="s">
        <v>1691</v>
      </c>
      <c r="D94" s="1495" t="s">
        <v>1692</v>
      </c>
      <c r="E94" s="1582">
        <v>0.2</v>
      </c>
      <c r="F94" s="1569">
        <v>30</v>
      </c>
    </row>
    <row r="95" spans="1:6" s="1565" customFormat="1" ht="36">
      <c r="A95" s="1569">
        <v>35</v>
      </c>
      <c r="B95" s="3711"/>
      <c r="C95" s="1569" t="s">
        <v>1693</v>
      </c>
      <c r="D95" s="1495" t="s">
        <v>1694</v>
      </c>
      <c r="E95" s="1582">
        <v>0.2</v>
      </c>
      <c r="F95" s="1569">
        <v>30</v>
      </c>
    </row>
    <row r="96" spans="1:6" s="1565" customFormat="1" ht="48">
      <c r="A96" s="1569">
        <v>36</v>
      </c>
      <c r="B96" s="3711"/>
      <c r="C96" s="1495" t="s">
        <v>1695</v>
      </c>
      <c r="D96" s="1495" t="s">
        <v>1696</v>
      </c>
      <c r="E96" s="1582">
        <v>0.2</v>
      </c>
      <c r="F96" s="1569">
        <v>30</v>
      </c>
    </row>
    <row r="97" spans="1:6" s="1565" customFormat="1" ht="36">
      <c r="A97" s="1569">
        <v>37</v>
      </c>
      <c r="B97" s="3711"/>
      <c r="C97" s="1569" t="s">
        <v>1697</v>
      </c>
      <c r="D97" s="1495" t="s">
        <v>1698</v>
      </c>
      <c r="E97" s="1582">
        <v>0.2</v>
      </c>
      <c r="F97" s="1569">
        <v>30</v>
      </c>
    </row>
    <row r="98" spans="1:6" s="1565" customFormat="1" ht="36">
      <c r="A98" s="1569">
        <v>38</v>
      </c>
      <c r="B98" s="3711"/>
      <c r="C98" s="1569" t="s">
        <v>1699</v>
      </c>
      <c r="D98" s="1495" t="s">
        <v>1700</v>
      </c>
      <c r="E98" s="1582">
        <v>0.2</v>
      </c>
      <c r="F98" s="1569">
        <v>30</v>
      </c>
    </row>
    <row r="99" spans="1:6" s="1565" customFormat="1" ht="36">
      <c r="A99" s="1569">
        <v>39</v>
      </c>
      <c r="B99" s="3711" t="s">
        <v>1701</v>
      </c>
      <c r="C99" s="1569" t="s">
        <v>1702</v>
      </c>
      <c r="D99" s="1495" t="s">
        <v>1703</v>
      </c>
      <c r="E99" s="1582">
        <v>0.3</v>
      </c>
      <c r="F99" s="1569">
        <v>50</v>
      </c>
    </row>
    <row r="100" spans="1:6" s="1565" customFormat="1" ht="24">
      <c r="A100" s="1569">
        <v>40</v>
      </c>
      <c r="B100" s="3711"/>
      <c r="C100" s="1569" t="s">
        <v>1704</v>
      </c>
      <c r="D100" s="1495" t="s">
        <v>1705</v>
      </c>
      <c r="E100" s="1582">
        <v>0.2</v>
      </c>
      <c r="F100" s="1569">
        <v>30</v>
      </c>
    </row>
    <row r="101" spans="1:6" s="1565" customFormat="1" ht="36">
      <c r="A101" s="1569">
        <v>41</v>
      </c>
      <c r="B101" s="3711"/>
      <c r="C101" s="1569" t="s">
        <v>1706</v>
      </c>
      <c r="D101" s="1495" t="s">
        <v>1703</v>
      </c>
      <c r="E101" s="1582">
        <v>0.2</v>
      </c>
      <c r="F101" s="1569">
        <v>30</v>
      </c>
    </row>
    <row r="102" spans="1:6" s="1565" customFormat="1" ht="48">
      <c r="A102" s="1569">
        <v>42</v>
      </c>
      <c r="B102" s="1569" t="s">
        <v>1707</v>
      </c>
      <c r="C102" s="1495" t="s">
        <v>1708</v>
      </c>
      <c r="D102" s="1495" t="s">
        <v>1709</v>
      </c>
      <c r="E102" s="1582">
        <v>0.2</v>
      </c>
      <c r="F102" s="1569">
        <v>30</v>
      </c>
    </row>
    <row r="103" spans="1:6" s="1565" customFormat="1" ht="24">
      <c r="A103" s="1569">
        <v>43</v>
      </c>
      <c r="B103" s="1569" t="s">
        <v>1710</v>
      </c>
      <c r="C103" s="1569" t="s">
        <v>1711</v>
      </c>
      <c r="D103" s="1495" t="s">
        <v>1712</v>
      </c>
      <c r="E103" s="1582">
        <v>0.2</v>
      </c>
      <c r="F103" s="1569">
        <v>30</v>
      </c>
    </row>
    <row r="104" spans="1:6" s="1565" customFormat="1" ht="36">
      <c r="A104" s="1569">
        <v>44</v>
      </c>
      <c r="B104" s="1569" t="s">
        <v>1713</v>
      </c>
      <c r="C104" s="1569" t="s">
        <v>1714</v>
      </c>
      <c r="D104" s="1495" t="s">
        <v>1715</v>
      </c>
      <c r="E104" s="1582">
        <v>0.2</v>
      </c>
      <c r="F104" s="1569">
        <v>30</v>
      </c>
    </row>
    <row r="105" spans="1:6" s="1565" customFormat="1" ht="36">
      <c r="A105" s="1569">
        <v>45</v>
      </c>
      <c r="B105" s="3711" t="s">
        <v>1716</v>
      </c>
      <c r="C105" s="1569" t="s">
        <v>1717</v>
      </c>
      <c r="D105" s="1495" t="s">
        <v>1718</v>
      </c>
      <c r="E105" s="1582">
        <v>0.2</v>
      </c>
      <c r="F105" s="1569">
        <v>30</v>
      </c>
    </row>
    <row r="106" spans="1:6" s="1565" customFormat="1" ht="36">
      <c r="A106" s="1569">
        <v>46</v>
      </c>
      <c r="B106" s="3711"/>
      <c r="C106" s="1569" t="s">
        <v>1719</v>
      </c>
      <c r="D106" s="1495" t="s">
        <v>1720</v>
      </c>
      <c r="E106" s="1582">
        <v>0.2</v>
      </c>
      <c r="F106" s="1569">
        <v>30</v>
      </c>
    </row>
    <row r="107" spans="1:6" s="1565" customFormat="1" ht="36">
      <c r="A107" s="1569">
        <v>47</v>
      </c>
      <c r="B107" s="3711" t="s">
        <v>1721</v>
      </c>
      <c r="C107" s="1569" t="s">
        <v>1722</v>
      </c>
      <c r="D107" s="1495" t="s">
        <v>1723</v>
      </c>
      <c r="E107" s="1582">
        <v>0.3</v>
      </c>
      <c r="F107" s="1569">
        <v>50</v>
      </c>
    </row>
    <row r="108" spans="1:6" s="1565" customFormat="1" ht="36">
      <c r="A108" s="1569">
        <v>48</v>
      </c>
      <c r="B108" s="3711"/>
      <c r="C108" s="1569" t="s">
        <v>1724</v>
      </c>
      <c r="D108" s="1495" t="s">
        <v>1725</v>
      </c>
      <c r="E108" s="1582">
        <v>0.2</v>
      </c>
      <c r="F108" s="1569">
        <v>30</v>
      </c>
    </row>
    <row r="109" spans="1:6" s="1565" customFormat="1" ht="36">
      <c r="A109" s="1569">
        <v>49</v>
      </c>
      <c r="B109" s="1569" t="s">
        <v>1726</v>
      </c>
      <c r="C109" s="1569" t="s">
        <v>1727</v>
      </c>
      <c r="D109" s="1495" t="s">
        <v>1728</v>
      </c>
      <c r="E109" s="1582">
        <v>0.2</v>
      </c>
      <c r="F109" s="1569">
        <v>30</v>
      </c>
    </row>
    <row r="110" spans="1:6" s="1565" customFormat="1" ht="36">
      <c r="A110" s="1569">
        <v>50</v>
      </c>
      <c r="B110" s="1569" t="s">
        <v>1729</v>
      </c>
      <c r="C110" s="1569" t="s">
        <v>1730</v>
      </c>
      <c r="D110" s="1495" t="s">
        <v>1731</v>
      </c>
      <c r="E110" s="1582">
        <v>0.2</v>
      </c>
      <c r="F110" s="1569">
        <v>30</v>
      </c>
    </row>
    <row r="111" spans="1:6" s="1565" customFormat="1" ht="36">
      <c r="A111" s="1569">
        <v>51</v>
      </c>
      <c r="B111" s="3711" t="s">
        <v>1732</v>
      </c>
      <c r="C111" s="1569" t="s">
        <v>1733</v>
      </c>
      <c r="D111" s="1495" t="s">
        <v>1734</v>
      </c>
      <c r="E111" s="1582">
        <v>0.2</v>
      </c>
      <c r="F111" s="1569">
        <v>30</v>
      </c>
    </row>
    <row r="112" spans="1:6" s="1565" customFormat="1" ht="24">
      <c r="A112" s="1569">
        <v>52</v>
      </c>
      <c r="B112" s="3711"/>
      <c r="C112" s="1569" t="s">
        <v>1735</v>
      </c>
      <c r="D112" s="1495" t="s">
        <v>1736</v>
      </c>
      <c r="E112" s="1582">
        <v>0.2</v>
      </c>
      <c r="F112" s="1569">
        <v>30</v>
      </c>
    </row>
    <row r="113" spans="1:6" s="1565" customFormat="1" ht="24">
      <c r="A113" s="1569">
        <v>53</v>
      </c>
      <c r="B113" s="3711"/>
      <c r="C113" s="1569" t="s">
        <v>1737</v>
      </c>
      <c r="D113" s="1495" t="s">
        <v>1738</v>
      </c>
      <c r="E113" s="1582">
        <v>0.2</v>
      </c>
      <c r="F113" s="1569">
        <v>30</v>
      </c>
    </row>
    <row r="114" spans="1:6" ht="36">
      <c r="A114" s="1569">
        <v>54</v>
      </c>
      <c r="B114" s="1569" t="s">
        <v>1739</v>
      </c>
      <c r="C114" s="1569" t="s">
        <v>1740</v>
      </c>
      <c r="D114" s="1495" t="s">
        <v>1741</v>
      </c>
      <c r="E114" s="1582">
        <v>0.2</v>
      </c>
      <c r="F114" s="1569">
        <v>30</v>
      </c>
    </row>
    <row r="115" spans="1:6" ht="24">
      <c r="A115" s="1569">
        <v>55</v>
      </c>
      <c r="B115" s="1569" t="s">
        <v>1742</v>
      </c>
      <c r="C115" s="1569" t="s">
        <v>1743</v>
      </c>
      <c r="D115" s="1495" t="s">
        <v>1744</v>
      </c>
      <c r="E115" s="1582">
        <v>0.2</v>
      </c>
      <c r="F115" s="1569">
        <v>30</v>
      </c>
    </row>
    <row r="116" spans="1:6" ht="24">
      <c r="A116" s="1569">
        <v>56</v>
      </c>
      <c r="B116" s="3711" t="s">
        <v>1745</v>
      </c>
      <c r="C116" s="1569" t="s">
        <v>1746</v>
      </c>
      <c r="D116" s="1495" t="s">
        <v>1747</v>
      </c>
      <c r="E116" s="1582">
        <v>0.2</v>
      </c>
      <c r="F116" s="1569">
        <v>30</v>
      </c>
    </row>
    <row r="117" spans="1:6" ht="36">
      <c r="A117" s="1569">
        <v>57</v>
      </c>
      <c r="B117" s="3711"/>
      <c r="C117" s="1569" t="s">
        <v>1748</v>
      </c>
      <c r="D117" s="1495" t="s">
        <v>1749</v>
      </c>
      <c r="E117" s="1582">
        <v>0.2</v>
      </c>
      <c r="F117" s="1569">
        <v>30</v>
      </c>
    </row>
    <row r="118" spans="1:6" ht="36">
      <c r="A118" s="1569">
        <v>58</v>
      </c>
      <c r="B118" s="1569" t="s">
        <v>1750</v>
      </c>
      <c r="C118" s="1569" t="s">
        <v>1751</v>
      </c>
      <c r="D118" s="1495" t="s">
        <v>1752</v>
      </c>
      <c r="E118" s="1582">
        <v>0.2</v>
      </c>
      <c r="F118" s="1569">
        <v>30</v>
      </c>
    </row>
    <row r="119" spans="1:6" ht="13.5">
      <c r="A119" s="1569"/>
      <c r="B119" s="1569"/>
      <c r="C119" s="1569" t="s">
        <v>1753</v>
      </c>
      <c r="D119" s="1569"/>
      <c r="E119" s="1582" t="s">
        <v>1563</v>
      </c>
      <c r="F119" s="1569" t="s">
        <v>1563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1763</v>
      </c>
      <c r="B1" s="1593"/>
      <c r="C1" s="1593"/>
      <c r="D1" s="1593"/>
      <c r="E1" s="1593"/>
      <c r="F1" s="1593"/>
      <c r="G1" s="1593"/>
      <c r="H1" s="1593"/>
      <c r="I1" s="1593"/>
      <c r="J1" s="1593"/>
      <c r="K1" s="1593"/>
      <c r="L1" s="1593"/>
      <c r="M1" s="1593"/>
      <c r="N1" s="1593"/>
    </row>
    <row r="2" spans="1:14">
      <c r="A2" s="1595" t="s">
        <v>1760</v>
      </c>
      <c r="B2" s="1596" t="s">
        <v>1165</v>
      </c>
      <c r="C2" s="1596" t="s">
        <v>1166</v>
      </c>
      <c r="D2" s="1596" t="s">
        <v>1167</v>
      </c>
      <c r="E2" s="1596" t="s">
        <v>1168</v>
      </c>
      <c r="F2" s="1596" t="s">
        <v>1169</v>
      </c>
      <c r="G2" s="1596" t="s">
        <v>1170</v>
      </c>
      <c r="H2" s="1597" t="s">
        <v>1171</v>
      </c>
      <c r="I2" s="1597" t="s">
        <v>1172</v>
      </c>
      <c r="J2" s="1598" t="s">
        <v>1173</v>
      </c>
      <c r="K2" s="1598" t="s">
        <v>1174</v>
      </c>
      <c r="L2" s="1598" t="s">
        <v>1175</v>
      </c>
      <c r="M2" s="1598" t="s">
        <v>1176</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1769</v>
      </c>
      <c r="B103" s="1593"/>
      <c r="C103" s="1593"/>
      <c r="D103" s="1593"/>
      <c r="E103" s="1593"/>
      <c r="F103" s="1593"/>
      <c r="G103" s="1593"/>
      <c r="H103" s="1593"/>
      <c r="I103" s="1593"/>
      <c r="J103" s="1593"/>
      <c r="K103" s="1593"/>
      <c r="L103" s="1593"/>
      <c r="M103" s="1593"/>
      <c r="N103" s="1593"/>
    </row>
    <row r="104" spans="1:14" ht="14.25">
      <c r="A104" s="1595" t="s">
        <v>1760</v>
      </c>
      <c r="B104" s="1596" t="s">
        <v>1165</v>
      </c>
      <c r="C104" s="1596" t="s">
        <v>1166</v>
      </c>
      <c r="D104" s="1596" t="s">
        <v>1167</v>
      </c>
      <c r="E104" s="1596" t="s">
        <v>1168</v>
      </c>
      <c r="F104" s="1596" t="s">
        <v>1169</v>
      </c>
      <c r="G104" s="1596" t="s">
        <v>1170</v>
      </c>
      <c r="H104" s="1597" t="s">
        <v>1171</v>
      </c>
      <c r="I104" s="1597" t="s">
        <v>1172</v>
      </c>
      <c r="J104" s="1598" t="s">
        <v>1173</v>
      </c>
      <c r="K104" s="1598" t="s">
        <v>1174</v>
      </c>
      <c r="L104" s="1598" t="s">
        <v>1175</v>
      </c>
      <c r="M104" s="1598" t="s">
        <v>1176</v>
      </c>
      <c r="N104" s="1593">
        <f>SUMPRODUCT((A105:A204=ROUNDDOWN(基准地价修正!G3,1))*(B104:M104=基准地价修正!G2)*(B105:M204))</f>
        <v>0.86009999999999998</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1770</v>
      </c>
      <c r="B205" s="1593"/>
      <c r="C205" s="1593"/>
      <c r="D205" s="1593"/>
      <c r="E205" s="1593"/>
      <c r="F205" s="1593"/>
      <c r="G205" s="1593"/>
      <c r="H205" s="1593"/>
      <c r="I205" s="1593"/>
      <c r="J205" s="1593"/>
      <c r="K205" s="1593"/>
      <c r="L205" s="1593"/>
      <c r="M205" s="1593"/>
    </row>
    <row r="206" spans="1:13">
      <c r="A206" s="1595" t="s">
        <v>1760</v>
      </c>
      <c r="B206" s="1596" t="s">
        <v>1165</v>
      </c>
      <c r="C206" s="1596" t="s">
        <v>1166</v>
      </c>
      <c r="D206" s="1596" t="s">
        <v>1167</v>
      </c>
      <c r="E206" s="1596" t="s">
        <v>1168</v>
      </c>
      <c r="F206" s="1596" t="s">
        <v>1169</v>
      </c>
      <c r="G206" s="1596" t="s">
        <v>1170</v>
      </c>
      <c r="H206" s="1597" t="s">
        <v>1171</v>
      </c>
      <c r="I206" s="1597" t="s">
        <v>1172</v>
      </c>
      <c r="J206" s="1598" t="s">
        <v>1173</v>
      </c>
      <c r="K206" s="1598" t="s">
        <v>1174</v>
      </c>
      <c r="L206" s="1598" t="s">
        <v>1175</v>
      </c>
      <c r="M206" s="1598" t="s">
        <v>1176</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1771</v>
      </c>
      <c r="B307" s="1593"/>
      <c r="C307" s="1593"/>
      <c r="D307" s="1593"/>
      <c r="E307" s="1593"/>
      <c r="F307" s="1593"/>
      <c r="G307" s="1593"/>
      <c r="H307" s="1593"/>
      <c r="I307" s="1593"/>
      <c r="J307" s="1593"/>
      <c r="K307" s="1593"/>
      <c r="L307" s="1593"/>
      <c r="M307" s="1593"/>
    </row>
    <row r="308" spans="1:13">
      <c r="A308" s="1595" t="s">
        <v>1760</v>
      </c>
      <c r="B308" s="1596" t="s">
        <v>1165</v>
      </c>
      <c r="C308" s="1596" t="s">
        <v>1166</v>
      </c>
      <c r="D308" s="1596" t="s">
        <v>1167</v>
      </c>
      <c r="E308" s="1596" t="s">
        <v>1168</v>
      </c>
      <c r="F308" s="1596" t="s">
        <v>1169</v>
      </c>
      <c r="G308" s="1596" t="s">
        <v>1170</v>
      </c>
      <c r="H308" s="1597" t="s">
        <v>1171</v>
      </c>
      <c r="I308" s="1597" t="s">
        <v>1172</v>
      </c>
      <c r="J308" s="1598" t="s">
        <v>1173</v>
      </c>
      <c r="K308" s="1598" t="s">
        <v>1174</v>
      </c>
      <c r="L308" s="1598" t="s">
        <v>1175</v>
      </c>
      <c r="M308" s="1598" t="s">
        <v>1176</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2025</v>
      </c>
      <c r="B1" s="1961"/>
      <c r="C1" s="1961"/>
      <c r="D1" s="1961"/>
      <c r="E1" s="1961"/>
    </row>
    <row r="2" spans="1:5" ht="78" customHeight="1">
      <c r="A2" s="3375"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5"/>
      <c r="C2" s="3375"/>
      <c r="D2" s="3375"/>
      <c r="E2" s="3375"/>
    </row>
    <row r="3" spans="1:5" ht="18.75">
      <c r="A3" s="3376" t="s">
        <v>2026</v>
      </c>
      <c r="B3" s="3376"/>
      <c r="C3" s="3376"/>
      <c r="D3" s="3376"/>
      <c r="E3" s="3376"/>
    </row>
    <row r="4" spans="1:5" ht="19.5" thickBot="1">
      <c r="A4" s="1973"/>
      <c r="B4" s="3374" t="s">
        <v>2031</v>
      </c>
      <c r="C4" s="3374"/>
      <c r="D4" s="3374"/>
      <c r="E4" s="1973"/>
    </row>
    <row r="5" spans="1:5" ht="16.5" thickTop="1">
      <c r="A5" s="1961"/>
      <c r="B5" s="3372" t="s">
        <v>2027</v>
      </c>
      <c r="C5" s="1963" t="s">
        <v>2032</v>
      </c>
      <c r="D5" s="1964">
        <f ca="1">'结果表（商业）'!H101</f>
        <v>22145</v>
      </c>
      <c r="E5" s="1961"/>
    </row>
    <row r="6" spans="1:5" ht="15.75">
      <c r="A6" s="1961"/>
      <c r="B6" s="3372"/>
      <c r="C6" s="1963" t="s">
        <v>2874</v>
      </c>
      <c r="D6" s="1964" t="str">
        <f ca="1">NUMBERSTRING(INT(D5*10000),2)&amp;"元整"</f>
        <v>贰亿贰仟壹佰肆拾伍万元整</v>
      </c>
      <c r="E6" s="1961"/>
    </row>
    <row r="7" spans="1:5" ht="15.75">
      <c r="A7" s="1961"/>
      <c r="B7" s="3377"/>
      <c r="C7" s="1965" t="s">
        <v>2033</v>
      </c>
      <c r="D7" s="1966">
        <f ca="1">'结果表（商业）'!H102</f>
        <v>50468</v>
      </c>
      <c r="E7" s="1961"/>
    </row>
    <row r="8" spans="1:5" ht="15.75">
      <c r="A8" s="1961"/>
      <c r="B8" s="3378" t="str">
        <f>'结果表（商业）'!E103</f>
        <v>2.估价师知悉的法定优先受偿款</v>
      </c>
      <c r="C8" s="1967" t="s">
        <v>2034</v>
      </c>
      <c r="D8" s="1966">
        <f>'结果表（商业）'!H103</f>
        <v>0</v>
      </c>
      <c r="E8" s="1961"/>
    </row>
    <row r="9" spans="1:5" ht="15.75">
      <c r="A9" s="1961"/>
      <c r="B9" s="3380"/>
      <c r="C9" s="1963" t="s">
        <v>2874</v>
      </c>
      <c r="D9" s="1964" t="str">
        <f>NUMBERSTRING(INT(D8*10000),2)&amp;"元整"</f>
        <v>零元整</v>
      </c>
      <c r="E9" s="1961"/>
    </row>
    <row r="10" spans="1:5" ht="15">
      <c r="A10" s="1961"/>
      <c r="B10" s="1968" t="s">
        <v>2028</v>
      </c>
      <c r="C10" s="1969" t="s">
        <v>2034</v>
      </c>
      <c r="D10" s="1970">
        <f>'结果表（商业）'!H104</f>
        <v>0</v>
      </c>
      <c r="E10" s="1961"/>
    </row>
    <row r="11" spans="1:5" ht="15">
      <c r="A11" s="1961"/>
      <c r="B11" s="1968" t="s">
        <v>2029</v>
      </c>
      <c r="C11" s="1969" t="s">
        <v>2034</v>
      </c>
      <c r="D11" s="1970">
        <f>'结果表（商业）'!H105</f>
        <v>0</v>
      </c>
      <c r="E11" s="1961"/>
    </row>
    <row r="12" spans="1:5" ht="15">
      <c r="A12" s="1961"/>
      <c r="B12" s="1968" t="s">
        <v>2030</v>
      </c>
      <c r="C12" s="1969" t="s">
        <v>2034</v>
      </c>
      <c r="D12" s="1970">
        <f>'结果表（商业）'!H106</f>
        <v>0</v>
      </c>
      <c r="E12" s="1961"/>
    </row>
    <row r="13" spans="1:5" ht="15.75">
      <c r="A13" s="1961"/>
      <c r="B13" s="3371" t="str">
        <f>'结果表（商业）'!E107</f>
        <v>3.房地产抵押价值</v>
      </c>
      <c r="C13" s="1971" t="s">
        <v>2032</v>
      </c>
      <c r="D13" s="1974">
        <f ca="1">'结果表（商业）'!H107</f>
        <v>22145</v>
      </c>
      <c r="E13" s="1961"/>
    </row>
    <row r="14" spans="1:5" ht="15.75">
      <c r="A14" s="1961"/>
      <c r="B14" s="3372"/>
      <c r="C14" s="1963" t="s">
        <v>2874</v>
      </c>
      <c r="D14" s="1964" t="str">
        <f ca="1">NUMBERSTRING(INT(D13*10000),2)&amp;"元整"</f>
        <v>贰亿贰仟壹佰肆拾伍万元整</v>
      </c>
      <c r="E14" s="1961"/>
    </row>
    <row r="15" spans="1:5" ht="15">
      <c r="A15" s="1961"/>
      <c r="B15" s="3377"/>
      <c r="C15" s="1965" t="s">
        <v>2033</v>
      </c>
      <c r="D15" s="2075">
        <f ca="1">'结果表（商业）'!H108</f>
        <v>3307</v>
      </c>
      <c r="E15" s="1961"/>
    </row>
    <row r="16" spans="1:5" ht="14.25">
      <c r="A16" s="1961"/>
      <c r="B16" s="3378" t="str">
        <f>'结果表（商业）'!E109</f>
        <v>——</v>
      </c>
      <c r="C16" s="1971" t="s">
        <v>2032</v>
      </c>
      <c r="D16" s="2076" t="str">
        <f>'结果表（商业）'!H109</f>
        <v>——</v>
      </c>
      <c r="E16" s="1961"/>
    </row>
    <row r="17" spans="1:5" ht="15.75">
      <c r="A17" s="1961"/>
      <c r="B17" s="3379"/>
      <c r="C17" s="1963" t="s">
        <v>2874</v>
      </c>
      <c r="D17" s="1964" t="e">
        <f>NUMBERSTRING(INT(D16*10000),2)&amp;"元整"</f>
        <v>#VALUE!</v>
      </c>
      <c r="E17" s="1961"/>
    </row>
    <row r="18" spans="1:5" ht="15">
      <c r="A18" s="1961"/>
      <c r="B18" s="3380"/>
      <c r="C18" s="1965" t="s">
        <v>2033</v>
      </c>
      <c r="D18" s="2075" t="str">
        <f>'结果表（商业）'!H110</f>
        <v>——</v>
      </c>
      <c r="E18" s="1961"/>
    </row>
    <row r="19" spans="1:5" ht="15.75">
      <c r="A19" s="1961"/>
      <c r="B19" s="3371" t="str">
        <f>'结果表（商业）'!E111</f>
        <v>——</v>
      </c>
      <c r="C19" s="1971" t="s">
        <v>2032</v>
      </c>
      <c r="D19" s="1966" t="str">
        <f>'结果表（商业）'!H111</f>
        <v>——</v>
      </c>
      <c r="E19" s="1961"/>
    </row>
    <row r="20" spans="1:5" ht="15.75">
      <c r="A20" s="1961"/>
      <c r="B20" s="3372"/>
      <c r="C20" s="1963" t="s">
        <v>2874</v>
      </c>
      <c r="D20" s="1964" t="e">
        <f>NUMBERSTRING(INT(D19*10000),2)&amp;"元整"</f>
        <v>#VALUE!</v>
      </c>
      <c r="E20" s="1961"/>
    </row>
    <row r="21" spans="1:5" ht="15.75" thickBot="1">
      <c r="A21" s="1961"/>
      <c r="B21" s="3373"/>
      <c r="C21" s="2077" t="s">
        <v>2033</v>
      </c>
      <c r="D21" s="2078" t="str">
        <f>'结果表（商业）'!H112</f>
        <v>——</v>
      </c>
      <c r="E21" s="1961"/>
    </row>
    <row r="22" spans="1:5" ht="14.25" thickTop="1">
      <c r="A22" s="1961"/>
      <c r="B22" s="1972" t="s">
        <v>2060</v>
      </c>
      <c r="C22" s="1961"/>
      <c r="D22" s="1961"/>
      <c r="E22" s="1961"/>
    </row>
    <row r="23" spans="1:5">
      <c r="A23" s="1961"/>
      <c r="B23" s="1961"/>
      <c r="C23" s="1961"/>
      <c r="D23" s="1961"/>
      <c r="E23" s="1961"/>
    </row>
    <row r="24" spans="1:5" ht="18.75">
      <c r="A24" s="1992"/>
      <c r="B24" s="1993" t="s">
        <v>2040</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0"/>
    <col min="2" max="6" width="9" style="2930" customWidth="1"/>
    <col min="7" max="7" width="9" style="2945"/>
    <col min="8" max="8" width="9" style="2930"/>
    <col min="9" max="12" width="9" style="2930" customWidth="1"/>
    <col min="13" max="13" width="2.25" style="2930" customWidth="1"/>
    <col min="14" max="14" width="9" style="2945" customWidth="1"/>
    <col min="15" max="17" width="9" style="2930" customWidth="1"/>
    <col min="18" max="18" width="2.375" style="2930" customWidth="1"/>
    <col min="19" max="19" width="7.125" style="2945" customWidth="1"/>
    <col min="20" max="22" width="7.125" style="2930" customWidth="1"/>
    <col min="23" max="23" width="24.25" style="2930" customWidth="1"/>
    <col min="24" max="25" width="9" style="2930"/>
    <col min="26" max="27" width="11.625" style="2930" customWidth="1"/>
    <col min="28" max="28" width="9" style="2930"/>
    <col min="29" max="29" width="2" style="2930" customWidth="1"/>
    <col min="30" max="16384" width="9" style="2930"/>
  </cols>
  <sheetData>
    <row r="1" spans="1:34" s="2899" customFormat="1">
      <c r="B1" s="3731" t="s">
        <v>2711</v>
      </c>
      <c r="C1" s="3731"/>
      <c r="D1" s="3731"/>
      <c r="E1" s="3731"/>
      <c r="F1" s="3731"/>
      <c r="G1" s="3727" t="s">
        <v>2712</v>
      </c>
      <c r="H1" s="3727"/>
      <c r="I1" s="3727"/>
      <c r="J1" s="3727"/>
      <c r="K1" s="3727"/>
      <c r="L1" s="3727"/>
      <c r="N1" s="3727" t="s">
        <v>2713</v>
      </c>
      <c r="O1" s="3727"/>
      <c r="P1" s="3727"/>
      <c r="Q1" s="3727"/>
      <c r="R1" s="2900"/>
      <c r="S1" s="3727" t="s">
        <v>2714</v>
      </c>
      <c r="T1" s="3727"/>
      <c r="U1" s="3727"/>
      <c r="V1" s="3727"/>
      <c r="X1" s="3726" t="s">
        <v>2715</v>
      </c>
      <c r="Y1" s="3727"/>
      <c r="Z1" s="3727"/>
      <c r="AA1" s="3727"/>
      <c r="AB1" s="3727"/>
      <c r="AD1" s="3726" t="s">
        <v>2716</v>
      </c>
      <c r="AE1" s="3727"/>
      <c r="AF1" s="3727"/>
      <c r="AG1" s="3727"/>
      <c r="AH1" s="3727"/>
    </row>
    <row r="2" spans="1:34" s="2901" customFormat="1" ht="14.25" thickBot="1">
      <c r="B2" s="2902" t="s">
        <v>2717</v>
      </c>
      <c r="C2" s="2902" t="s">
        <v>2718</v>
      </c>
      <c r="D2" s="2903" t="s">
        <v>2719</v>
      </c>
      <c r="E2" s="2903" t="s">
        <v>2720</v>
      </c>
      <c r="F2" s="2902" t="s">
        <v>2721</v>
      </c>
      <c r="G2" s="2904"/>
      <c r="H2" s="2905"/>
      <c r="I2" s="2905"/>
      <c r="J2" s="2905"/>
      <c r="K2" s="2905"/>
      <c r="L2" s="2905"/>
      <c r="N2" s="2904"/>
      <c r="O2" s="2905"/>
      <c r="P2" s="2905"/>
      <c r="Q2" s="2905"/>
      <c r="R2" s="2906"/>
      <c r="S2" s="2904"/>
      <c r="T2" s="2905"/>
      <c r="U2" s="2905"/>
      <c r="V2" s="2905"/>
      <c r="X2" s="2902" t="s">
        <v>2717</v>
      </c>
      <c r="Y2" s="2902" t="s">
        <v>2718</v>
      </c>
      <c r="Z2" s="2903" t="s">
        <v>2719</v>
      </c>
      <c r="AA2" s="2903" t="s">
        <v>2720</v>
      </c>
      <c r="AB2" s="2902" t="s">
        <v>2721</v>
      </c>
      <c r="AD2" s="2902" t="s">
        <v>2717</v>
      </c>
      <c r="AE2" s="2902" t="s">
        <v>2718</v>
      </c>
      <c r="AF2" s="2903" t="s">
        <v>2719</v>
      </c>
      <c r="AG2" s="2903" t="s">
        <v>2720</v>
      </c>
      <c r="AH2" s="2902" t="s">
        <v>2721</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1.3494999999999999</v>
      </c>
      <c r="Y3" s="2913">
        <f>ROUND(SUMPRODUCT(PRODUCT(1+O3:O$18)),4)</f>
        <v>1.2154</v>
      </c>
      <c r="Z3" s="2913">
        <f t="shared" ref="Z3:Z16" si="0">Y3</f>
        <v>1.2154</v>
      </c>
      <c r="AA3" s="2913">
        <f>ROUND(SUMPRODUCT(PRODUCT(1+P3:P$18)),4)</f>
        <v>1.3962000000000001</v>
      </c>
      <c r="AB3" s="2913">
        <f>ROUND(SUMPRODUCT(PRODUCT(1+Q3:Q$18)),4)</f>
        <v>1.1890000000000001</v>
      </c>
      <c r="AD3" s="2914">
        <f>ROUND(AVERAGE(I3:I$19)/100,4)</f>
        <v>2.3900000000000001E-2</v>
      </c>
      <c r="AE3" s="2914">
        <f>ROUND(AVERAGE(J3:J$19)/100,4)</f>
        <v>1.5699999999999999E-2</v>
      </c>
      <c r="AF3" s="2914">
        <f t="shared" ref="AF3:AF17" si="1">AE3</f>
        <v>1.5699999999999999E-2</v>
      </c>
      <c r="AG3" s="2914">
        <f>ROUND(AVERAGE(K3:K$19)/100,4)</f>
        <v>2.6599999999999999E-2</v>
      </c>
      <c r="AH3" s="2914">
        <f>ROUND(AVERAGE(L3:L$19)/100,4)</f>
        <v>1.34E-2</v>
      </c>
    </row>
    <row r="4" spans="1:34" s="2899" customFormat="1">
      <c r="A4" s="2915" t="s">
        <v>2722</v>
      </c>
      <c r="B4" s="2916"/>
      <c r="C4" s="2916"/>
      <c r="D4" s="2916"/>
      <c r="E4" s="2916"/>
      <c r="F4" s="2916"/>
      <c r="G4" s="3732">
        <v>2017</v>
      </c>
      <c r="H4" s="2917">
        <v>4</v>
      </c>
      <c r="I4" s="2917"/>
      <c r="J4" s="2917"/>
      <c r="K4" s="2917"/>
      <c r="L4" s="2918"/>
      <c r="N4" s="2919"/>
      <c r="O4" s="2900"/>
      <c r="P4" s="2900"/>
      <c r="Q4" s="2900"/>
      <c r="R4" s="2900"/>
      <c r="S4" s="2919"/>
      <c r="T4" s="2900"/>
      <c r="U4" s="2900"/>
      <c r="V4" s="2900"/>
      <c r="X4" s="2913">
        <f>ROUND(SUMPRODUCT(PRODUCT(1+N4:N$18)),4)</f>
        <v>1.3494999999999999</v>
      </c>
      <c r="Y4" s="2913">
        <f>ROUND(SUMPRODUCT(PRODUCT(1+O4:O$18)),4)</f>
        <v>1.2154</v>
      </c>
      <c r="Z4" s="2913">
        <f t="shared" si="0"/>
        <v>1.2154</v>
      </c>
      <c r="AA4" s="2913">
        <f>ROUND(SUMPRODUCT(PRODUCT(1+P4:P$18)),4)</f>
        <v>1.3962000000000001</v>
      </c>
      <c r="AB4" s="2913">
        <f>ROUND(SUMPRODUCT(PRODUCT(1+Q4:Q$18)),4)</f>
        <v>1.1890000000000001</v>
      </c>
      <c r="AD4" s="2914">
        <f>ROUND(AVERAGE(I4:I$19)/100,4)</f>
        <v>2.3900000000000001E-2</v>
      </c>
      <c r="AE4" s="2914">
        <f>ROUND(AVERAGE(J4:J$19)/100,4)</f>
        <v>1.5699999999999999E-2</v>
      </c>
      <c r="AF4" s="2914">
        <f t="shared" si="1"/>
        <v>1.5699999999999999E-2</v>
      </c>
      <c r="AG4" s="2914">
        <f>ROUND(AVERAGE(K4:K$19)/100,4)</f>
        <v>2.6599999999999999E-2</v>
      </c>
      <c r="AH4" s="2914">
        <f>ROUND(AVERAGE(L4:L$19)/100,4)</f>
        <v>1.34E-2</v>
      </c>
    </row>
    <row r="5" spans="1:34" s="2899" customFormat="1">
      <c r="A5" s="2915" t="s">
        <v>2723</v>
      </c>
      <c r="B5" s="2916"/>
      <c r="C5" s="2916"/>
      <c r="D5" s="2916"/>
      <c r="E5" s="2916"/>
      <c r="F5" s="2916"/>
      <c r="G5" s="3729"/>
      <c r="H5" s="2920">
        <v>3</v>
      </c>
      <c r="I5" s="2916"/>
      <c r="J5" s="2916"/>
      <c r="K5" s="2916"/>
      <c r="L5" s="2916"/>
      <c r="N5" s="2919"/>
      <c r="O5" s="2900"/>
      <c r="P5" s="2900"/>
      <c r="Q5" s="2900"/>
      <c r="R5" s="2900"/>
      <c r="S5" s="2919"/>
      <c r="T5" s="2900"/>
      <c r="U5" s="2900"/>
      <c r="V5" s="2900"/>
      <c r="X5" s="2913">
        <f>ROUND(SUMPRODUCT(PRODUCT(1+N5:N$18)),4)</f>
        <v>1.3494999999999999</v>
      </c>
      <c r="Y5" s="2913">
        <f>ROUND(SUMPRODUCT(PRODUCT(1+O5:O$18)),4)</f>
        <v>1.2154</v>
      </c>
      <c r="Z5" s="2913">
        <f t="shared" si="0"/>
        <v>1.2154</v>
      </c>
      <c r="AA5" s="2913">
        <f>ROUND(SUMPRODUCT(PRODUCT(1+P5:P$18)),4)</f>
        <v>1.3962000000000001</v>
      </c>
      <c r="AB5" s="2913">
        <f>ROUND(SUMPRODUCT(PRODUCT(1+Q5:Q$18)),4)</f>
        <v>1.1890000000000001</v>
      </c>
      <c r="AD5" s="2914">
        <f>ROUND(AVERAGE(I5:I$19)/100,4)</f>
        <v>2.3900000000000001E-2</v>
      </c>
      <c r="AE5" s="2914">
        <f>ROUND(AVERAGE(J5:J$19)/100,4)</f>
        <v>1.5699999999999999E-2</v>
      </c>
      <c r="AF5" s="2914">
        <f t="shared" si="1"/>
        <v>1.5699999999999999E-2</v>
      </c>
      <c r="AG5" s="2914">
        <f>ROUND(AVERAGE(K5:K$19)/100,4)</f>
        <v>2.6599999999999999E-2</v>
      </c>
      <c r="AH5" s="2914">
        <f>ROUND(AVERAGE(L5:L$19)/100,4)</f>
        <v>1.34E-2</v>
      </c>
    </row>
    <row r="6" spans="1:34" s="3241" customFormat="1">
      <c r="A6" s="3239" t="s">
        <v>2724</v>
      </c>
      <c r="B6" s="2922">
        <f>B7*(1+N6)</f>
        <v>415.21602360000003</v>
      </c>
      <c r="C6" s="2922">
        <f>C7*(1+O6)</f>
        <v>312.63083488000001</v>
      </c>
      <c r="D6" s="2922">
        <f>C6</f>
        <v>312.63083488000001</v>
      </c>
      <c r="E6" s="3233">
        <f>E7*(1+P6)</f>
        <v>589.96402416000001</v>
      </c>
      <c r="F6" s="3233">
        <f>F7*(1+Q6)</f>
        <v>273.82351752000005</v>
      </c>
      <c r="G6" s="3729"/>
      <c r="H6" s="3240">
        <v>2</v>
      </c>
      <c r="I6" s="2923">
        <f>ROUND(AVERAGE(I7:I19),2)</f>
        <v>2.39</v>
      </c>
      <c r="J6" s="2923">
        <f t="shared" ref="J6:L6" si="2">ROUND(AVERAGE(J7:J19),2)</f>
        <v>1.57</v>
      </c>
      <c r="K6" s="2923">
        <f t="shared" si="2"/>
        <v>2.66</v>
      </c>
      <c r="L6" s="2923">
        <f t="shared" si="2"/>
        <v>1.34</v>
      </c>
      <c r="N6" s="2925">
        <f>I6/100</f>
        <v>2.3900000000000001E-2</v>
      </c>
      <c r="O6" s="2925">
        <f t="shared" ref="O6" si="3">J6/100</f>
        <v>1.5700000000000002E-2</v>
      </c>
      <c r="P6" s="2925">
        <f t="shared" ref="P6" si="4">K6/100</f>
        <v>2.6600000000000002E-2</v>
      </c>
      <c r="Q6" s="2925">
        <f t="shared" ref="Q6" si="5">L6/100</f>
        <v>1.34E-2</v>
      </c>
      <c r="R6" s="3242"/>
      <c r="S6" s="3243"/>
      <c r="T6" s="3242"/>
      <c r="U6" s="3242"/>
      <c r="V6" s="3242"/>
      <c r="W6" s="2926" t="s">
        <v>2726</v>
      </c>
      <c r="X6" s="3231">
        <f>ROUND(SUMPRODUCT(PRODUCT(1+N6:N$18)),4)</f>
        <v>1.3494999999999999</v>
      </c>
      <c r="Y6" s="3231">
        <f>ROUND(SUMPRODUCT(PRODUCT(1+O6:O$18)),4)</f>
        <v>1.2154</v>
      </c>
      <c r="Z6" s="3231">
        <f t="shared" si="0"/>
        <v>1.2154</v>
      </c>
      <c r="AA6" s="3231">
        <f>ROUND(SUMPRODUCT(PRODUCT(1+P6:P$18)),4)</f>
        <v>1.3962000000000001</v>
      </c>
      <c r="AB6" s="3231">
        <f>ROUND(SUMPRODUCT(PRODUCT(1+Q6:Q$18)),4)</f>
        <v>1.1890000000000001</v>
      </c>
      <c r="AD6" s="2927">
        <f>ROUND(AVERAGE(I6:I$19)/100,4)</f>
        <v>2.3900000000000001E-2</v>
      </c>
      <c r="AE6" s="2927">
        <f>ROUND(AVERAGE(J6:J$19)/100,4)</f>
        <v>1.5699999999999999E-2</v>
      </c>
      <c r="AF6" s="2927">
        <f t="shared" si="1"/>
        <v>1.5699999999999999E-2</v>
      </c>
      <c r="AG6" s="2927">
        <f>ROUND(AVERAGE(K6:K$19)/100,4)</f>
        <v>2.6599999999999999E-2</v>
      </c>
      <c r="AH6" s="2927">
        <f>ROUND(AVERAGE(L6:L$19)/100,4)</f>
        <v>1.34E-2</v>
      </c>
    </row>
    <row r="7" spans="1:34" s="2924" customFormat="1" ht="13.5" thickBot="1">
      <c r="A7" s="2915" t="s">
        <v>2725</v>
      </c>
      <c r="B7" s="2936">
        <f>B8*(1+N7)</f>
        <v>405.524</v>
      </c>
      <c r="C7" s="2936">
        <f>C8*(1+O7)</f>
        <v>307.79840000000002</v>
      </c>
      <c r="D7" s="2936">
        <f>C7</f>
        <v>307.79840000000002</v>
      </c>
      <c r="E7" s="2936">
        <f>E8*(1+P7)</f>
        <v>574.67759999999998</v>
      </c>
      <c r="F7" s="2936">
        <f>F8*(1+Q7)</f>
        <v>270.20280000000002</v>
      </c>
      <c r="G7" s="3730"/>
      <c r="H7" s="2920">
        <v>1</v>
      </c>
      <c r="I7" s="2920">
        <v>3.45</v>
      </c>
      <c r="J7" s="2920">
        <v>1.92</v>
      </c>
      <c r="K7" s="2920">
        <v>3.92</v>
      </c>
      <c r="L7" s="2937">
        <v>1.58</v>
      </c>
      <c r="M7" s="2930"/>
      <c r="N7" s="2931">
        <f>I7/100</f>
        <v>3.4500000000000003E-2</v>
      </c>
      <c r="O7" s="2932">
        <f t="shared" ref="O7:Q22" si="6">J7/100</f>
        <v>1.9199999999999998E-2</v>
      </c>
      <c r="P7" s="2932">
        <f t="shared" si="6"/>
        <v>3.9199999999999999E-2</v>
      </c>
      <c r="Q7" s="2932">
        <f t="shared" si="6"/>
        <v>1.5800000000000002E-2</v>
      </c>
      <c r="R7" s="2933"/>
      <c r="S7" s="2931">
        <f>B7/B8-1</f>
        <v>3.4499999999999975E-2</v>
      </c>
      <c r="T7" s="2932">
        <f t="shared" ref="T7:V7" si="7">C7/C8-1</f>
        <v>1.9200000000000106E-2</v>
      </c>
      <c r="U7" s="2932">
        <f t="shared" si="7"/>
        <v>1.9200000000000106E-2</v>
      </c>
      <c r="V7" s="2932">
        <f t="shared" si="7"/>
        <v>3.9199999999999902E-2</v>
      </c>
      <c r="W7" s="2930"/>
      <c r="X7" s="2913">
        <f>ROUND(SUMPRODUCT(PRODUCT(1+N7:N$18)),4)</f>
        <v>1.3180000000000001</v>
      </c>
      <c r="Y7" s="2913">
        <f>ROUND(SUMPRODUCT(PRODUCT(1+O7:O$18)),4)</f>
        <v>1.1966000000000001</v>
      </c>
      <c r="Z7" s="2913">
        <f t="shared" si="0"/>
        <v>1.1966000000000001</v>
      </c>
      <c r="AA7" s="2913">
        <f>ROUND(SUMPRODUCT(PRODUCT(1+P7:P$18)),4)</f>
        <v>1.36</v>
      </c>
      <c r="AB7" s="2913">
        <f>ROUND(SUMPRODUCT(PRODUCT(1+Q7:Q$18)),4)</f>
        <v>1.1733</v>
      </c>
      <c r="AC7" s="2930"/>
      <c r="AD7" s="2914">
        <f>ROUND(AVERAGE(I7:I$19)/100,4)</f>
        <v>2.3900000000000001E-2</v>
      </c>
      <c r="AE7" s="2914">
        <f>ROUND(AVERAGE(J7:J$19)/100,4)</f>
        <v>1.5699999999999999E-2</v>
      </c>
      <c r="AF7" s="2914">
        <f t="shared" si="1"/>
        <v>1.5699999999999999E-2</v>
      </c>
      <c r="AG7" s="2914">
        <f>ROUND(AVERAGE(K7:K$19)/100,4)</f>
        <v>2.6599999999999999E-2</v>
      </c>
      <c r="AH7" s="2914">
        <f>ROUND(AVERAGE(L7:L$19)/100,4)</f>
        <v>1.34E-2</v>
      </c>
    </row>
    <row r="8" spans="1:34">
      <c r="A8" s="2915" t="s">
        <v>1154</v>
      </c>
      <c r="B8" s="2928">
        <v>392</v>
      </c>
      <c r="C8" s="2928">
        <v>302</v>
      </c>
      <c r="D8" s="2928">
        <f>C8</f>
        <v>302</v>
      </c>
      <c r="E8" s="2928">
        <v>553</v>
      </c>
      <c r="F8" s="2929">
        <v>266</v>
      </c>
      <c r="G8" s="3732">
        <v>2016</v>
      </c>
      <c r="H8" s="2917">
        <v>4</v>
      </c>
      <c r="I8" s="2917">
        <v>4.5599999999999996</v>
      </c>
      <c r="J8" s="2917">
        <v>2.15</v>
      </c>
      <c r="K8" s="2917">
        <v>5.32</v>
      </c>
      <c r="L8" s="2918">
        <v>1.57</v>
      </c>
      <c r="N8" s="2931">
        <f>I8/100</f>
        <v>4.5599999999999995E-2</v>
      </c>
      <c r="O8" s="2932">
        <f t="shared" si="6"/>
        <v>2.1499999999999998E-2</v>
      </c>
      <c r="P8" s="2932">
        <f t="shared" si="6"/>
        <v>5.3200000000000004E-2</v>
      </c>
      <c r="Q8" s="2932">
        <f t="shared" si="6"/>
        <v>1.5700000000000002E-2</v>
      </c>
      <c r="R8" s="2933"/>
      <c r="S8" s="2934"/>
      <c r="T8" s="2935"/>
      <c r="U8" s="2935"/>
      <c r="V8" s="2935"/>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1153</v>
      </c>
      <c r="B9" s="2936">
        <f t="shared" ref="B9:C11" si="8">B8/(1+N8)</f>
        <v>374.90436113236416</v>
      </c>
      <c r="C9" s="2936">
        <f t="shared" si="8"/>
        <v>295.64366128242779</v>
      </c>
      <c r="D9" s="2936">
        <f t="shared" ref="D9:D68" si="9">C9</f>
        <v>295.64366128242779</v>
      </c>
      <c r="E9" s="2936">
        <f t="shared" ref="E9:F11" si="10">E8/(1+P8)</f>
        <v>525.06646410938095</v>
      </c>
      <c r="F9" s="2936">
        <f t="shared" si="10"/>
        <v>261.88835286009646</v>
      </c>
      <c r="G9" s="3729"/>
      <c r="H9" s="2920">
        <v>3</v>
      </c>
      <c r="I9" s="2920">
        <v>4.12</v>
      </c>
      <c r="J9" s="2920">
        <v>2</v>
      </c>
      <c r="K9" s="2920">
        <v>4.79</v>
      </c>
      <c r="L9" s="2937">
        <v>1.97</v>
      </c>
      <c r="N9" s="2931">
        <f t="shared" ref="N9:Q43" si="11">I9/100</f>
        <v>4.1200000000000001E-2</v>
      </c>
      <c r="O9" s="2932">
        <f t="shared" si="6"/>
        <v>0.02</v>
      </c>
      <c r="P9" s="2932">
        <f t="shared" si="6"/>
        <v>4.7899999999999998E-2</v>
      </c>
      <c r="Q9" s="2932">
        <f t="shared" si="6"/>
        <v>1.9699999999999999E-2</v>
      </c>
      <c r="R9" s="2933"/>
      <c r="S9" s="2931"/>
      <c r="T9" s="2932"/>
      <c r="U9" s="2932"/>
      <c r="V9" s="2932"/>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1143</v>
      </c>
      <c r="B10" s="2936">
        <f t="shared" si="8"/>
        <v>360.06949782209392</v>
      </c>
      <c r="C10" s="2936">
        <f t="shared" si="8"/>
        <v>289.84672674747821</v>
      </c>
      <c r="D10" s="2936">
        <f t="shared" si="9"/>
        <v>289.84672674747821</v>
      </c>
      <c r="E10" s="2936">
        <f t="shared" si="10"/>
        <v>501.06543001181495</v>
      </c>
      <c r="F10" s="2936">
        <f t="shared" si="10"/>
        <v>256.82882500744967</v>
      </c>
      <c r="G10" s="3729"/>
      <c r="H10" s="2921">
        <v>2</v>
      </c>
      <c r="I10" s="2921">
        <v>3.85</v>
      </c>
      <c r="J10" s="2921">
        <v>1.95</v>
      </c>
      <c r="K10" s="2921">
        <v>4.4800000000000004</v>
      </c>
      <c r="L10" s="2938">
        <v>1.41</v>
      </c>
      <c r="N10" s="2931">
        <f t="shared" si="11"/>
        <v>3.85E-2</v>
      </c>
      <c r="O10" s="2932">
        <f t="shared" si="6"/>
        <v>1.95E-2</v>
      </c>
      <c r="P10" s="2932">
        <f t="shared" si="6"/>
        <v>4.4800000000000006E-2</v>
      </c>
      <c r="Q10" s="2932">
        <f t="shared" si="6"/>
        <v>1.41E-2</v>
      </c>
      <c r="R10" s="2933"/>
      <c r="S10" s="2931"/>
      <c r="T10" s="2932"/>
      <c r="U10" s="2932"/>
      <c r="V10" s="2932"/>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1152</v>
      </c>
      <c r="B11" s="2936">
        <f t="shared" si="8"/>
        <v>346.720748986128</v>
      </c>
      <c r="C11" s="2936">
        <f t="shared" si="8"/>
        <v>284.30282172386285</v>
      </c>
      <c r="D11" s="2936">
        <f t="shared" si="9"/>
        <v>284.30282172386285</v>
      </c>
      <c r="E11" s="2936">
        <f t="shared" si="10"/>
        <v>479.58023546306947</v>
      </c>
      <c r="F11" s="2936">
        <f t="shared" si="10"/>
        <v>253.25788877571213</v>
      </c>
      <c r="G11" s="3730"/>
      <c r="H11" s="2920">
        <v>1</v>
      </c>
      <c r="I11" s="2920">
        <v>4.09</v>
      </c>
      <c r="J11" s="2920">
        <v>2.93</v>
      </c>
      <c r="K11" s="2920">
        <v>4.54</v>
      </c>
      <c r="L11" s="2937">
        <v>1.48</v>
      </c>
      <c r="N11" s="2931">
        <f t="shared" si="11"/>
        <v>4.0899999999999999E-2</v>
      </c>
      <c r="O11" s="2932">
        <f t="shared" si="6"/>
        <v>2.9300000000000003E-2</v>
      </c>
      <c r="P11" s="2932">
        <f t="shared" si="6"/>
        <v>4.5400000000000003E-2</v>
      </c>
      <c r="Q11" s="2932">
        <f t="shared" si="6"/>
        <v>1.4800000000000001E-2</v>
      </c>
      <c r="R11" s="2933"/>
      <c r="S11" s="2939">
        <f>B11/B12-1</f>
        <v>4.1203450408792808E-2</v>
      </c>
      <c r="T11" s="2940">
        <f>C11/C12-1</f>
        <v>2.6363977342465095E-2</v>
      </c>
      <c r="U11" s="2940">
        <f>E11/E12-1</f>
        <v>4.4837114298626357E-2</v>
      </c>
      <c r="V11" s="2940">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1151</v>
      </c>
      <c r="B12" s="2928">
        <v>333</v>
      </c>
      <c r="C12" s="2928">
        <v>277</v>
      </c>
      <c r="D12" s="2928">
        <f t="shared" si="9"/>
        <v>277</v>
      </c>
      <c r="E12" s="2928">
        <v>459</v>
      </c>
      <c r="F12" s="2929">
        <v>249</v>
      </c>
      <c r="G12" s="3728">
        <v>2015</v>
      </c>
      <c r="H12" s="2941">
        <v>4</v>
      </c>
      <c r="I12" s="2941">
        <v>1.63</v>
      </c>
      <c r="J12" s="2941">
        <v>1.1100000000000001</v>
      </c>
      <c r="K12" s="2941">
        <v>1.77</v>
      </c>
      <c r="L12" s="2942">
        <v>1.89</v>
      </c>
      <c r="N12" s="2943">
        <f t="shared" si="11"/>
        <v>1.6299999999999999E-2</v>
      </c>
      <c r="O12" s="2944">
        <f t="shared" si="6"/>
        <v>1.11E-2</v>
      </c>
      <c r="P12" s="2944">
        <f t="shared" si="6"/>
        <v>1.77E-2</v>
      </c>
      <c r="Q12" s="2944">
        <f t="shared" si="6"/>
        <v>1.89E-2</v>
      </c>
      <c r="R12" s="2933"/>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1150</v>
      </c>
      <c r="B13" s="2936">
        <f t="shared" ref="B13:C15" si="12">B12/(1+N12)</f>
        <v>327.65915576109415</v>
      </c>
      <c r="C13" s="2936">
        <f t="shared" si="12"/>
        <v>273.95905449510434</v>
      </c>
      <c r="D13" s="2936">
        <f t="shared" si="9"/>
        <v>273.95905449510434</v>
      </c>
      <c r="E13" s="2936">
        <f t="shared" ref="E13:F15" si="13">E12/(1+P12)</f>
        <v>451.01699911565294</v>
      </c>
      <c r="F13" s="2936">
        <f t="shared" si="13"/>
        <v>244.38119540681129</v>
      </c>
      <c r="G13" s="3729"/>
      <c r="H13" s="2946">
        <v>3</v>
      </c>
      <c r="I13" s="2946">
        <v>1.65</v>
      </c>
      <c r="J13" s="2946">
        <v>0.92</v>
      </c>
      <c r="K13" s="2946">
        <v>1.88</v>
      </c>
      <c r="L13" s="2947">
        <v>1.26</v>
      </c>
      <c r="N13" s="2931">
        <f t="shared" si="11"/>
        <v>1.6500000000000001E-2</v>
      </c>
      <c r="O13" s="2948">
        <f t="shared" si="6"/>
        <v>9.1999999999999998E-3</v>
      </c>
      <c r="P13" s="2948">
        <f t="shared" si="6"/>
        <v>1.8799999999999997E-2</v>
      </c>
      <c r="Q13" s="2948">
        <f t="shared" si="6"/>
        <v>1.26E-2</v>
      </c>
      <c r="R13" s="2933"/>
      <c r="S13" s="2931"/>
      <c r="T13" s="2932"/>
      <c r="U13" s="2932"/>
      <c r="V13" s="2932"/>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1149</v>
      </c>
      <c r="B14" s="2936">
        <f t="shared" si="12"/>
        <v>322.34053690220776</v>
      </c>
      <c r="C14" s="2936">
        <f t="shared" si="12"/>
        <v>271.46160770422546</v>
      </c>
      <c r="D14" s="2936">
        <f t="shared" si="9"/>
        <v>271.46160770422546</v>
      </c>
      <c r="E14" s="2936">
        <f t="shared" si="13"/>
        <v>442.69434542172456</v>
      </c>
      <c r="F14" s="2936">
        <f t="shared" si="13"/>
        <v>241.34030753190925</v>
      </c>
      <c r="G14" s="3729"/>
      <c r="H14" s="2921">
        <v>2</v>
      </c>
      <c r="I14" s="2921">
        <v>0.77</v>
      </c>
      <c r="J14" s="2921">
        <v>0.69</v>
      </c>
      <c r="K14" s="2921">
        <v>0.8</v>
      </c>
      <c r="L14" s="2938">
        <v>0.88</v>
      </c>
      <c r="N14" s="2931">
        <f t="shared" si="11"/>
        <v>7.7000000000000002E-3</v>
      </c>
      <c r="O14" s="2948">
        <f t="shared" si="6"/>
        <v>6.8999999999999999E-3</v>
      </c>
      <c r="P14" s="2948">
        <f t="shared" si="6"/>
        <v>8.0000000000000002E-3</v>
      </c>
      <c r="Q14" s="2948">
        <f t="shared" si="6"/>
        <v>8.8000000000000005E-3</v>
      </c>
      <c r="R14" s="2933"/>
      <c r="S14" s="2931"/>
      <c r="T14" s="2932"/>
      <c r="U14" s="2932"/>
      <c r="V14" s="2932"/>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1148</v>
      </c>
      <c r="B15" s="2936">
        <f t="shared" si="12"/>
        <v>319.87748030386797</v>
      </c>
      <c r="C15" s="2936">
        <f t="shared" si="12"/>
        <v>269.60135833173649</v>
      </c>
      <c r="D15" s="2936">
        <f t="shared" si="9"/>
        <v>269.60135833173649</v>
      </c>
      <c r="E15" s="2936">
        <f t="shared" si="13"/>
        <v>439.18089823583784</v>
      </c>
      <c r="F15" s="2936">
        <f t="shared" si="13"/>
        <v>239.23503918706311</v>
      </c>
      <c r="G15" s="3730"/>
      <c r="H15" s="2920">
        <v>1</v>
      </c>
      <c r="I15" s="2920">
        <v>0.51</v>
      </c>
      <c r="J15" s="2920">
        <v>0.54</v>
      </c>
      <c r="K15" s="2920">
        <v>0.48</v>
      </c>
      <c r="L15" s="2937">
        <v>0.93</v>
      </c>
      <c r="N15" s="2939">
        <f t="shared" si="11"/>
        <v>5.1000000000000004E-3</v>
      </c>
      <c r="O15" s="2940">
        <f t="shared" si="6"/>
        <v>5.4000000000000003E-3</v>
      </c>
      <c r="P15" s="2940">
        <f t="shared" si="6"/>
        <v>4.7999999999999996E-3</v>
      </c>
      <c r="Q15" s="2940">
        <f t="shared" si="6"/>
        <v>9.300000000000001E-3</v>
      </c>
      <c r="R15" s="2933"/>
      <c r="S15" s="2939">
        <f>B15/B16-1</f>
        <v>5.9040261127922822E-3</v>
      </c>
      <c r="T15" s="2940">
        <f>C15/C16-1</f>
        <v>5.9752176557332781E-3</v>
      </c>
      <c r="U15" s="2940">
        <f>E15/E16-1</f>
        <v>4.9906138119859556E-3</v>
      </c>
      <c r="V15" s="2940">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1147</v>
      </c>
      <c r="B16" s="2949">
        <v>318</v>
      </c>
      <c r="C16" s="2949">
        <v>268</v>
      </c>
      <c r="D16" s="2949">
        <f t="shared" si="9"/>
        <v>268</v>
      </c>
      <c r="E16" s="2949">
        <v>437</v>
      </c>
      <c r="F16" s="2950">
        <v>237</v>
      </c>
      <c r="G16" s="3728">
        <v>2014</v>
      </c>
      <c r="H16" s="2941">
        <v>4</v>
      </c>
      <c r="I16" s="2941">
        <v>0.21</v>
      </c>
      <c r="J16" s="2941">
        <v>0.41</v>
      </c>
      <c r="K16" s="2941">
        <v>0.12</v>
      </c>
      <c r="L16" s="2942">
        <v>0.89</v>
      </c>
      <c r="N16" s="2931">
        <f t="shared" si="11"/>
        <v>2.0999999999999999E-3</v>
      </c>
      <c r="O16" s="2932">
        <f t="shared" si="6"/>
        <v>4.0999999999999995E-3</v>
      </c>
      <c r="P16" s="2932">
        <f t="shared" si="6"/>
        <v>1.1999999999999999E-3</v>
      </c>
      <c r="Q16" s="2932">
        <f t="shared" si="6"/>
        <v>8.8999999999999999E-3</v>
      </c>
      <c r="R16" s="2933"/>
      <c r="S16" s="2934"/>
      <c r="T16" s="2935"/>
      <c r="U16" s="2935"/>
      <c r="V16" s="2935"/>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1146</v>
      </c>
      <c r="B17" s="2936">
        <f t="shared" ref="B17:C19" si="14">B16/(1+N16)</f>
        <v>317.33359944117353</v>
      </c>
      <c r="C17" s="2936">
        <f t="shared" si="14"/>
        <v>266.90568668459315</v>
      </c>
      <c r="D17" s="2936">
        <f t="shared" si="9"/>
        <v>266.90568668459315</v>
      </c>
      <c r="E17" s="2936">
        <f t="shared" ref="E17:F19" si="15">E16/(1+P16)</f>
        <v>436.47622852576905</v>
      </c>
      <c r="F17" s="2936">
        <f t="shared" si="15"/>
        <v>234.90930716622066</v>
      </c>
      <c r="G17" s="3729"/>
      <c r="H17" s="2951">
        <v>3</v>
      </c>
      <c r="I17" s="2951">
        <v>0.83</v>
      </c>
      <c r="J17" s="2951">
        <v>1.47</v>
      </c>
      <c r="K17" s="2951">
        <v>0.65</v>
      </c>
      <c r="L17" s="2952">
        <v>0.72</v>
      </c>
      <c r="N17" s="2931">
        <f t="shared" si="11"/>
        <v>8.3000000000000001E-3</v>
      </c>
      <c r="O17" s="2932">
        <f t="shared" si="6"/>
        <v>1.47E-2</v>
      </c>
      <c r="P17" s="2932">
        <f t="shared" si="6"/>
        <v>6.5000000000000006E-3</v>
      </c>
      <c r="Q17" s="2932">
        <f t="shared" si="6"/>
        <v>7.1999999999999998E-3</v>
      </c>
      <c r="R17" s="2933"/>
      <c r="S17" s="2931"/>
      <c r="T17" s="2932"/>
      <c r="U17" s="2932"/>
      <c r="V17" s="2932"/>
      <c r="X17" s="2913">
        <f>ROUND(SUMPRODUCT(PRODUCT(1+N17:N$18)),4)</f>
        <v>1.0325</v>
      </c>
      <c r="Y17" s="2913">
        <f>ROUND(SUMPRODUCT(PRODUCT(1+O17:O$18)),4)</f>
        <v>1.0353000000000001</v>
      </c>
      <c r="Z17" s="2913">
        <f t="shared" ref="Z17:Z18" si="16">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1145</v>
      </c>
      <c r="B18" s="2936">
        <f t="shared" si="14"/>
        <v>314.72141172386546</v>
      </c>
      <c r="C18" s="2936">
        <f t="shared" si="14"/>
        <v>263.03901319069001</v>
      </c>
      <c r="D18" s="2936">
        <f t="shared" si="9"/>
        <v>263.03901319069001</v>
      </c>
      <c r="E18" s="2936">
        <f t="shared" si="15"/>
        <v>433.65745506782821</v>
      </c>
      <c r="F18" s="2936">
        <f t="shared" si="15"/>
        <v>233.23005080045735</v>
      </c>
      <c r="G18" s="3729"/>
      <c r="H18" s="2941">
        <v>2</v>
      </c>
      <c r="I18" s="2941">
        <v>2.4</v>
      </c>
      <c r="J18" s="2941">
        <v>2.0299999999999998</v>
      </c>
      <c r="K18" s="2941">
        <v>2.59</v>
      </c>
      <c r="L18" s="2942">
        <v>1.52</v>
      </c>
      <c r="N18" s="2931">
        <f t="shared" si="11"/>
        <v>2.4E-2</v>
      </c>
      <c r="O18" s="2932">
        <f t="shared" si="6"/>
        <v>2.0299999999999999E-2</v>
      </c>
      <c r="P18" s="2932">
        <f t="shared" si="6"/>
        <v>2.5899999999999999E-2</v>
      </c>
      <c r="Q18" s="2932">
        <f t="shared" si="6"/>
        <v>1.52E-2</v>
      </c>
      <c r="R18" s="2933"/>
      <c r="S18" s="2931"/>
      <c r="T18" s="2932"/>
      <c r="U18" s="2932"/>
      <c r="V18" s="2932"/>
      <c r="X18" s="2913">
        <f>1+N18</f>
        <v>1.024</v>
      </c>
      <c r="Y18" s="2913">
        <f>1+O18</f>
        <v>1.0203</v>
      </c>
      <c r="Z18" s="2913">
        <f t="shared" si="16"/>
        <v>1.0203</v>
      </c>
      <c r="AA18" s="2913">
        <f>1+P18</f>
        <v>1.0259</v>
      </c>
      <c r="AB18" s="2913">
        <f>1+Q18</f>
        <v>1.0152000000000001</v>
      </c>
      <c r="AD18" s="2914">
        <f>ROUND(AVERAGE(I18:I$19)/100,4)</f>
        <v>2.69E-2</v>
      </c>
      <c r="AE18" s="2914">
        <f>ROUND(AVERAGE(J18:J$19)/100,4)</f>
        <v>2.1899999999999999E-2</v>
      </c>
      <c r="AF18" s="2914">
        <f t="shared" ref="AF18" si="17">AE18</f>
        <v>2.1899999999999999E-2</v>
      </c>
      <c r="AG18" s="2914">
        <f>ROUND(AVERAGE(K18:K$19)/100,4)</f>
        <v>2.9399999999999999E-2</v>
      </c>
      <c r="AH18" s="2914">
        <f>ROUND(AVERAGE(L18:L$19)/100,4)</f>
        <v>1.44E-2</v>
      </c>
    </row>
    <row r="19" spans="1:34" s="2957" customFormat="1" ht="13.5" thickBot="1">
      <c r="A19" s="2953" t="s">
        <v>1144</v>
      </c>
      <c r="B19" s="2954">
        <f t="shared" si="14"/>
        <v>307.34512863658733</v>
      </c>
      <c r="C19" s="2954">
        <f t="shared" si="14"/>
        <v>257.80556031626975</v>
      </c>
      <c r="D19" s="2954">
        <f t="shared" si="9"/>
        <v>257.80556031626975</v>
      </c>
      <c r="E19" s="2954">
        <f t="shared" si="15"/>
        <v>422.70928459677179</v>
      </c>
      <c r="F19" s="2954">
        <f t="shared" si="15"/>
        <v>229.73803270336617</v>
      </c>
      <c r="G19" s="3730"/>
      <c r="H19" s="2955">
        <v>1</v>
      </c>
      <c r="I19" s="2955">
        <v>2.97</v>
      </c>
      <c r="J19" s="2955">
        <v>2.34</v>
      </c>
      <c r="K19" s="2955">
        <v>3.28</v>
      </c>
      <c r="L19" s="2956">
        <v>1.36</v>
      </c>
      <c r="N19" s="2958">
        <f t="shared" si="11"/>
        <v>2.9700000000000001E-2</v>
      </c>
      <c r="O19" s="2959">
        <f t="shared" si="6"/>
        <v>2.3399999999999997E-2</v>
      </c>
      <c r="P19" s="2959">
        <f t="shared" si="6"/>
        <v>3.2799999999999996E-2</v>
      </c>
      <c r="Q19" s="2959">
        <f t="shared" si="6"/>
        <v>1.3600000000000001E-2</v>
      </c>
      <c r="R19" s="2960"/>
      <c r="S19" s="2961">
        <f>B19/B20-1</f>
        <v>2.7910129219355539E-2</v>
      </c>
      <c r="T19" s="2962">
        <f>C19/C20-1</f>
        <v>2.3037937762975247E-2</v>
      </c>
      <c r="U19" s="2962">
        <f>E19/E20-1</f>
        <v>3.3519033243940788E-2</v>
      </c>
      <c r="V19" s="2962">
        <f>F19/F20-1</f>
        <v>1.2061818076502862E-2</v>
      </c>
      <c r="W19" s="2963" t="s">
        <v>2727</v>
      </c>
      <c r="X19" s="2964">
        <v>1</v>
      </c>
      <c r="Y19" s="2964">
        <v>1</v>
      </c>
      <c r="Z19" s="2964">
        <v>1</v>
      </c>
      <c r="AA19" s="2964">
        <v>1</v>
      </c>
      <c r="AB19" s="2964">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5" t="s">
        <v>2728</v>
      </c>
      <c r="B20" s="2928">
        <v>299</v>
      </c>
      <c r="C20" s="2928">
        <v>252</v>
      </c>
      <c r="D20" s="2928">
        <f t="shared" si="9"/>
        <v>252</v>
      </c>
      <c r="E20" s="2928">
        <v>409</v>
      </c>
      <c r="F20" s="2929">
        <v>227</v>
      </c>
      <c r="G20" s="3733">
        <v>2013</v>
      </c>
      <c r="H20" s="2965">
        <v>4</v>
      </c>
      <c r="I20" s="2965">
        <v>1.83</v>
      </c>
      <c r="J20" s="2965">
        <v>1.68</v>
      </c>
      <c r="K20" s="2965">
        <v>1.97</v>
      </c>
      <c r="L20" s="2966">
        <v>0.87</v>
      </c>
      <c r="N20" s="2943">
        <f t="shared" si="11"/>
        <v>1.83E-2</v>
      </c>
      <c r="O20" s="2944">
        <f t="shared" si="6"/>
        <v>1.6799999999999999E-2</v>
      </c>
      <c r="P20" s="2944">
        <f t="shared" si="6"/>
        <v>1.9699999999999999E-2</v>
      </c>
      <c r="Q20" s="2944">
        <f t="shared" si="6"/>
        <v>8.6999999999999994E-3</v>
      </c>
      <c r="R20" s="2933"/>
      <c r="S20" s="2934"/>
      <c r="T20" s="2935"/>
      <c r="U20" s="2935"/>
      <c r="V20" s="2935"/>
      <c r="X20" s="2935"/>
      <c r="Y20" s="2935"/>
      <c r="Z20" s="2935"/>
    </row>
    <row r="21" spans="1:34">
      <c r="A21" s="2915" t="s">
        <v>2729</v>
      </c>
      <c r="B21" s="2936">
        <f t="shared" ref="B21:C23" si="18">B20/(1+N20)</f>
        <v>293.62663262299913</v>
      </c>
      <c r="C21" s="2936">
        <f t="shared" si="18"/>
        <v>247.83634933123525</v>
      </c>
      <c r="D21" s="2936">
        <f t="shared" si="9"/>
        <v>247.83634933123525</v>
      </c>
      <c r="E21" s="2936">
        <f t="shared" ref="E21:F23" si="19">E20/(1+P20)</f>
        <v>401.09836226341076</v>
      </c>
      <c r="F21" s="2936">
        <f t="shared" si="19"/>
        <v>225.04213343908003</v>
      </c>
      <c r="G21" s="3734"/>
      <c r="H21" s="2946">
        <v>3</v>
      </c>
      <c r="I21" s="2946">
        <v>1.86</v>
      </c>
      <c r="J21" s="2946">
        <v>1.72</v>
      </c>
      <c r="K21" s="2946">
        <v>1.98</v>
      </c>
      <c r="L21" s="2947">
        <v>0.88</v>
      </c>
      <c r="N21" s="2931">
        <f t="shared" si="11"/>
        <v>1.8600000000000002E-2</v>
      </c>
      <c r="O21" s="2948">
        <f t="shared" si="6"/>
        <v>1.72E-2</v>
      </c>
      <c r="P21" s="2948">
        <f t="shared" si="6"/>
        <v>1.9799999999999998E-2</v>
      </c>
      <c r="Q21" s="2948">
        <f t="shared" si="6"/>
        <v>8.8000000000000005E-3</v>
      </c>
      <c r="R21" s="2933"/>
      <c r="S21" s="2931"/>
      <c r="T21" s="2932"/>
      <c r="U21" s="2932"/>
      <c r="V21" s="2932"/>
    </row>
    <row r="22" spans="1:34">
      <c r="A22" s="2915" t="s">
        <v>2730</v>
      </c>
      <c r="B22" s="2936">
        <f t="shared" si="18"/>
        <v>288.2649053828776</v>
      </c>
      <c r="C22" s="2936">
        <f t="shared" si="18"/>
        <v>243.64564425013293</v>
      </c>
      <c r="D22" s="2936">
        <f t="shared" si="9"/>
        <v>243.64564425013293</v>
      </c>
      <c r="E22" s="2936">
        <f t="shared" si="19"/>
        <v>393.31080825986544</v>
      </c>
      <c r="F22" s="2936">
        <f t="shared" si="19"/>
        <v>223.07903790551154</v>
      </c>
      <c r="G22" s="3734"/>
      <c r="H22" s="2921">
        <v>2</v>
      </c>
      <c r="I22" s="2921">
        <v>2.04</v>
      </c>
      <c r="J22" s="2921">
        <v>2.33</v>
      </c>
      <c r="K22" s="2921">
        <v>2.0699999999999998</v>
      </c>
      <c r="L22" s="2938">
        <v>0.69</v>
      </c>
      <c r="N22" s="2931">
        <f t="shared" si="11"/>
        <v>2.0400000000000001E-2</v>
      </c>
      <c r="O22" s="2948">
        <f t="shared" si="6"/>
        <v>2.3300000000000001E-2</v>
      </c>
      <c r="P22" s="2948">
        <f t="shared" si="6"/>
        <v>2.07E-2</v>
      </c>
      <c r="Q22" s="2948">
        <f t="shared" si="6"/>
        <v>6.8999999999999999E-3</v>
      </c>
      <c r="R22" s="2933"/>
      <c r="S22" s="2931"/>
      <c r="T22" s="2932"/>
      <c r="U22" s="2932"/>
      <c r="V22" s="2932"/>
      <c r="X22" s="2967"/>
      <c r="Y22" s="2968"/>
    </row>
    <row r="23" spans="1:34">
      <c r="A23" s="2915" t="s">
        <v>2731</v>
      </c>
      <c r="B23" s="2936">
        <f t="shared" si="18"/>
        <v>282.50186729015837</v>
      </c>
      <c r="C23" s="2936">
        <f t="shared" si="18"/>
        <v>238.09796174155468</v>
      </c>
      <c r="D23" s="2936">
        <f t="shared" si="9"/>
        <v>238.09796174155468</v>
      </c>
      <c r="E23" s="2936">
        <f t="shared" si="19"/>
        <v>385.33438646014054</v>
      </c>
      <c r="F23" s="2936">
        <f t="shared" si="19"/>
        <v>221.55034055567739</v>
      </c>
      <c r="G23" s="3735"/>
      <c r="H23" s="2920">
        <v>1</v>
      </c>
      <c r="I23" s="2920">
        <v>1.67</v>
      </c>
      <c r="J23" s="2920">
        <v>1.31</v>
      </c>
      <c r="K23" s="2920">
        <v>1.85</v>
      </c>
      <c r="L23" s="2937">
        <v>0.96</v>
      </c>
      <c r="N23" s="2939">
        <f t="shared" si="11"/>
        <v>1.67E-2</v>
      </c>
      <c r="O23" s="2940">
        <f t="shared" si="11"/>
        <v>1.3100000000000001E-2</v>
      </c>
      <c r="P23" s="2940">
        <f t="shared" si="11"/>
        <v>1.8500000000000003E-2</v>
      </c>
      <c r="Q23" s="2940">
        <f t="shared" si="11"/>
        <v>9.5999999999999992E-3</v>
      </c>
      <c r="R23" s="2933"/>
      <c r="S23" s="2939">
        <f>B23/B24-1</f>
        <v>1.6193767230785472E-2</v>
      </c>
      <c r="T23" s="2940">
        <f>C23/C24-1</f>
        <v>1.7512657015190891E-2</v>
      </c>
      <c r="U23" s="2940">
        <f>E23/E24-1</f>
        <v>1.6713420739157048E-2</v>
      </c>
      <c r="V23" s="2940">
        <f>F23/F24-1</f>
        <v>7.0470025258062563E-3</v>
      </c>
      <c r="X23" s="2969"/>
      <c r="Y23" s="2914"/>
      <c r="Z23" s="2914"/>
    </row>
    <row r="24" spans="1:34" ht="13.5" thickBot="1">
      <c r="A24" s="2915" t="s">
        <v>2732</v>
      </c>
      <c r="B24" s="2970">
        <v>278</v>
      </c>
      <c r="C24" s="2970">
        <v>234</v>
      </c>
      <c r="D24" s="2970">
        <f t="shared" si="9"/>
        <v>234</v>
      </c>
      <c r="E24" s="2970">
        <v>379</v>
      </c>
      <c r="F24" s="2971">
        <v>220</v>
      </c>
      <c r="G24" s="3728">
        <v>2012</v>
      </c>
      <c r="H24" s="2941">
        <v>4</v>
      </c>
      <c r="I24" s="2941">
        <v>0.91</v>
      </c>
      <c r="J24" s="2941">
        <v>0.68</v>
      </c>
      <c r="K24" s="2941">
        <v>0.98</v>
      </c>
      <c r="L24" s="2942">
        <v>0.9</v>
      </c>
      <c r="N24" s="2931">
        <f t="shared" si="11"/>
        <v>9.1000000000000004E-3</v>
      </c>
      <c r="O24" s="2932">
        <f t="shared" si="11"/>
        <v>6.8000000000000005E-3</v>
      </c>
      <c r="P24" s="2932">
        <f t="shared" si="11"/>
        <v>9.7999999999999997E-3</v>
      </c>
      <c r="Q24" s="2932">
        <f t="shared" si="11"/>
        <v>9.0000000000000011E-3</v>
      </c>
      <c r="R24" s="2933"/>
      <c r="S24" s="2934"/>
      <c r="T24" s="2935"/>
      <c r="U24" s="2935"/>
      <c r="V24" s="2935"/>
      <c r="X24" s="2935"/>
      <c r="Y24" s="2935"/>
      <c r="Z24" s="2935"/>
    </row>
    <row r="25" spans="1:34">
      <c r="A25" s="2915" t="s">
        <v>2733</v>
      </c>
      <c r="B25" s="2936">
        <f>B24/(1+N24)</f>
        <v>275.49301357645425</v>
      </c>
      <c r="C25" s="2936">
        <f>C24/(1+O24)</f>
        <v>232.41954707985698</v>
      </c>
      <c r="D25" s="2936">
        <f t="shared" si="9"/>
        <v>232.41954707985698</v>
      </c>
      <c r="E25" s="2936">
        <f t="shared" ref="E25:F27" si="20">E24/(1+P24)</f>
        <v>375.32184591008121</v>
      </c>
      <c r="F25" s="2936">
        <f t="shared" si="20"/>
        <v>218.03766105054513</v>
      </c>
      <c r="G25" s="3729"/>
      <c r="H25" s="2946">
        <v>3</v>
      </c>
      <c r="I25" s="2946">
        <v>0.09</v>
      </c>
      <c r="J25" s="2946">
        <v>0.28999999999999998</v>
      </c>
      <c r="K25" s="2946">
        <v>-0.01</v>
      </c>
      <c r="L25" s="2947">
        <v>0.57999999999999996</v>
      </c>
      <c r="N25" s="2931">
        <f t="shared" si="11"/>
        <v>8.9999999999999998E-4</v>
      </c>
      <c r="O25" s="2932">
        <f t="shared" si="11"/>
        <v>2.8999999999999998E-3</v>
      </c>
      <c r="P25" s="2932">
        <f t="shared" si="11"/>
        <v>-1E-4</v>
      </c>
      <c r="Q25" s="2932">
        <f t="shared" si="11"/>
        <v>5.7999999999999996E-3</v>
      </c>
      <c r="R25" s="2933"/>
      <c r="S25" s="2931"/>
      <c r="T25" s="2932"/>
      <c r="U25" s="2932"/>
      <c r="V25" s="2932"/>
    </row>
    <row r="26" spans="1:34">
      <c r="A26" s="2915" t="s">
        <v>2734</v>
      </c>
      <c r="B26" s="2936">
        <f>B25/(1+N25)</f>
        <v>275.24529281292263</v>
      </c>
      <c r="C26" s="2936">
        <f>C25/(1+O25)</f>
        <v>231.74747938962707</v>
      </c>
      <c r="D26" s="2936">
        <f t="shared" si="9"/>
        <v>231.74747938962707</v>
      </c>
      <c r="E26" s="2936">
        <f t="shared" si="20"/>
        <v>375.35938184826603</v>
      </c>
      <c r="F26" s="2936">
        <f t="shared" si="20"/>
        <v>216.78033510692495</v>
      </c>
      <c r="G26" s="3729"/>
      <c r="H26" s="2921">
        <v>2</v>
      </c>
      <c r="I26" s="2921">
        <v>0.02</v>
      </c>
      <c r="J26" s="2921">
        <v>0.12</v>
      </c>
      <c r="K26" s="2921">
        <v>-0.08</v>
      </c>
      <c r="L26" s="2938">
        <v>1.24</v>
      </c>
      <c r="N26" s="2931">
        <f t="shared" si="11"/>
        <v>2.0000000000000001E-4</v>
      </c>
      <c r="O26" s="2932">
        <f t="shared" si="11"/>
        <v>1.1999999999999999E-3</v>
      </c>
      <c r="P26" s="2932">
        <f t="shared" si="11"/>
        <v>-8.0000000000000004E-4</v>
      </c>
      <c r="Q26" s="2932">
        <f t="shared" si="11"/>
        <v>1.24E-2</v>
      </c>
      <c r="R26" s="2933"/>
      <c r="S26" s="2931"/>
      <c r="T26" s="2932"/>
      <c r="U26" s="2932"/>
      <c r="V26" s="2932"/>
    </row>
    <row r="27" spans="1:34" ht="13.5" thickBot="1">
      <c r="A27" s="2915" t="s">
        <v>2735</v>
      </c>
      <c r="B27" s="2936">
        <f>B26/(1+N26)</f>
        <v>275.19025476197027</v>
      </c>
      <c r="C27" s="2972">
        <v>232</v>
      </c>
      <c r="D27" s="2972">
        <f t="shared" si="9"/>
        <v>232</v>
      </c>
      <c r="E27" s="2936">
        <f t="shared" si="20"/>
        <v>375.65990977608692</v>
      </c>
      <c r="F27" s="2936">
        <f t="shared" si="20"/>
        <v>214.12518283971252</v>
      </c>
      <c r="G27" s="3730"/>
      <c r="H27" s="2920">
        <v>1</v>
      </c>
      <c r="I27" s="2920">
        <v>0.02</v>
      </c>
      <c r="J27" s="2920">
        <v>0.13</v>
      </c>
      <c r="K27" s="2920">
        <v>-0.04</v>
      </c>
      <c r="L27" s="2937">
        <v>0.46</v>
      </c>
      <c r="N27" s="2931">
        <f t="shared" si="11"/>
        <v>2.0000000000000001E-4</v>
      </c>
      <c r="O27" s="2932">
        <f t="shared" si="11"/>
        <v>1.2999999999999999E-3</v>
      </c>
      <c r="P27" s="2932">
        <f t="shared" si="11"/>
        <v>-4.0000000000000002E-4</v>
      </c>
      <c r="Q27" s="2932">
        <f t="shared" si="11"/>
        <v>4.5999999999999999E-3</v>
      </c>
      <c r="R27" s="2933"/>
      <c r="S27" s="2939">
        <f>B27/B28-1</f>
        <v>6.9183549807361189E-4</v>
      </c>
      <c r="T27" s="2940">
        <f>C27/C28-1</f>
        <v>0</v>
      </c>
      <c r="U27" s="2940">
        <f>E27/E28-1</f>
        <v>-9.0449527636460303E-4</v>
      </c>
      <c r="V27" s="2940">
        <f>F27/F28-1</f>
        <v>5.2825485432512753E-3</v>
      </c>
      <c r="X27" s="2914"/>
      <c r="Y27" s="2914"/>
      <c r="Z27" s="2914"/>
    </row>
    <row r="28" spans="1:34" ht="13.5" thickBot="1">
      <c r="A28" s="2915" t="s">
        <v>2736</v>
      </c>
      <c r="B28" s="2928">
        <v>275</v>
      </c>
      <c r="C28" s="2928">
        <v>232</v>
      </c>
      <c r="D28" s="2928">
        <f t="shared" si="9"/>
        <v>232</v>
      </c>
      <c r="E28" s="2928">
        <v>376</v>
      </c>
      <c r="F28" s="2929">
        <v>213</v>
      </c>
      <c r="G28" s="3728">
        <v>2011</v>
      </c>
      <c r="H28" s="2941">
        <v>4</v>
      </c>
      <c r="I28" s="2941">
        <v>-0.2</v>
      </c>
      <c r="J28" s="2941">
        <v>0.04</v>
      </c>
      <c r="K28" s="2941">
        <v>-0.34</v>
      </c>
      <c r="L28" s="2942">
        <v>0.46</v>
      </c>
      <c r="N28" s="2943">
        <f t="shared" si="11"/>
        <v>-2E-3</v>
      </c>
      <c r="O28" s="2944">
        <f t="shared" si="11"/>
        <v>4.0000000000000002E-4</v>
      </c>
      <c r="P28" s="2944">
        <f t="shared" si="11"/>
        <v>-3.4000000000000002E-3</v>
      </c>
      <c r="Q28" s="2944">
        <f t="shared" si="11"/>
        <v>4.5999999999999999E-3</v>
      </c>
      <c r="R28" s="2933"/>
      <c r="S28" s="2934"/>
      <c r="T28" s="2935"/>
      <c r="U28" s="2935"/>
      <c r="V28" s="2935"/>
      <c r="X28" s="2935"/>
      <c r="Y28" s="2935"/>
      <c r="Z28" s="2935"/>
    </row>
    <row r="29" spans="1:34">
      <c r="A29" s="2915" t="s">
        <v>2737</v>
      </c>
      <c r="B29" s="2936">
        <f t="shared" ref="B29:C31" si="21">B28/(1+N28)</f>
        <v>275.55110220440883</v>
      </c>
      <c r="C29" s="2936">
        <f t="shared" si="21"/>
        <v>231.90723710515795</v>
      </c>
      <c r="D29" s="2936">
        <f t="shared" si="9"/>
        <v>231.90723710515795</v>
      </c>
      <c r="E29" s="2936">
        <f t="shared" ref="E29:F31" si="22">E28/(1+P28)</f>
        <v>377.28276138872161</v>
      </c>
      <c r="F29" s="2936">
        <f t="shared" si="22"/>
        <v>212.02468644236512</v>
      </c>
      <c r="G29" s="3729">
        <v>2011</v>
      </c>
      <c r="H29" s="2946">
        <v>3</v>
      </c>
      <c r="I29" s="2946">
        <v>0.13</v>
      </c>
      <c r="J29" s="2946">
        <v>0.75</v>
      </c>
      <c r="K29" s="2946">
        <v>-0.08</v>
      </c>
      <c r="L29" s="2947">
        <v>0.53</v>
      </c>
      <c r="N29" s="2931">
        <f t="shared" si="11"/>
        <v>1.2999999999999999E-3</v>
      </c>
      <c r="O29" s="2948">
        <f t="shared" si="11"/>
        <v>7.4999999999999997E-3</v>
      </c>
      <c r="P29" s="2948">
        <f t="shared" si="11"/>
        <v>-8.0000000000000004E-4</v>
      </c>
      <c r="Q29" s="2948">
        <f t="shared" si="11"/>
        <v>5.3E-3</v>
      </c>
      <c r="R29" s="2933"/>
      <c r="S29" s="2931"/>
      <c r="T29" s="2932"/>
      <c r="U29" s="2932"/>
      <c r="V29" s="2932"/>
    </row>
    <row r="30" spans="1:34">
      <c r="A30" s="2915" t="s">
        <v>2738</v>
      </c>
      <c r="B30" s="2936">
        <f t="shared" si="21"/>
        <v>275.19335084830601</v>
      </c>
      <c r="C30" s="2936">
        <f t="shared" si="21"/>
        <v>230.18088050139744</v>
      </c>
      <c r="D30" s="2936">
        <f t="shared" si="9"/>
        <v>230.18088050139744</v>
      </c>
      <c r="E30" s="2936">
        <f t="shared" si="22"/>
        <v>377.58482925212331</v>
      </c>
      <c r="F30" s="2936">
        <f t="shared" si="22"/>
        <v>210.90687997847917</v>
      </c>
      <c r="G30" s="3729">
        <v>2011</v>
      </c>
      <c r="H30" s="2921">
        <v>2</v>
      </c>
      <c r="I30" s="2921">
        <v>-0.4</v>
      </c>
      <c r="J30" s="2921">
        <v>0.17</v>
      </c>
      <c r="K30" s="2921">
        <v>-0.57999999999999996</v>
      </c>
      <c r="L30" s="2938">
        <v>-0.2</v>
      </c>
      <c r="N30" s="2931">
        <f t="shared" si="11"/>
        <v>-4.0000000000000001E-3</v>
      </c>
      <c r="O30" s="2948">
        <f t="shared" si="11"/>
        <v>1.7000000000000001E-3</v>
      </c>
      <c r="P30" s="2948">
        <f t="shared" si="11"/>
        <v>-5.7999999999999996E-3</v>
      </c>
      <c r="Q30" s="2948">
        <f t="shared" si="11"/>
        <v>-2E-3</v>
      </c>
      <c r="R30" s="2933"/>
      <c r="S30" s="2931"/>
      <c r="T30" s="2932"/>
      <c r="U30" s="2932"/>
      <c r="V30" s="2932"/>
    </row>
    <row r="31" spans="1:34" ht="13.5" thickBot="1">
      <c r="A31" s="2915" t="s">
        <v>2739</v>
      </c>
      <c r="B31" s="2936">
        <f t="shared" si="21"/>
        <v>276.29854502841971</v>
      </c>
      <c r="C31" s="2936">
        <f t="shared" si="21"/>
        <v>229.79023709833027</v>
      </c>
      <c r="D31" s="2936">
        <f t="shared" si="9"/>
        <v>229.79023709833027</v>
      </c>
      <c r="E31" s="2936">
        <f t="shared" si="22"/>
        <v>379.78759731655936</v>
      </c>
      <c r="F31" s="2936">
        <f t="shared" si="22"/>
        <v>211.32953905659235</v>
      </c>
      <c r="G31" s="3730">
        <v>2011</v>
      </c>
      <c r="H31" s="2920">
        <v>1</v>
      </c>
      <c r="I31" s="2920">
        <v>2.65</v>
      </c>
      <c r="J31" s="2920">
        <v>3.76</v>
      </c>
      <c r="K31" s="2920">
        <v>1.89</v>
      </c>
      <c r="L31" s="2937">
        <v>7.95</v>
      </c>
      <c r="N31" s="2939">
        <f t="shared" si="11"/>
        <v>2.6499999999999999E-2</v>
      </c>
      <c r="O31" s="2940">
        <f t="shared" si="11"/>
        <v>3.7599999999999995E-2</v>
      </c>
      <c r="P31" s="2940">
        <f t="shared" si="11"/>
        <v>1.89E-2</v>
      </c>
      <c r="Q31" s="2940">
        <f t="shared" si="11"/>
        <v>7.9500000000000001E-2</v>
      </c>
      <c r="R31" s="2933"/>
      <c r="S31" s="2939">
        <f>B31/B32-1</f>
        <v>2.713213765211786E-2</v>
      </c>
      <c r="T31" s="2940">
        <f>C31/C32-1</f>
        <v>3.9774828499231862E-2</v>
      </c>
      <c r="U31" s="2940">
        <f>E31/E32-1</f>
        <v>1.8197311840641772E-2</v>
      </c>
      <c r="V31" s="2940">
        <f>F31/F32-1</f>
        <v>7.8211933962205826E-2</v>
      </c>
      <c r="X31" s="2914"/>
      <c r="Y31" s="2914"/>
      <c r="Z31" s="2914"/>
    </row>
    <row r="32" spans="1:34" ht="13.5" thickBot="1">
      <c r="A32" s="2915" t="s">
        <v>2740</v>
      </c>
      <c r="B32" s="2928">
        <v>269</v>
      </c>
      <c r="C32" s="2928">
        <v>221</v>
      </c>
      <c r="D32" s="2928">
        <f t="shared" si="9"/>
        <v>221</v>
      </c>
      <c r="E32" s="2928">
        <v>373</v>
      </c>
      <c r="F32" s="2929">
        <v>196</v>
      </c>
      <c r="G32" s="3728">
        <v>2010</v>
      </c>
      <c r="H32" s="2941">
        <v>4</v>
      </c>
      <c r="I32" s="2941">
        <v>5.72</v>
      </c>
      <c r="J32" s="2941">
        <v>6.57</v>
      </c>
      <c r="K32" s="2941">
        <v>5.72</v>
      </c>
      <c r="L32" s="2942">
        <v>2.72</v>
      </c>
      <c r="N32" s="2931">
        <f t="shared" si="11"/>
        <v>5.7200000000000001E-2</v>
      </c>
      <c r="O32" s="2932">
        <f t="shared" si="11"/>
        <v>6.5700000000000008E-2</v>
      </c>
      <c r="P32" s="2932">
        <f t="shared" si="11"/>
        <v>5.7200000000000001E-2</v>
      </c>
      <c r="Q32" s="2932">
        <f t="shared" si="11"/>
        <v>2.7200000000000002E-2</v>
      </c>
      <c r="R32" s="2933"/>
      <c r="S32" s="2934"/>
      <c r="T32" s="2935"/>
      <c r="U32" s="2935"/>
      <c r="V32" s="2935"/>
      <c r="X32" s="2935"/>
      <c r="Y32" s="2935"/>
      <c r="Z32" s="2935"/>
    </row>
    <row r="33" spans="1:26">
      <c r="A33" s="2915" t="s">
        <v>2741</v>
      </c>
      <c r="B33" s="2936">
        <f t="shared" ref="B33:C35" si="23">B32/(1+N32)</f>
        <v>254.44570563753314</v>
      </c>
      <c r="C33" s="2936">
        <f t="shared" si="23"/>
        <v>207.37543398705074</v>
      </c>
      <c r="D33" s="2936">
        <f t="shared" si="9"/>
        <v>207.37543398705074</v>
      </c>
      <c r="E33" s="2936">
        <f t="shared" ref="E33:F35" si="24">E32/(1+P32)</f>
        <v>352.81876655315932</v>
      </c>
      <c r="F33" s="2936">
        <f t="shared" si="24"/>
        <v>190.809968847352</v>
      </c>
      <c r="G33" s="3729">
        <v>2010</v>
      </c>
      <c r="H33" s="2946">
        <v>3</v>
      </c>
      <c r="I33" s="2946">
        <v>4.7300000000000004</v>
      </c>
      <c r="J33" s="2946">
        <v>3.9</v>
      </c>
      <c r="K33" s="2946">
        <v>5.03</v>
      </c>
      <c r="L33" s="2947">
        <v>4.21</v>
      </c>
      <c r="N33" s="2931">
        <f t="shared" si="11"/>
        <v>4.7300000000000002E-2</v>
      </c>
      <c r="O33" s="2932">
        <f t="shared" si="11"/>
        <v>3.9E-2</v>
      </c>
      <c r="P33" s="2932">
        <f t="shared" si="11"/>
        <v>5.0300000000000004E-2</v>
      </c>
      <c r="Q33" s="2932">
        <f t="shared" si="11"/>
        <v>4.2099999999999999E-2</v>
      </c>
      <c r="R33" s="2933"/>
      <c r="S33" s="2931"/>
      <c r="T33" s="2932"/>
      <c r="U33" s="2932"/>
      <c r="V33" s="2932"/>
    </row>
    <row r="34" spans="1:26">
      <c r="A34" s="2915" t="s">
        <v>2742</v>
      </c>
      <c r="B34" s="2936">
        <f t="shared" si="23"/>
        <v>242.95398227588385</v>
      </c>
      <c r="C34" s="2936">
        <f t="shared" si="23"/>
        <v>199.59137053614126</v>
      </c>
      <c r="D34" s="2936">
        <f t="shared" si="9"/>
        <v>199.59137053614126</v>
      </c>
      <c r="E34" s="2936">
        <f t="shared" si="24"/>
        <v>335.92189522342125</v>
      </c>
      <c r="F34" s="2936">
        <f t="shared" si="24"/>
        <v>183.10139991109489</v>
      </c>
      <c r="G34" s="3729">
        <v>2010</v>
      </c>
      <c r="H34" s="2921">
        <v>2</v>
      </c>
      <c r="I34" s="2921">
        <v>4.6900000000000004</v>
      </c>
      <c r="J34" s="2921">
        <v>3.55</v>
      </c>
      <c r="K34" s="2921">
        <v>5.07</v>
      </c>
      <c r="L34" s="2938">
        <v>4.2300000000000004</v>
      </c>
      <c r="N34" s="2931">
        <f t="shared" si="11"/>
        <v>4.6900000000000004E-2</v>
      </c>
      <c r="O34" s="2932">
        <f t="shared" si="11"/>
        <v>3.5499999999999997E-2</v>
      </c>
      <c r="P34" s="2932">
        <f t="shared" si="11"/>
        <v>5.0700000000000002E-2</v>
      </c>
      <c r="Q34" s="2932">
        <f t="shared" si="11"/>
        <v>4.2300000000000004E-2</v>
      </c>
      <c r="R34" s="2933"/>
      <c r="S34" s="2931"/>
      <c r="T34" s="2932"/>
      <c r="U34" s="2932"/>
      <c r="V34" s="2932"/>
    </row>
    <row r="35" spans="1:26" ht="13.5" thickBot="1">
      <c r="A35" s="2915" t="s">
        <v>2743</v>
      </c>
      <c r="B35" s="2936">
        <f t="shared" si="23"/>
        <v>232.06990378821649</v>
      </c>
      <c r="C35" s="2936">
        <f t="shared" si="23"/>
        <v>192.74878854286936</v>
      </c>
      <c r="D35" s="2936">
        <f t="shared" si="9"/>
        <v>192.74878854286936</v>
      </c>
      <c r="E35" s="2936">
        <f t="shared" si="24"/>
        <v>319.71247284992984</v>
      </c>
      <c r="F35" s="2936">
        <f t="shared" si="24"/>
        <v>175.67053622862409</v>
      </c>
      <c r="G35" s="3730">
        <v>2010</v>
      </c>
      <c r="H35" s="2920">
        <v>1</v>
      </c>
      <c r="I35" s="2920">
        <v>5.4</v>
      </c>
      <c r="J35" s="2920">
        <v>3.2</v>
      </c>
      <c r="K35" s="2920">
        <v>6.16</v>
      </c>
      <c r="L35" s="2937">
        <v>4.51</v>
      </c>
      <c r="N35" s="2931">
        <f t="shared" si="11"/>
        <v>5.4000000000000006E-2</v>
      </c>
      <c r="O35" s="2932">
        <f t="shared" si="11"/>
        <v>3.2000000000000001E-2</v>
      </c>
      <c r="P35" s="2932">
        <f t="shared" si="11"/>
        <v>6.1600000000000002E-2</v>
      </c>
      <c r="Q35" s="2932">
        <f t="shared" si="11"/>
        <v>4.5100000000000001E-2</v>
      </c>
      <c r="R35" s="2933"/>
      <c r="S35" s="2939">
        <f>B35/B36-1</f>
        <v>5.4863199037347599E-2</v>
      </c>
      <c r="T35" s="2940">
        <f>C35/C36-1</f>
        <v>3.0742184721226584E-2</v>
      </c>
      <c r="U35" s="2940">
        <f>E35/E36-1</f>
        <v>6.2167683886810154E-2</v>
      </c>
      <c r="V35" s="2940">
        <f>F35/F36-1</f>
        <v>4.5657953741810031E-2</v>
      </c>
      <c r="X35" s="2914"/>
      <c r="Y35" s="2914"/>
      <c r="Z35" s="2914"/>
    </row>
    <row r="36" spans="1:26" ht="13.5" thickBot="1">
      <c r="A36" s="2915" t="s">
        <v>2744</v>
      </c>
      <c r="B36" s="2928">
        <v>220</v>
      </c>
      <c r="C36" s="2928">
        <v>187</v>
      </c>
      <c r="D36" s="2928">
        <f t="shared" si="9"/>
        <v>187</v>
      </c>
      <c r="E36" s="2928">
        <v>301</v>
      </c>
      <c r="F36" s="2929">
        <v>168</v>
      </c>
      <c r="G36" s="3728">
        <v>2009</v>
      </c>
      <c r="H36" s="2941">
        <v>4</v>
      </c>
      <c r="I36" s="2941">
        <v>2.2999999999999998</v>
      </c>
      <c r="J36" s="2941">
        <v>1.04</v>
      </c>
      <c r="K36" s="2941">
        <v>2.84</v>
      </c>
      <c r="L36" s="2942">
        <v>0.67</v>
      </c>
      <c r="N36" s="2943">
        <f t="shared" si="11"/>
        <v>2.3E-2</v>
      </c>
      <c r="O36" s="2944">
        <f t="shared" si="11"/>
        <v>1.04E-2</v>
      </c>
      <c r="P36" s="2944">
        <f t="shared" si="11"/>
        <v>2.8399999999999998E-2</v>
      </c>
      <c r="Q36" s="2944">
        <f t="shared" si="11"/>
        <v>6.7000000000000002E-3</v>
      </c>
      <c r="R36" s="2933"/>
      <c r="S36" s="2934"/>
      <c r="T36" s="2935"/>
      <c r="U36" s="2935"/>
      <c r="V36" s="2935"/>
      <c r="X36" s="2935"/>
      <c r="Y36" s="2935"/>
      <c r="Z36" s="2935"/>
    </row>
    <row r="37" spans="1:26">
      <c r="A37" s="2915" t="s">
        <v>2745</v>
      </c>
      <c r="B37" s="2936">
        <f t="shared" ref="B37:C39" si="25">B36/(1+N36)</f>
        <v>215.05376344086022</v>
      </c>
      <c r="C37" s="2936">
        <f t="shared" si="25"/>
        <v>185.0752177355503</v>
      </c>
      <c r="D37" s="2936">
        <f t="shared" si="9"/>
        <v>185.0752177355503</v>
      </c>
      <c r="E37" s="2936">
        <f t="shared" ref="E37:F39" si="26">E36/(1+P36)</f>
        <v>292.68767016725008</v>
      </c>
      <c r="F37" s="2936">
        <f t="shared" si="26"/>
        <v>166.88189132810174</v>
      </c>
      <c r="G37" s="3729">
        <v>2009</v>
      </c>
      <c r="H37" s="2946">
        <v>3</v>
      </c>
      <c r="I37" s="2946">
        <v>2.1</v>
      </c>
      <c r="J37" s="2946">
        <v>1.86</v>
      </c>
      <c r="K37" s="2946">
        <v>2.29</v>
      </c>
      <c r="L37" s="2947">
        <v>0.85</v>
      </c>
      <c r="N37" s="2931">
        <f t="shared" si="11"/>
        <v>2.1000000000000001E-2</v>
      </c>
      <c r="O37" s="2948">
        <f t="shared" si="11"/>
        <v>1.8600000000000002E-2</v>
      </c>
      <c r="P37" s="2948">
        <f t="shared" si="11"/>
        <v>2.29E-2</v>
      </c>
      <c r="Q37" s="2948">
        <f t="shared" si="11"/>
        <v>8.5000000000000006E-3</v>
      </c>
      <c r="R37" s="2933"/>
      <c r="S37" s="2931"/>
      <c r="T37" s="2932"/>
      <c r="U37" s="2932"/>
      <c r="V37" s="2932"/>
    </row>
    <row r="38" spans="1:26">
      <c r="A38" s="2915" t="s">
        <v>2746</v>
      </c>
      <c r="B38" s="2936">
        <f t="shared" si="25"/>
        <v>210.630522469011</v>
      </c>
      <c r="C38" s="2936">
        <f t="shared" si="25"/>
        <v>181.69567812247232</v>
      </c>
      <c r="D38" s="2936">
        <f t="shared" si="9"/>
        <v>181.69567812247232</v>
      </c>
      <c r="E38" s="2936">
        <f t="shared" si="26"/>
        <v>286.13517466736738</v>
      </c>
      <c r="F38" s="2936">
        <f t="shared" si="26"/>
        <v>165.47535084591149</v>
      </c>
      <c r="G38" s="3729">
        <v>2009</v>
      </c>
      <c r="H38" s="2921">
        <v>2</v>
      </c>
      <c r="I38" s="2921">
        <v>0.86</v>
      </c>
      <c r="J38" s="2921">
        <v>-1.1299999999999999</v>
      </c>
      <c r="K38" s="2921">
        <v>1.79</v>
      </c>
      <c r="L38" s="2938">
        <v>-2.0699999999999998</v>
      </c>
      <c r="N38" s="2931">
        <f t="shared" si="11"/>
        <v>8.6E-3</v>
      </c>
      <c r="O38" s="2948">
        <f t="shared" si="11"/>
        <v>-1.1299999999999999E-2</v>
      </c>
      <c r="P38" s="2948">
        <f t="shared" si="11"/>
        <v>1.7899999999999999E-2</v>
      </c>
      <c r="Q38" s="2948">
        <f t="shared" si="11"/>
        <v>-2.07E-2</v>
      </c>
      <c r="R38" s="2933"/>
      <c r="S38" s="2931"/>
      <c r="T38" s="2932"/>
      <c r="U38" s="2932"/>
      <c r="V38" s="2932"/>
    </row>
    <row r="39" spans="1:26">
      <c r="A39" s="2915" t="s">
        <v>2747</v>
      </c>
      <c r="B39" s="2936">
        <f t="shared" si="25"/>
        <v>208.83454537875372</v>
      </c>
      <c r="C39" s="2936">
        <f t="shared" si="25"/>
        <v>183.77230517090351</v>
      </c>
      <c r="D39" s="2936">
        <f t="shared" si="9"/>
        <v>183.77230517090351</v>
      </c>
      <c r="E39" s="2936">
        <f t="shared" si="26"/>
        <v>281.10342338870947</v>
      </c>
      <c r="F39" s="2936">
        <f t="shared" si="26"/>
        <v>168.97309388942256</v>
      </c>
      <c r="G39" s="3730">
        <v>2009</v>
      </c>
      <c r="H39" s="2920">
        <v>1</v>
      </c>
      <c r="I39" s="2920">
        <v>-2.64</v>
      </c>
      <c r="J39" s="2920">
        <v>-2.5299999999999998</v>
      </c>
      <c r="K39" s="2920">
        <v>-3.02</v>
      </c>
      <c r="L39" s="2937">
        <v>1.52</v>
      </c>
      <c r="N39" s="2939">
        <f t="shared" si="11"/>
        <v>-2.64E-2</v>
      </c>
      <c r="O39" s="2940">
        <f t="shared" si="11"/>
        <v>-2.53E-2</v>
      </c>
      <c r="P39" s="2940">
        <f t="shared" si="11"/>
        <v>-3.0200000000000001E-2</v>
      </c>
      <c r="Q39" s="2940">
        <f t="shared" si="11"/>
        <v>1.52E-2</v>
      </c>
      <c r="R39" s="2933"/>
      <c r="S39" s="2939">
        <f>B39/B40-1</f>
        <v>-2.4137638417038754E-2</v>
      </c>
      <c r="T39" s="2940">
        <f>C39/C40-1</f>
        <v>-2.248773845264096E-2</v>
      </c>
      <c r="U39" s="2940">
        <f>E39/E40-1</f>
        <v>-2.7323794502735366E-2</v>
      </c>
      <c r="V39" s="2940">
        <f>F39/F40-1</f>
        <v>1.7910204153148035E-2</v>
      </c>
      <c r="X39" s="2914"/>
      <c r="Y39" s="2914"/>
      <c r="Z39" s="2914"/>
    </row>
    <row r="40" spans="1:26" ht="13.5" thickBot="1">
      <c r="A40" s="2915" t="s">
        <v>2748</v>
      </c>
      <c r="B40" s="2970">
        <v>214</v>
      </c>
      <c r="C40" s="2970">
        <v>188</v>
      </c>
      <c r="D40" s="2970">
        <f t="shared" si="9"/>
        <v>188</v>
      </c>
      <c r="E40" s="2970">
        <v>289</v>
      </c>
      <c r="F40" s="2971">
        <v>166</v>
      </c>
      <c r="G40" s="3728">
        <v>2008</v>
      </c>
      <c r="H40" s="2941">
        <v>4</v>
      </c>
      <c r="I40" s="2941">
        <v>1.73</v>
      </c>
      <c r="J40" s="2941">
        <v>0.03</v>
      </c>
      <c r="K40" s="2941">
        <v>2.59</v>
      </c>
      <c r="L40" s="2942">
        <v>-1.66</v>
      </c>
      <c r="N40" s="2931">
        <f t="shared" si="11"/>
        <v>1.7299999999999999E-2</v>
      </c>
      <c r="O40" s="2932">
        <f t="shared" si="11"/>
        <v>2.9999999999999997E-4</v>
      </c>
      <c r="P40" s="2932">
        <f t="shared" si="11"/>
        <v>2.5899999999999999E-2</v>
      </c>
      <c r="Q40" s="2932">
        <f t="shared" si="11"/>
        <v>-1.66E-2</v>
      </c>
      <c r="R40" s="2933"/>
      <c r="S40" s="2934"/>
      <c r="T40" s="2935"/>
      <c r="U40" s="2935"/>
      <c r="V40" s="2935"/>
      <c r="X40" s="2935"/>
      <c r="Y40" s="2935"/>
      <c r="Z40" s="2935"/>
    </row>
    <row r="41" spans="1:26">
      <c r="A41" s="2915" t="s">
        <v>2749</v>
      </c>
      <c r="B41" s="2936">
        <f t="shared" ref="B41:C43" si="27">B40/(1+N40)</f>
        <v>210.36075887152265</v>
      </c>
      <c r="C41" s="2936">
        <f t="shared" si="27"/>
        <v>187.94361691492554</v>
      </c>
      <c r="D41" s="2936">
        <f t="shared" si="9"/>
        <v>187.94361691492554</v>
      </c>
      <c r="E41" s="2936">
        <f t="shared" ref="E41:F43" si="28">E40/(1+P40)</f>
        <v>281.70386977288234</v>
      </c>
      <c r="F41" s="2936">
        <f t="shared" si="28"/>
        <v>168.80211511083994</v>
      </c>
      <c r="G41" s="3729">
        <v>2008</v>
      </c>
      <c r="H41" s="2946">
        <v>3</v>
      </c>
      <c r="I41" s="2946">
        <v>1.96</v>
      </c>
      <c r="J41" s="2946">
        <v>2.36</v>
      </c>
      <c r="K41" s="2946">
        <v>1.82</v>
      </c>
      <c r="L41" s="2947">
        <v>2.2200000000000002</v>
      </c>
      <c r="N41" s="2931">
        <f t="shared" si="11"/>
        <v>1.9599999999999999E-2</v>
      </c>
      <c r="O41" s="2932">
        <f t="shared" si="11"/>
        <v>2.3599999999999999E-2</v>
      </c>
      <c r="P41" s="2932">
        <f t="shared" si="11"/>
        <v>1.8200000000000001E-2</v>
      </c>
      <c r="Q41" s="2932">
        <f t="shared" si="11"/>
        <v>2.2200000000000001E-2</v>
      </c>
      <c r="R41" s="2933"/>
      <c r="S41" s="2931"/>
      <c r="T41" s="2932"/>
      <c r="U41" s="2932"/>
      <c r="V41" s="2932"/>
    </row>
    <row r="42" spans="1:26">
      <c r="A42" s="2915" t="s">
        <v>2750</v>
      </c>
      <c r="B42" s="2936">
        <f t="shared" si="27"/>
        <v>206.31694671589116</v>
      </c>
      <c r="C42" s="2936">
        <f t="shared" si="27"/>
        <v>183.61041121036101</v>
      </c>
      <c r="D42" s="2936">
        <f t="shared" si="9"/>
        <v>183.61041121036101</v>
      </c>
      <c r="E42" s="2936">
        <f t="shared" si="28"/>
        <v>276.66850301795557</v>
      </c>
      <c r="F42" s="2936">
        <f t="shared" si="28"/>
        <v>165.1360938278614</v>
      </c>
      <c r="G42" s="3729">
        <v>2008</v>
      </c>
      <c r="H42" s="2921">
        <v>2</v>
      </c>
      <c r="I42" s="2921">
        <v>4.93</v>
      </c>
      <c r="J42" s="2921">
        <v>7.38</v>
      </c>
      <c r="K42" s="2921">
        <v>3.98</v>
      </c>
      <c r="L42" s="2938">
        <v>6.86</v>
      </c>
      <c r="N42" s="2931">
        <f t="shared" si="11"/>
        <v>4.9299999999999997E-2</v>
      </c>
      <c r="O42" s="2932">
        <f t="shared" si="11"/>
        <v>7.3800000000000004E-2</v>
      </c>
      <c r="P42" s="2932">
        <f t="shared" si="11"/>
        <v>3.9800000000000002E-2</v>
      </c>
      <c r="Q42" s="2932">
        <f t="shared" si="11"/>
        <v>6.8600000000000008E-2</v>
      </c>
      <c r="R42" s="2933"/>
      <c r="S42" s="2931"/>
      <c r="T42" s="2932"/>
      <c r="U42" s="2932"/>
      <c r="V42" s="2932"/>
    </row>
    <row r="43" spans="1:26" s="2976" customFormat="1" ht="13.5" thickBot="1">
      <c r="A43" s="2915" t="s">
        <v>2751</v>
      </c>
      <c r="B43" s="2973">
        <f t="shared" si="27"/>
        <v>196.62341248059772</v>
      </c>
      <c r="C43" s="2973">
        <f t="shared" si="27"/>
        <v>170.99125648199012</v>
      </c>
      <c r="D43" s="2973">
        <f t="shared" si="9"/>
        <v>170.99125648199012</v>
      </c>
      <c r="E43" s="2973">
        <f t="shared" si="28"/>
        <v>266.07857570490052</v>
      </c>
      <c r="F43" s="2973">
        <f t="shared" si="28"/>
        <v>154.53499328828505</v>
      </c>
      <c r="G43" s="3730">
        <v>2008</v>
      </c>
      <c r="H43" s="2974">
        <v>1</v>
      </c>
      <c r="I43" s="2974">
        <v>4.1399999999999997</v>
      </c>
      <c r="J43" s="2974">
        <v>3.45</v>
      </c>
      <c r="K43" s="2974">
        <v>4.95</v>
      </c>
      <c r="L43" s="2975">
        <v>4.82</v>
      </c>
      <c r="N43" s="2977">
        <f t="shared" si="11"/>
        <v>4.1399999999999999E-2</v>
      </c>
      <c r="O43" s="2978">
        <f t="shared" si="11"/>
        <v>3.4500000000000003E-2</v>
      </c>
      <c r="P43" s="2978">
        <f t="shared" si="11"/>
        <v>4.9500000000000002E-2</v>
      </c>
      <c r="Q43" s="2978">
        <f t="shared" si="11"/>
        <v>4.82E-2</v>
      </c>
      <c r="R43" s="2979"/>
      <c r="S43" s="2977">
        <f>B43/B44-1</f>
        <v>4.5869215322328349E-2</v>
      </c>
      <c r="T43" s="2978">
        <f>C43/C44-1</f>
        <v>3.6310645345394743E-2</v>
      </c>
      <c r="U43" s="2978">
        <f>E43/E44-1</f>
        <v>4.7553447657088688E-2</v>
      </c>
      <c r="V43" s="2978">
        <f>F43/F44-1</f>
        <v>4.4155360055980086E-2</v>
      </c>
      <c r="X43" s="2980"/>
      <c r="Y43" s="2980"/>
      <c r="Z43" s="2980"/>
    </row>
    <row r="44" spans="1:26" ht="13.5" thickBot="1">
      <c r="A44" s="2915" t="s">
        <v>2752</v>
      </c>
      <c r="B44" s="2928">
        <v>188</v>
      </c>
      <c r="C44" s="2928">
        <v>165</v>
      </c>
      <c r="D44" s="2928">
        <f t="shared" si="9"/>
        <v>165</v>
      </c>
      <c r="E44" s="2928">
        <v>254</v>
      </c>
      <c r="F44" s="2929">
        <v>148</v>
      </c>
      <c r="G44" s="3728">
        <v>2007</v>
      </c>
      <c r="H44" s="2981">
        <v>4</v>
      </c>
      <c r="I44" s="2981">
        <v>5.51</v>
      </c>
      <c r="J44" s="2981">
        <v>4.8899999999999997</v>
      </c>
      <c r="K44" s="2981">
        <v>6.43</v>
      </c>
      <c r="L44" s="2982">
        <v>5.36</v>
      </c>
      <c r="N44" s="2983">
        <f t="shared" ref="N44:O47" si="29">B44/B45-1</f>
        <v>4.1339718365245526E-2</v>
      </c>
      <c r="O44" s="2984">
        <f t="shared" si="29"/>
        <v>4.0324492593776018E-2</v>
      </c>
      <c r="P44" s="2984">
        <f t="shared" ref="P44:Q47" si="30">E44/E45-1</f>
        <v>6.1625555347990968E-2</v>
      </c>
      <c r="Q44" s="2984">
        <f t="shared" si="30"/>
        <v>4.6757569250590603E-2</v>
      </c>
      <c r="R44" s="2933"/>
      <c r="S44" s="2934"/>
      <c r="T44" s="2935"/>
      <c r="U44" s="2935"/>
      <c r="V44" s="2935"/>
      <c r="X44" s="2935"/>
      <c r="Y44" s="2935"/>
      <c r="Z44" s="2935"/>
    </row>
    <row r="45" spans="1:26">
      <c r="A45" s="2915" t="s">
        <v>2753</v>
      </c>
      <c r="B45" s="2936">
        <f t="shared" ref="B45:C47" si="31">B46+(B$44-B$48)*I45/SUM(I$44:I$47)</f>
        <v>180.5366651097618</v>
      </c>
      <c r="C45" s="2936">
        <f t="shared" si="31"/>
        <v>158.60435967302453</v>
      </c>
      <c r="D45" s="2936">
        <f t="shared" si="9"/>
        <v>158.60435967302453</v>
      </c>
      <c r="E45" s="2936">
        <f t="shared" ref="E45:F47" si="32">E46+(E$44-E$48)*K45/SUM(K$44:K$47)</f>
        <v>239.25573260785075</v>
      </c>
      <c r="F45" s="2936">
        <f t="shared" si="32"/>
        <v>141.38899430740037</v>
      </c>
      <c r="G45" s="3729">
        <v>2007</v>
      </c>
      <c r="H45" s="2946">
        <v>3</v>
      </c>
      <c r="I45" s="2946">
        <v>8.65</v>
      </c>
      <c r="J45" s="2946">
        <v>8.06</v>
      </c>
      <c r="K45" s="2946">
        <v>9.94</v>
      </c>
      <c r="L45" s="2947">
        <v>5.8</v>
      </c>
      <c r="N45" s="2983">
        <f t="shared" si="29"/>
        <v>6.940217571740015E-2</v>
      </c>
      <c r="O45" s="2984">
        <f t="shared" si="29"/>
        <v>7.1197482471153428E-2</v>
      </c>
      <c r="P45" s="2984">
        <f t="shared" si="30"/>
        <v>0.10529679922579582</v>
      </c>
      <c r="Q45" s="2984">
        <f t="shared" si="30"/>
        <v>5.3292245059512133E-2</v>
      </c>
      <c r="R45" s="2933"/>
      <c r="S45" s="2931"/>
      <c r="T45" s="2932"/>
      <c r="U45" s="2932"/>
      <c r="V45" s="2932"/>
      <c r="X45" s="2985"/>
      <c r="Y45" s="2985"/>
      <c r="Z45" s="2985"/>
    </row>
    <row r="46" spans="1:26">
      <c r="A46" s="2915" t="s">
        <v>2754</v>
      </c>
      <c r="B46" s="2936">
        <f t="shared" si="31"/>
        <v>168.82017748715555</v>
      </c>
      <c r="C46" s="2936">
        <f t="shared" si="31"/>
        <v>148.06267029972753</v>
      </c>
      <c r="D46" s="2936">
        <f t="shared" si="9"/>
        <v>148.06267029972753</v>
      </c>
      <c r="E46" s="2936">
        <f t="shared" si="32"/>
        <v>216.46288379323747</v>
      </c>
      <c r="F46" s="2936">
        <f t="shared" si="32"/>
        <v>134.23529411764704</v>
      </c>
      <c r="G46" s="3729">
        <v>2007</v>
      </c>
      <c r="H46" s="2921">
        <v>2</v>
      </c>
      <c r="I46" s="2921">
        <v>3.67</v>
      </c>
      <c r="J46" s="2921">
        <v>2.3199999999999998</v>
      </c>
      <c r="K46" s="2921">
        <v>5.0199999999999996</v>
      </c>
      <c r="L46" s="2938">
        <v>6.71</v>
      </c>
      <c r="N46" s="2983">
        <f t="shared" si="29"/>
        <v>3.0339138143848032E-2</v>
      </c>
      <c r="O46" s="2984">
        <f t="shared" si="29"/>
        <v>2.0922341588790472E-2</v>
      </c>
      <c r="P46" s="2984">
        <f t="shared" si="30"/>
        <v>5.6164796592717003E-2</v>
      </c>
      <c r="Q46" s="2984">
        <f t="shared" si="30"/>
        <v>6.5704536723887319E-2</v>
      </c>
      <c r="R46" s="2933"/>
      <c r="S46" s="2931"/>
      <c r="T46" s="2932"/>
      <c r="U46" s="2932"/>
      <c r="V46" s="2932"/>
      <c r="X46" s="2985"/>
      <c r="Y46" s="2985"/>
      <c r="Z46" s="2985"/>
    </row>
    <row r="47" spans="1:26">
      <c r="A47" s="2915" t="s">
        <v>2755</v>
      </c>
      <c r="B47" s="2936">
        <f t="shared" si="31"/>
        <v>163.84913591779542</v>
      </c>
      <c r="C47" s="2936">
        <f t="shared" si="31"/>
        <v>145.0283378746594</v>
      </c>
      <c r="D47" s="2936">
        <f t="shared" si="9"/>
        <v>145.0283378746594</v>
      </c>
      <c r="E47" s="2936">
        <f t="shared" si="32"/>
        <v>204.95180722891567</v>
      </c>
      <c r="F47" s="2936">
        <f t="shared" si="32"/>
        <v>125.95920303605313</v>
      </c>
      <c r="G47" s="3730">
        <v>2007</v>
      </c>
      <c r="H47" s="2920">
        <v>1</v>
      </c>
      <c r="I47" s="2920">
        <v>3.58</v>
      </c>
      <c r="J47" s="2920">
        <v>3.08</v>
      </c>
      <c r="K47" s="2920">
        <v>4.34</v>
      </c>
      <c r="L47" s="2937">
        <v>3.21</v>
      </c>
      <c r="N47" s="2986">
        <f t="shared" si="29"/>
        <v>3.0497710174814063E-2</v>
      </c>
      <c r="O47" s="2987">
        <f t="shared" si="29"/>
        <v>2.8569772160704998E-2</v>
      </c>
      <c r="P47" s="2987">
        <f t="shared" si="30"/>
        <v>5.1034908866234296E-2</v>
      </c>
      <c r="Q47" s="2987">
        <f t="shared" si="30"/>
        <v>3.245248390207478E-2</v>
      </c>
      <c r="R47" s="2933"/>
      <c r="S47" s="2939">
        <f>B47/B48-1</f>
        <v>3.0497710174814063E-2</v>
      </c>
      <c r="T47" s="2940">
        <f>C47/C48-1</f>
        <v>2.8569772160704998E-2</v>
      </c>
      <c r="U47" s="2940">
        <f>E47/E48-1</f>
        <v>5.1034908866234296E-2</v>
      </c>
      <c r="V47" s="2940">
        <f>F47/F48-1</f>
        <v>3.245248390207478E-2</v>
      </c>
      <c r="X47" s="2985"/>
      <c r="Y47" s="2985"/>
      <c r="Z47" s="2985"/>
    </row>
    <row r="48" spans="1:26" ht="13.5" thickBot="1">
      <c r="A48" s="2915" t="s">
        <v>2756</v>
      </c>
      <c r="B48" s="2949">
        <v>159</v>
      </c>
      <c r="C48" s="2949">
        <v>141</v>
      </c>
      <c r="D48" s="2949">
        <f t="shared" si="9"/>
        <v>141</v>
      </c>
      <c r="E48" s="2949">
        <v>195</v>
      </c>
      <c r="F48" s="2950">
        <v>122</v>
      </c>
      <c r="G48" s="3728">
        <v>2006</v>
      </c>
      <c r="H48" s="2941">
        <v>4</v>
      </c>
      <c r="I48" s="2941">
        <v>3.79</v>
      </c>
      <c r="J48" s="2941">
        <v>2.21</v>
      </c>
      <c r="K48" s="2941">
        <v>5.65</v>
      </c>
      <c r="L48" s="2942">
        <v>5.41</v>
      </c>
      <c r="N48" s="2983">
        <f t="shared" ref="N48:O51" si="33">I48/SUM(I$48:I$51)*(B$48/B$52-1)</f>
        <v>7.245466462748526E-2</v>
      </c>
      <c r="O48" s="2984">
        <f t="shared" si="33"/>
        <v>2.3237230038062766E-2</v>
      </c>
      <c r="P48" s="2984">
        <f t="shared" ref="P48:Q51" si="34">K48/SUM(K$48:K$51)*(E$48/E$52-1)</f>
        <v>0.16146893866323722</v>
      </c>
      <c r="Q48" s="2984">
        <f t="shared" si="34"/>
        <v>5.0755230321793784E-2</v>
      </c>
      <c r="R48" s="2933"/>
      <c r="S48" s="2934"/>
      <c r="T48" s="2935"/>
      <c r="U48" s="2935"/>
      <c r="V48" s="2935"/>
      <c r="X48" s="2985"/>
      <c r="Y48" s="2985"/>
      <c r="Z48" s="2985"/>
    </row>
    <row r="49" spans="1:26">
      <c r="A49" s="2915" t="s">
        <v>2757</v>
      </c>
      <c r="B49" s="2936">
        <f t="shared" ref="B49:C51" si="35">B50+(B$48-B$52)*I49/SUM(I$48:I$51)</f>
        <v>149.00125628140702</v>
      </c>
      <c r="C49" s="2936">
        <f t="shared" si="35"/>
        <v>137.95592286501378</v>
      </c>
      <c r="D49" s="2936">
        <f t="shared" si="9"/>
        <v>137.95592286501378</v>
      </c>
      <c r="E49" s="2936">
        <f t="shared" ref="E49:F51" si="36">E50+(E$48-E$52)*K49/SUM(K$48:K$51)</f>
        <v>169.97231450719823</v>
      </c>
      <c r="F49" s="2936">
        <f t="shared" si="36"/>
        <v>116.21390374331551</v>
      </c>
      <c r="G49" s="3729">
        <v>2006</v>
      </c>
      <c r="H49" s="2946">
        <v>3</v>
      </c>
      <c r="I49" s="2946">
        <v>0.92</v>
      </c>
      <c r="J49" s="2946">
        <v>1.08</v>
      </c>
      <c r="K49" s="2946">
        <v>0.73</v>
      </c>
      <c r="L49" s="2947">
        <v>1.08</v>
      </c>
      <c r="N49" s="2983">
        <f t="shared" si="33"/>
        <v>1.7587939698492462E-2</v>
      </c>
      <c r="O49" s="2984">
        <f t="shared" si="33"/>
        <v>1.1355750425840628E-2</v>
      </c>
      <c r="P49" s="2984">
        <f t="shared" si="34"/>
        <v>2.0862358446754544E-2</v>
      </c>
      <c r="Q49" s="2984">
        <f t="shared" si="34"/>
        <v>1.0132282578103011E-2</v>
      </c>
      <c r="R49" s="2933"/>
      <c r="S49" s="2931"/>
      <c r="T49" s="2932"/>
      <c r="U49" s="2932"/>
      <c r="V49" s="2932"/>
      <c r="X49" s="2985"/>
      <c r="Y49" s="2985"/>
      <c r="Z49" s="2985"/>
    </row>
    <row r="50" spans="1:26">
      <c r="A50" s="2915" t="s">
        <v>2758</v>
      </c>
      <c r="B50" s="2936">
        <f t="shared" si="35"/>
        <v>146.57412060301507</v>
      </c>
      <c r="C50" s="2936">
        <f t="shared" si="35"/>
        <v>136.46831955922866</v>
      </c>
      <c r="D50" s="2936">
        <f t="shared" si="9"/>
        <v>136.46831955922866</v>
      </c>
      <c r="E50" s="2936">
        <f t="shared" si="36"/>
        <v>166.73864894795128</v>
      </c>
      <c r="F50" s="2936">
        <f t="shared" si="36"/>
        <v>115.05882352941177</v>
      </c>
      <c r="G50" s="3729">
        <v>2006</v>
      </c>
      <c r="H50" s="2921">
        <v>2</v>
      </c>
      <c r="I50" s="2921">
        <v>0.96</v>
      </c>
      <c r="J50" s="2921">
        <v>0.25</v>
      </c>
      <c r="K50" s="2921">
        <v>1.9</v>
      </c>
      <c r="L50" s="2938">
        <v>0.95</v>
      </c>
      <c r="N50" s="2983">
        <f t="shared" si="33"/>
        <v>1.8352632728861701E-2</v>
      </c>
      <c r="O50" s="2984">
        <f t="shared" si="33"/>
        <v>2.6286459319075526E-3</v>
      </c>
      <c r="P50" s="2984">
        <f t="shared" si="34"/>
        <v>5.4299289107991269E-2</v>
      </c>
      <c r="Q50" s="2984">
        <f t="shared" si="34"/>
        <v>8.9126559714794995E-3</v>
      </c>
      <c r="R50" s="2933"/>
      <c r="S50" s="2931"/>
      <c r="T50" s="2932"/>
      <c r="U50" s="2932"/>
      <c r="V50" s="2932"/>
      <c r="X50" s="2985"/>
      <c r="Y50" s="2985"/>
      <c r="Z50" s="2985"/>
    </row>
    <row r="51" spans="1:26">
      <c r="A51" s="2915" t="s">
        <v>2759</v>
      </c>
      <c r="B51" s="2936">
        <f t="shared" si="35"/>
        <v>144.04145728643215</v>
      </c>
      <c r="C51" s="2936">
        <f t="shared" si="35"/>
        <v>136.12396694214877</v>
      </c>
      <c r="D51" s="2936">
        <f t="shared" si="9"/>
        <v>136.12396694214877</v>
      </c>
      <c r="E51" s="2936">
        <f t="shared" si="36"/>
        <v>158.32225913621264</v>
      </c>
      <c r="F51" s="2936">
        <f t="shared" si="36"/>
        <v>114.04278074866311</v>
      </c>
      <c r="G51" s="3730">
        <v>2006</v>
      </c>
      <c r="H51" s="2920">
        <v>1</v>
      </c>
      <c r="I51" s="2920">
        <v>2.29</v>
      </c>
      <c r="J51" s="2920">
        <v>3.72</v>
      </c>
      <c r="K51" s="2920">
        <v>0.75</v>
      </c>
      <c r="L51" s="2937">
        <v>0.04</v>
      </c>
      <c r="N51" s="2986">
        <f t="shared" si="33"/>
        <v>4.3778675988638847E-2</v>
      </c>
      <c r="O51" s="2987">
        <f t="shared" si="33"/>
        <v>3.9114251466784385E-2</v>
      </c>
      <c r="P51" s="2987">
        <f t="shared" si="34"/>
        <v>2.1433929911049188E-2</v>
      </c>
      <c r="Q51" s="2987">
        <f t="shared" si="34"/>
        <v>3.7526972511492629E-4</v>
      </c>
      <c r="R51" s="2933"/>
      <c r="S51" s="2939">
        <f>B51/B52-1</f>
        <v>4.3778675988638716E-2</v>
      </c>
      <c r="T51" s="2940">
        <f>C51/C52-1</f>
        <v>3.91142514667846E-2</v>
      </c>
      <c r="U51" s="2940">
        <f>E51/E52-1</f>
        <v>2.143392991104931E-2</v>
      </c>
      <c r="V51" s="2940">
        <f>F51/F52-1</f>
        <v>3.7526972511492396E-4</v>
      </c>
      <c r="X51" s="2985"/>
      <c r="Y51" s="2985"/>
      <c r="Z51" s="2985"/>
    </row>
    <row r="52" spans="1:26" ht="13.5" thickBot="1">
      <c r="A52" s="2915" t="s">
        <v>2760</v>
      </c>
      <c r="B52" s="2949">
        <v>138</v>
      </c>
      <c r="C52" s="2949">
        <v>131</v>
      </c>
      <c r="D52" s="2949">
        <f t="shared" si="9"/>
        <v>131</v>
      </c>
      <c r="E52" s="2949">
        <v>155</v>
      </c>
      <c r="F52" s="2950">
        <v>114</v>
      </c>
      <c r="G52" s="3728">
        <v>2005</v>
      </c>
      <c r="H52" s="2941">
        <v>4</v>
      </c>
      <c r="I52" s="2941">
        <v>3.29</v>
      </c>
      <c r="J52" s="2941">
        <v>1.44</v>
      </c>
      <c r="K52" s="2941">
        <v>0.66</v>
      </c>
      <c r="L52" s="2942">
        <v>7.78</v>
      </c>
      <c r="N52" s="2983">
        <f t="shared" ref="N52:O55" si="37">I52/SUM(I$52:I$55)*(B$52/B$56-1)</f>
        <v>9.9404603216919935E-2</v>
      </c>
      <c r="O52" s="2984">
        <f t="shared" si="37"/>
        <v>4.7636550760861554E-2</v>
      </c>
      <c r="P52" s="2984">
        <f t="shared" ref="P52:Q55" si="38">K52/SUM(K$52:K$55)*(E$52/E$56-1)</f>
        <v>8.3756345177664976E-2</v>
      </c>
      <c r="Q52" s="2984">
        <f t="shared" si="38"/>
        <v>5.2148766661559584E-2</v>
      </c>
      <c r="R52" s="2933"/>
      <c r="S52" s="2934"/>
      <c r="T52" s="2935"/>
      <c r="U52" s="2935"/>
      <c r="V52" s="2935"/>
      <c r="X52" s="2985"/>
      <c r="Y52" s="2985"/>
      <c r="Z52" s="2985"/>
    </row>
    <row r="53" spans="1:26">
      <c r="A53" s="2915" t="s">
        <v>2761</v>
      </c>
      <c r="B53" s="2936">
        <f t="shared" ref="B53:C55" si="39">B54+(B$52-B$56)*I53/SUM(I$52:I$55)</f>
        <v>125.9720430107527</v>
      </c>
      <c r="C53" s="2936">
        <f t="shared" si="39"/>
        <v>125.1883408071749</v>
      </c>
      <c r="D53" s="2936">
        <f t="shared" si="9"/>
        <v>125.1883408071749</v>
      </c>
      <c r="E53" s="2936">
        <f t="shared" ref="E53:F55" si="40">E54+(E$52-E$56)*K53/SUM(K$52:K$55)</f>
        <v>144.61421319796952</v>
      </c>
      <c r="F53" s="2936">
        <f t="shared" si="40"/>
        <v>108.42008196721311</v>
      </c>
      <c r="G53" s="3729">
        <v>2005</v>
      </c>
      <c r="H53" s="2946">
        <v>3</v>
      </c>
      <c r="I53" s="2946">
        <v>0.46</v>
      </c>
      <c r="J53" s="2946">
        <v>0.32</v>
      </c>
      <c r="K53" s="2946">
        <v>0.42</v>
      </c>
      <c r="L53" s="2947">
        <v>0.64</v>
      </c>
      <c r="N53" s="2983">
        <f t="shared" si="37"/>
        <v>1.3898515951301874E-2</v>
      </c>
      <c r="O53" s="2984">
        <f t="shared" si="37"/>
        <v>1.0585900169080346E-2</v>
      </c>
      <c r="P53" s="2984">
        <f t="shared" si="38"/>
        <v>5.3299492385786795E-2</v>
      </c>
      <c r="Q53" s="2984">
        <f t="shared" si="38"/>
        <v>4.2898728359123568E-3</v>
      </c>
      <c r="R53" s="2933"/>
      <c r="S53" s="2931"/>
      <c r="T53" s="2932"/>
      <c r="U53" s="2932"/>
      <c r="V53" s="2932"/>
      <c r="X53" s="2985"/>
      <c r="Y53" s="2985"/>
      <c r="Z53" s="2985"/>
    </row>
    <row r="54" spans="1:26">
      <c r="A54" s="2915" t="s">
        <v>2762</v>
      </c>
      <c r="B54" s="2936">
        <f t="shared" si="39"/>
        <v>124.29032258064517</v>
      </c>
      <c r="C54" s="2936">
        <f t="shared" si="39"/>
        <v>123.8968609865471</v>
      </c>
      <c r="D54" s="2936">
        <f t="shared" si="9"/>
        <v>123.8968609865471</v>
      </c>
      <c r="E54" s="2936">
        <f t="shared" si="40"/>
        <v>138.00507614213197</v>
      </c>
      <c r="F54" s="2936">
        <f t="shared" si="40"/>
        <v>107.96106557377048</v>
      </c>
      <c r="G54" s="3729">
        <v>2005</v>
      </c>
      <c r="H54" s="2921">
        <v>2</v>
      </c>
      <c r="I54" s="2921">
        <v>0.47</v>
      </c>
      <c r="J54" s="2921">
        <v>0.1</v>
      </c>
      <c r="K54" s="2921">
        <v>0.52</v>
      </c>
      <c r="L54" s="2938">
        <v>0.79</v>
      </c>
      <c r="N54" s="2983">
        <f t="shared" si="37"/>
        <v>1.420065760241713E-2</v>
      </c>
      <c r="O54" s="2984">
        <f t="shared" si="37"/>
        <v>3.3080938028376083E-3</v>
      </c>
      <c r="P54" s="2984">
        <f t="shared" si="38"/>
        <v>6.598984771573603E-2</v>
      </c>
      <c r="Q54" s="2984">
        <f t="shared" si="38"/>
        <v>5.2953117818293153E-3</v>
      </c>
      <c r="R54" s="2933"/>
      <c r="S54" s="2931"/>
      <c r="T54" s="2932"/>
      <c r="U54" s="2932"/>
      <c r="V54" s="2932"/>
      <c r="X54" s="2985"/>
      <c r="Y54" s="2985"/>
      <c r="Z54" s="2985"/>
    </row>
    <row r="55" spans="1:26">
      <c r="A55" s="2915" t="s">
        <v>2763</v>
      </c>
      <c r="B55" s="2936">
        <f t="shared" si="39"/>
        <v>122.57204301075269</v>
      </c>
      <c r="C55" s="2936">
        <f t="shared" si="39"/>
        <v>123.4932735426009</v>
      </c>
      <c r="D55" s="2936">
        <f t="shared" si="9"/>
        <v>123.4932735426009</v>
      </c>
      <c r="E55" s="2936">
        <f t="shared" si="40"/>
        <v>129.82233502538071</v>
      </c>
      <c r="F55" s="2936">
        <f t="shared" si="40"/>
        <v>107.39446721311475</v>
      </c>
      <c r="G55" s="3730">
        <v>2005</v>
      </c>
      <c r="H55" s="2920">
        <v>1</v>
      </c>
      <c r="I55" s="2920">
        <v>0.43</v>
      </c>
      <c r="J55" s="2920">
        <v>0.37</v>
      </c>
      <c r="K55" s="2920">
        <v>0.37</v>
      </c>
      <c r="L55" s="2937">
        <v>0.55000000000000004</v>
      </c>
      <c r="N55" s="2986">
        <f t="shared" si="37"/>
        <v>1.2992090997956099E-2</v>
      </c>
      <c r="O55" s="2987">
        <f t="shared" si="37"/>
        <v>1.2239947070499151E-2</v>
      </c>
      <c r="P55" s="2987">
        <f t="shared" si="38"/>
        <v>4.6954314720812178E-2</v>
      </c>
      <c r="Q55" s="2987">
        <f t="shared" si="38"/>
        <v>3.6866094683621815E-3</v>
      </c>
      <c r="R55" s="2933"/>
      <c r="S55" s="2939">
        <f>B55/B56-1</f>
        <v>1.2992090997956174E-2</v>
      </c>
      <c r="T55" s="2940">
        <f>C55/C56-1</f>
        <v>1.2239947070499246E-2</v>
      </c>
      <c r="U55" s="2940">
        <f>E55/E56-1</f>
        <v>4.695431472081224E-2</v>
      </c>
      <c r="V55" s="2940">
        <f>F55/F56-1</f>
        <v>3.6866094683620787E-3</v>
      </c>
      <c r="X55" s="2985"/>
      <c r="Y55" s="2985"/>
      <c r="Z55" s="2985"/>
    </row>
    <row r="56" spans="1:26" ht="13.5" thickBot="1">
      <c r="A56" s="2915" t="s">
        <v>2764</v>
      </c>
      <c r="B56" s="2970">
        <v>121</v>
      </c>
      <c r="C56" s="2970">
        <v>122</v>
      </c>
      <c r="D56" s="2970">
        <f t="shared" si="9"/>
        <v>122</v>
      </c>
      <c r="E56" s="2970">
        <v>124</v>
      </c>
      <c r="F56" s="2971">
        <v>107</v>
      </c>
      <c r="G56" s="3728">
        <v>2004</v>
      </c>
      <c r="H56" s="2941">
        <v>4</v>
      </c>
      <c r="I56" s="2941">
        <v>0.33</v>
      </c>
      <c r="J56" s="2941">
        <v>0.5</v>
      </c>
      <c r="K56" s="2941">
        <v>0.5</v>
      </c>
      <c r="L56" s="2942">
        <v>0</v>
      </c>
      <c r="N56" s="2983">
        <f t="shared" ref="N56:O59" si="41">I56/SUM(I$56:I$59)*(B$56/B$60-1)</f>
        <v>1.3391770148526898E-2</v>
      </c>
      <c r="O56" s="2984">
        <f t="shared" si="41"/>
        <v>1.063264221158958E-2</v>
      </c>
      <c r="P56" s="2984">
        <f t="shared" ref="P56:Q59" si="42">K56/SUM(K$56:K$59)*(E$56/E$60-1)</f>
        <v>2.2244466688911134E-2</v>
      </c>
      <c r="Q56" s="2984">
        <f t="shared" si="42"/>
        <v>0</v>
      </c>
      <c r="R56" s="2933"/>
      <c r="S56" s="2934"/>
      <c r="T56" s="2935"/>
      <c r="U56" s="2935"/>
      <c r="V56" s="2935"/>
      <c r="X56" s="2985"/>
      <c r="Y56" s="2985"/>
      <c r="Z56" s="2985"/>
    </row>
    <row r="57" spans="1:26">
      <c r="A57" s="2915" t="s">
        <v>2765</v>
      </c>
      <c r="B57" s="2936">
        <f t="shared" ref="B57:C59" si="43">B58+(B$56-B$60)*I57/SUM(I$56:I$59)</f>
        <v>119.51351351351352</v>
      </c>
      <c r="C57" s="2936">
        <f t="shared" si="43"/>
        <v>120.7878787878788</v>
      </c>
      <c r="D57" s="2936">
        <f t="shared" si="9"/>
        <v>120.7878787878788</v>
      </c>
      <c r="E57" s="2936">
        <f t="shared" ref="E57:F59" si="44">E58+(E$56-E$60)*K57/SUM(K$56:K$59)</f>
        <v>121.5975975975976</v>
      </c>
      <c r="F57" s="2936">
        <f t="shared" si="44"/>
        <v>107</v>
      </c>
      <c r="G57" s="3729">
        <v>2004</v>
      </c>
      <c r="H57" s="2946">
        <v>3</v>
      </c>
      <c r="I57" s="2946">
        <v>0.56000000000000005</v>
      </c>
      <c r="J57" s="2946">
        <v>0.8</v>
      </c>
      <c r="K57" s="2946">
        <v>0.83</v>
      </c>
      <c r="L57" s="2947">
        <v>0.06</v>
      </c>
      <c r="N57" s="2983">
        <f t="shared" si="41"/>
        <v>2.2725428130833527E-2</v>
      </c>
      <c r="O57" s="2984">
        <f t="shared" si="41"/>
        <v>1.7012227538543329E-2</v>
      </c>
      <c r="P57" s="2984">
        <f t="shared" si="42"/>
        <v>3.6925814703592477E-2</v>
      </c>
      <c r="Q57" s="2984">
        <f t="shared" si="42"/>
        <v>2.8846153846153744E-2</v>
      </c>
      <c r="R57" s="2933"/>
      <c r="S57" s="2931"/>
      <c r="T57" s="2932"/>
      <c r="U57" s="2932"/>
      <c r="V57" s="2932"/>
      <c r="X57" s="2985"/>
      <c r="Y57" s="2985"/>
      <c r="Z57" s="2985"/>
    </row>
    <row r="58" spans="1:26">
      <c r="A58" s="2915" t="s">
        <v>2766</v>
      </c>
      <c r="B58" s="2936">
        <f t="shared" si="43"/>
        <v>116.99099099099099</v>
      </c>
      <c r="C58" s="2936">
        <f t="shared" si="43"/>
        <v>118.84848484848486</v>
      </c>
      <c r="D58" s="2936">
        <f t="shared" si="9"/>
        <v>118.84848484848486</v>
      </c>
      <c r="E58" s="2936">
        <f t="shared" si="44"/>
        <v>117.60960960960961</v>
      </c>
      <c r="F58" s="2936">
        <f t="shared" si="44"/>
        <v>104</v>
      </c>
      <c r="G58" s="3729">
        <v>2004</v>
      </c>
      <c r="H58" s="2921">
        <v>2</v>
      </c>
      <c r="I58" s="2921">
        <v>1</v>
      </c>
      <c r="J58" s="2921">
        <v>1.5</v>
      </c>
      <c r="K58" s="2921">
        <v>1.5</v>
      </c>
      <c r="L58" s="2938">
        <v>0</v>
      </c>
      <c r="N58" s="2983">
        <f t="shared" si="41"/>
        <v>4.0581121662202721E-2</v>
      </c>
      <c r="O58" s="2984">
        <f t="shared" si="41"/>
        <v>3.1897926634768738E-2</v>
      </c>
      <c r="P58" s="2984">
        <f t="shared" si="42"/>
        <v>6.6733400066733395E-2</v>
      </c>
      <c r="Q58" s="2984">
        <f t="shared" si="42"/>
        <v>0</v>
      </c>
      <c r="R58" s="2933"/>
      <c r="S58" s="2931"/>
      <c r="T58" s="2932"/>
      <c r="U58" s="2932"/>
      <c r="V58" s="2932"/>
      <c r="X58" s="2985"/>
      <c r="Y58" s="2985"/>
      <c r="Z58" s="2985"/>
    </row>
    <row r="59" spans="1:26" s="2976" customFormat="1" ht="13.5" thickBot="1">
      <c r="A59" s="2915" t="s">
        <v>2767</v>
      </c>
      <c r="B59" s="2973">
        <f t="shared" si="43"/>
        <v>112.48648648648648</v>
      </c>
      <c r="C59" s="2973">
        <f t="shared" si="43"/>
        <v>115.21212121212122</v>
      </c>
      <c r="D59" s="2973">
        <f t="shared" si="9"/>
        <v>115.21212121212122</v>
      </c>
      <c r="E59" s="2973">
        <f t="shared" si="44"/>
        <v>110.4024024024024</v>
      </c>
      <c r="F59" s="2973">
        <f t="shared" si="44"/>
        <v>104</v>
      </c>
      <c r="G59" s="3730">
        <v>2004</v>
      </c>
      <c r="H59" s="2974">
        <v>1</v>
      </c>
      <c r="I59" s="2974">
        <v>0.33</v>
      </c>
      <c r="J59" s="2974">
        <v>0.5</v>
      </c>
      <c r="K59" s="2974">
        <v>0.5</v>
      </c>
      <c r="L59" s="2975">
        <v>0</v>
      </c>
      <c r="N59" s="2988">
        <f t="shared" si="41"/>
        <v>1.3391770148526898E-2</v>
      </c>
      <c r="O59" s="2989">
        <f t="shared" si="41"/>
        <v>1.063264221158958E-2</v>
      </c>
      <c r="P59" s="2989">
        <f t="shared" si="42"/>
        <v>2.2244466688911134E-2</v>
      </c>
      <c r="Q59" s="2989">
        <f t="shared" si="42"/>
        <v>0</v>
      </c>
      <c r="R59" s="2979"/>
      <c r="S59" s="2977">
        <f>B59/B60-1</f>
        <v>1.3391770148526883E-2</v>
      </c>
      <c r="T59" s="2978">
        <f>C59/C60-1</f>
        <v>1.063264221158966E-2</v>
      </c>
      <c r="U59" s="2978">
        <f>E59/E60-1</f>
        <v>2.2244466688911224E-2</v>
      </c>
      <c r="V59" s="2978">
        <f>F59/F60-1</f>
        <v>0</v>
      </c>
      <c r="X59" s="2990"/>
      <c r="Y59" s="2990"/>
      <c r="Z59" s="2990"/>
    </row>
    <row r="60" spans="1:26" ht="13.5" thickBot="1">
      <c r="A60" s="2915" t="s">
        <v>2768</v>
      </c>
      <c r="B60" s="2991">
        <v>111</v>
      </c>
      <c r="C60" s="2991">
        <v>114</v>
      </c>
      <c r="D60" s="2991">
        <f t="shared" si="9"/>
        <v>114</v>
      </c>
      <c r="E60" s="2991">
        <v>108</v>
      </c>
      <c r="F60" s="2992">
        <v>104</v>
      </c>
      <c r="G60" s="3728">
        <v>2003</v>
      </c>
      <c r="H60" s="2981">
        <v>4</v>
      </c>
      <c r="I60" s="2993"/>
      <c r="J60" s="2993"/>
      <c r="K60" s="2993"/>
      <c r="L60" s="2993"/>
      <c r="N60" s="2994"/>
      <c r="O60" s="2993"/>
      <c r="P60" s="2993"/>
      <c r="Q60" s="2993"/>
      <c r="S60" s="2994"/>
      <c r="T60" s="2993"/>
      <c r="U60" s="2993"/>
      <c r="V60" s="2993"/>
      <c r="X60" s="2985"/>
      <c r="Y60" s="2985"/>
      <c r="Z60" s="2985"/>
    </row>
    <row r="61" spans="1:26">
      <c r="A61" s="2915" t="s">
        <v>2769</v>
      </c>
      <c r="B61" s="2995">
        <f t="shared" ref="B61:C63" si="45">B62+(B$60-B$64)/4</f>
        <v>109.75</v>
      </c>
      <c r="C61" s="2995">
        <f t="shared" si="45"/>
        <v>112.25</v>
      </c>
      <c r="D61" s="2995">
        <f t="shared" si="9"/>
        <v>112.25</v>
      </c>
      <c r="E61" s="2995">
        <f t="shared" ref="E61:F63" si="46">E62+(E$60-E$64)/4</f>
        <v>107.25</v>
      </c>
      <c r="F61" s="2995">
        <f t="shared" si="46"/>
        <v>103.5</v>
      </c>
      <c r="G61" s="3729">
        <v>2003</v>
      </c>
      <c r="H61" s="2946">
        <v>3</v>
      </c>
      <c r="I61" s="2993"/>
      <c r="J61" s="2993"/>
      <c r="K61" s="2993"/>
      <c r="L61" s="2993"/>
      <c r="X61" s="2985"/>
      <c r="Y61" s="2985"/>
      <c r="Z61" s="2985"/>
    </row>
    <row r="62" spans="1:26">
      <c r="A62" s="2915" t="s">
        <v>2770</v>
      </c>
      <c r="B62" s="2995">
        <f t="shared" si="45"/>
        <v>108.5</v>
      </c>
      <c r="C62" s="2995">
        <f t="shared" si="45"/>
        <v>110.5</v>
      </c>
      <c r="D62" s="2995">
        <f t="shared" si="9"/>
        <v>110.5</v>
      </c>
      <c r="E62" s="2995">
        <f t="shared" si="46"/>
        <v>106.5</v>
      </c>
      <c r="F62" s="2995">
        <f t="shared" si="46"/>
        <v>103</v>
      </c>
      <c r="G62" s="3729">
        <v>2003</v>
      </c>
      <c r="H62" s="2921">
        <v>2</v>
      </c>
      <c r="I62" s="2993"/>
      <c r="J62" s="2993"/>
      <c r="K62" s="2993"/>
      <c r="L62" s="2993"/>
      <c r="X62" s="2985"/>
      <c r="Y62" s="2985"/>
      <c r="Z62" s="2985"/>
    </row>
    <row r="63" spans="1:26" ht="13.5" thickBot="1">
      <c r="A63" s="2915" t="s">
        <v>2771</v>
      </c>
      <c r="B63" s="2995">
        <f t="shared" si="45"/>
        <v>107.25</v>
      </c>
      <c r="C63" s="2995">
        <f t="shared" si="45"/>
        <v>108.75</v>
      </c>
      <c r="D63" s="2995">
        <f t="shared" si="9"/>
        <v>108.75</v>
      </c>
      <c r="E63" s="2995">
        <f t="shared" si="46"/>
        <v>105.75</v>
      </c>
      <c r="F63" s="2995">
        <f t="shared" si="46"/>
        <v>102.5</v>
      </c>
      <c r="G63" s="3730">
        <v>2003</v>
      </c>
      <c r="H63" s="2996">
        <v>1</v>
      </c>
      <c r="I63" s="2993"/>
      <c r="J63" s="2993"/>
      <c r="K63" s="2993"/>
      <c r="L63" s="2993"/>
      <c r="S63" s="2931"/>
      <c r="T63" s="2932"/>
      <c r="U63" s="2932"/>
      <c r="X63" s="2985"/>
      <c r="Y63" s="2985"/>
      <c r="Z63" s="2985"/>
    </row>
    <row r="64" spans="1:26" ht="13.5" thickBot="1">
      <c r="A64" s="2915" t="s">
        <v>2772</v>
      </c>
      <c r="B64" s="2997">
        <v>106</v>
      </c>
      <c r="C64" s="2997">
        <v>107</v>
      </c>
      <c r="D64" s="2997">
        <f t="shared" si="9"/>
        <v>107</v>
      </c>
      <c r="E64" s="2997">
        <v>105</v>
      </c>
      <c r="F64" s="2998">
        <v>102</v>
      </c>
      <c r="G64" s="3728">
        <v>2002</v>
      </c>
      <c r="H64" s="2941">
        <v>4</v>
      </c>
      <c r="I64" s="2993"/>
      <c r="J64" s="2993"/>
      <c r="K64" s="2993"/>
      <c r="L64" s="2993"/>
      <c r="N64" s="2994"/>
      <c r="O64" s="2993"/>
      <c r="P64" s="2993"/>
      <c r="Q64" s="2993"/>
      <c r="S64" s="2994"/>
      <c r="T64" s="2993"/>
      <c r="U64" s="2993"/>
      <c r="V64" s="2993"/>
      <c r="X64" s="2985"/>
      <c r="Y64" s="2985"/>
      <c r="Z64" s="2985"/>
    </row>
    <row r="65" spans="1:26">
      <c r="A65" s="2915" t="s">
        <v>2773</v>
      </c>
      <c r="B65" s="2995">
        <f t="shared" ref="B65:C67" si="47">B66+(B$64-B$68)/4</f>
        <v>105</v>
      </c>
      <c r="C65" s="2995">
        <f t="shared" si="47"/>
        <v>106</v>
      </c>
      <c r="D65" s="2995">
        <f t="shared" si="9"/>
        <v>106</v>
      </c>
      <c r="E65" s="2995">
        <f t="shared" ref="E65:F67" si="48">E66+(E$64-E$68)/4</f>
        <v>104.5</v>
      </c>
      <c r="F65" s="2995">
        <f t="shared" si="48"/>
        <v>101.5</v>
      </c>
      <c r="G65" s="3729">
        <v>2002</v>
      </c>
      <c r="H65" s="2946">
        <v>3</v>
      </c>
      <c r="I65" s="2993"/>
      <c r="J65" s="2993"/>
      <c r="K65" s="2993"/>
      <c r="L65" s="2993"/>
      <c r="X65" s="2985"/>
      <c r="Y65" s="2985"/>
      <c r="Z65" s="2985"/>
    </row>
    <row r="66" spans="1:26">
      <c r="A66" s="2915" t="s">
        <v>2774</v>
      </c>
      <c r="B66" s="2995">
        <f t="shared" si="47"/>
        <v>104</v>
      </c>
      <c r="C66" s="2995">
        <f t="shared" si="47"/>
        <v>105</v>
      </c>
      <c r="D66" s="2995">
        <f t="shared" si="9"/>
        <v>105</v>
      </c>
      <c r="E66" s="2995">
        <f t="shared" si="48"/>
        <v>104</v>
      </c>
      <c r="F66" s="2995">
        <f t="shared" si="48"/>
        <v>101</v>
      </c>
      <c r="G66" s="3729">
        <v>2002</v>
      </c>
      <c r="H66" s="2921">
        <v>2</v>
      </c>
      <c r="I66" s="2993"/>
      <c r="J66" s="2993"/>
      <c r="K66" s="2993"/>
      <c r="L66" s="2993"/>
      <c r="X66" s="2985"/>
      <c r="Y66" s="2985"/>
      <c r="Z66" s="2985"/>
    </row>
    <row r="67" spans="1:26" s="2957" customFormat="1" ht="13.5" thickBot="1">
      <c r="A67" s="2953" t="s">
        <v>2775</v>
      </c>
      <c r="B67" s="2999">
        <f t="shared" si="47"/>
        <v>103</v>
      </c>
      <c r="C67" s="2999">
        <f t="shared" si="47"/>
        <v>104</v>
      </c>
      <c r="D67" s="2999">
        <f t="shared" si="9"/>
        <v>104</v>
      </c>
      <c r="E67" s="2999">
        <f t="shared" si="48"/>
        <v>103.5</v>
      </c>
      <c r="F67" s="2999">
        <f t="shared" si="48"/>
        <v>100.5</v>
      </c>
      <c r="G67" s="3730">
        <v>2002</v>
      </c>
      <c r="H67" s="3000">
        <v>1</v>
      </c>
      <c r="I67" s="3001"/>
      <c r="J67" s="3001"/>
      <c r="K67" s="3001"/>
      <c r="L67" s="3001"/>
      <c r="N67" s="3002"/>
      <c r="S67" s="3002"/>
      <c r="X67" s="3003"/>
      <c r="Y67" s="3003"/>
      <c r="Z67" s="3003"/>
    </row>
    <row r="68" spans="1:26" ht="13.5" thickBot="1">
      <c r="B68" s="3004">
        <v>102</v>
      </c>
      <c r="C68" s="3005">
        <v>103</v>
      </c>
      <c r="D68" s="3005">
        <f t="shared" si="9"/>
        <v>103</v>
      </c>
      <c r="E68" s="3005">
        <v>103</v>
      </c>
      <c r="F68" s="3006">
        <v>100</v>
      </c>
      <c r="I68" s="2993"/>
      <c r="J68" s="2993"/>
      <c r="K68" s="2993"/>
      <c r="L68" s="2993"/>
      <c r="N68" s="2994"/>
      <c r="O68" s="2993"/>
      <c r="P68" s="2993"/>
      <c r="Q68" s="2993"/>
      <c r="S68" s="2994"/>
      <c r="T68" s="2993"/>
      <c r="U68" s="2993"/>
      <c r="V68" s="2993"/>
      <c r="X68" s="2935"/>
      <c r="Y68" s="2935"/>
      <c r="Z68" s="2935"/>
    </row>
    <row r="70" spans="1:26" s="3008" customFormat="1">
      <c r="A70" s="3007" t="s">
        <v>2776</v>
      </c>
      <c r="G70" s="3009"/>
      <c r="N70" s="3009"/>
      <c r="S70" s="3009"/>
    </row>
    <row r="71" spans="1:26" s="3008" customFormat="1">
      <c r="A71" s="3008" t="s">
        <v>2777</v>
      </c>
      <c r="G71" s="3009"/>
      <c r="N71" s="3009"/>
      <c r="S71" s="3009"/>
    </row>
    <row r="72" spans="1:26" s="3008" customFormat="1">
      <c r="A72" s="3008" t="s">
        <v>2778</v>
      </c>
      <c r="G72" s="3009"/>
      <c r="I72" s="3010"/>
      <c r="J72" s="3010"/>
      <c r="K72" s="3010"/>
      <c r="L72" s="3010"/>
      <c r="N72" s="3011"/>
      <c r="O72" s="3010"/>
      <c r="P72" s="3010"/>
      <c r="Q72" s="3010"/>
      <c r="S72" s="3011"/>
      <c r="T72" s="3010"/>
      <c r="U72" s="3010"/>
      <c r="V72" s="3010"/>
    </row>
    <row r="73" spans="1:26" s="3008" customFormat="1">
      <c r="A73" s="3008" t="s">
        <v>2779</v>
      </c>
      <c r="G73" s="3009"/>
      <c r="N73" s="3009"/>
      <c r="S73" s="3009"/>
    </row>
    <row r="80" spans="1:26" ht="13.5" thickBot="1"/>
    <row r="81" spans="14:22" s="2930" customFormat="1">
      <c r="N81" s="2945"/>
      <c r="S81" s="3012" t="s">
        <v>2780</v>
      </c>
      <c r="T81" s="3013" t="s">
        <v>2781</v>
      </c>
      <c r="U81" s="3013" t="s">
        <v>2782</v>
      </c>
      <c r="V81" s="3013" t="s">
        <v>2783</v>
      </c>
    </row>
    <row r="82" spans="14:22" s="2930" customFormat="1">
      <c r="N82" s="2934"/>
      <c r="O82" s="2935"/>
      <c r="P82" s="2935"/>
      <c r="Q82" s="2935"/>
      <c r="S82" s="3014">
        <v>2006</v>
      </c>
      <c r="T82" s="3015">
        <v>15.1</v>
      </c>
      <c r="U82" s="3015">
        <v>7.43</v>
      </c>
      <c r="V82" s="3015">
        <v>26.26</v>
      </c>
    </row>
    <row r="83" spans="14:22" s="2930" customFormat="1">
      <c r="N83" s="2934"/>
      <c r="O83" s="2935"/>
      <c r="P83" s="2935"/>
      <c r="Q83" s="2935"/>
      <c r="S83" s="3016">
        <v>2005</v>
      </c>
      <c r="T83" s="3017">
        <v>13.9</v>
      </c>
      <c r="U83" s="3017">
        <v>7.49</v>
      </c>
      <c r="V83" s="3017">
        <v>24.92</v>
      </c>
    </row>
    <row r="84" spans="14:22" s="2930" customFormat="1">
      <c r="N84" s="2934"/>
      <c r="O84" s="2935"/>
      <c r="P84" s="2935"/>
      <c r="Q84" s="2935"/>
      <c r="S84" s="3014">
        <v>2004</v>
      </c>
      <c r="T84" s="3015">
        <v>9.48</v>
      </c>
      <c r="U84" s="3015">
        <v>7.2</v>
      </c>
      <c r="V84" s="3015">
        <v>14.68</v>
      </c>
    </row>
    <row r="85" spans="14:22" s="2930" customFormat="1">
      <c r="N85" s="2934"/>
      <c r="O85" s="2935"/>
      <c r="P85" s="2935"/>
      <c r="Q85" s="2935"/>
      <c r="S85" s="3016">
        <v>2003</v>
      </c>
      <c r="T85" s="3017">
        <v>4.5</v>
      </c>
      <c r="U85" s="3017">
        <v>6.12</v>
      </c>
      <c r="V85" s="3017">
        <v>2.34</v>
      </c>
    </row>
    <row r="86" spans="14:22" s="2930" customFormat="1" ht="13.5" thickBot="1">
      <c r="N86" s="2934"/>
      <c r="O86" s="2935"/>
      <c r="P86" s="2935"/>
      <c r="Q86" s="2935"/>
      <c r="S86" s="3018">
        <v>2002</v>
      </c>
      <c r="T86" s="3019">
        <v>3.59</v>
      </c>
      <c r="U86" s="3019">
        <v>4.54</v>
      </c>
      <c r="V86" s="3019">
        <v>2.5499999999999998</v>
      </c>
    </row>
    <row r="87" spans="14:22" s="2930" customFormat="1">
      <c r="N87" s="2934"/>
      <c r="O87" s="2935"/>
      <c r="P87" s="2935"/>
      <c r="Q87" s="2935"/>
      <c r="S87" s="2945"/>
    </row>
    <row r="88" spans="14:22" s="2930" customFormat="1">
      <c r="N88" s="2934"/>
      <c r="O88" s="2935"/>
      <c r="P88" s="2935"/>
      <c r="Q88" s="2935"/>
      <c r="S88" s="2945"/>
    </row>
    <row r="89" spans="14:22" s="2930" customFormat="1">
      <c r="N89" s="2934"/>
      <c r="O89" s="2935"/>
      <c r="P89" s="2935"/>
      <c r="Q89" s="2935"/>
      <c r="S89" s="2945"/>
    </row>
    <row r="90" spans="14:22" s="2930" customFormat="1">
      <c r="N90" s="2934"/>
      <c r="O90" s="2935"/>
      <c r="P90" s="2935"/>
      <c r="Q90" s="2935"/>
      <c r="S90" s="2945"/>
    </row>
    <row r="91" spans="14:22" s="2930" customFormat="1">
      <c r="N91" s="2934"/>
      <c r="O91" s="2935"/>
      <c r="P91" s="2935"/>
      <c r="Q91" s="2935"/>
      <c r="S91" s="2945"/>
    </row>
    <row r="92" spans="14:22" s="2930" customFormat="1">
      <c r="N92" s="2934"/>
      <c r="O92" s="2935"/>
      <c r="P92" s="2935"/>
      <c r="Q92" s="2935"/>
      <c r="S92" s="2945"/>
    </row>
    <row r="93" spans="14:22" s="2930" customFormat="1">
      <c r="N93" s="2934"/>
      <c r="O93" s="2935"/>
      <c r="P93" s="2935"/>
      <c r="Q93" s="2935"/>
      <c r="S93" s="2945"/>
    </row>
    <row r="94" spans="14:22" s="2930" customFormat="1">
      <c r="N94" s="2934"/>
      <c r="O94" s="2935"/>
      <c r="P94" s="2935"/>
      <c r="Q94" s="2935"/>
      <c r="S94" s="2945"/>
    </row>
    <row r="95" spans="14:22" s="2930" customFormat="1">
      <c r="N95" s="2934"/>
      <c r="O95" s="2935"/>
      <c r="P95" s="2935"/>
      <c r="Q95" s="2935"/>
      <c r="S95" s="2945"/>
    </row>
    <row r="96" spans="14:22" s="2930" customFormat="1">
      <c r="N96" s="2934"/>
      <c r="O96" s="2935"/>
      <c r="P96" s="2935"/>
      <c r="Q96" s="2935"/>
      <c r="S96" s="2945"/>
    </row>
    <row r="97" spans="14:17" s="2930" customFormat="1">
      <c r="N97" s="2934"/>
      <c r="O97" s="2935"/>
      <c r="P97" s="2935"/>
      <c r="Q97" s="2935"/>
    </row>
    <row r="98" spans="14:17" s="2930" customFormat="1">
      <c r="N98" s="2934"/>
      <c r="O98" s="2935"/>
      <c r="P98" s="2935"/>
      <c r="Q98" s="2935"/>
    </row>
    <row r="99" spans="14:17" s="2930" customFormat="1">
      <c r="N99" s="2934"/>
      <c r="O99" s="2935"/>
      <c r="P99" s="2935"/>
      <c r="Q99" s="2935"/>
    </row>
    <row r="100" spans="14:17" s="2930" customFormat="1">
      <c r="N100" s="2934"/>
      <c r="O100" s="2935"/>
      <c r="P100" s="2935"/>
      <c r="Q100" s="2935"/>
    </row>
    <row r="101" spans="14:17" s="2930" customFormat="1">
      <c r="N101" s="2934"/>
      <c r="O101" s="2935"/>
      <c r="P101" s="2935"/>
      <c r="Q101" s="2935"/>
    </row>
    <row r="102" spans="14:17" s="2930" customFormat="1">
      <c r="N102" s="2934"/>
      <c r="O102" s="2935"/>
      <c r="P102" s="2935"/>
      <c r="Q102" s="293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abSelected="1" zoomScale="90" zoomScaleNormal="90" workbookViewId="0">
      <selection activeCell="G15" sqref="G15"/>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104</v>
      </c>
      <c r="B1" s="3119" t="s">
        <v>1065</v>
      </c>
      <c r="C1" s="3113" t="s">
        <v>977</v>
      </c>
      <c r="D1" s="3104" t="s">
        <v>3445</v>
      </c>
      <c r="E1" s="3109"/>
      <c r="F1" s="3106" t="s">
        <v>3560</v>
      </c>
      <c r="G1" s="3108" t="s">
        <v>125</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979</v>
      </c>
      <c r="B2" s="2844">
        <f>IF(C2="——",ROUND(C50*D3/10000,0),ROUND(C50*D3/10000,0)-D2)</f>
        <v>34</v>
      </c>
      <c r="C2" s="3098" t="s">
        <v>526</v>
      </c>
      <c r="D2" s="2721" t="e">
        <f ca="1">SUMIF(INDIRECT("'"&amp;F2&amp;"'"&amp;"!A:A"),"承租人权益价值",INDIRECT("'"&amp;F2&amp;"'"&amp;"!c:c"))</f>
        <v>#REF!</v>
      </c>
      <c r="E2" s="3099" t="s">
        <v>864</v>
      </c>
      <c r="F2" s="3100"/>
      <c r="G2" s="2315"/>
      <c r="H2" s="2315"/>
      <c r="I2" s="2315"/>
      <c r="J2" s="2315"/>
      <c r="K2" s="2315"/>
      <c r="L2" s="2316"/>
      <c r="M2" s="2317"/>
      <c r="N2" s="2317"/>
      <c r="O2" s="2317"/>
      <c r="P2" s="1334"/>
      <c r="Q2" s="1334"/>
      <c r="R2" s="1334"/>
      <c r="S2" s="1334"/>
      <c r="T2" s="1334"/>
      <c r="U2" s="1334"/>
      <c r="V2" s="1334"/>
      <c r="W2" s="1334"/>
      <c r="X2" s="1334"/>
      <c r="Y2" s="1334"/>
      <c r="Z2" s="1334"/>
      <c r="AA2" s="1334"/>
      <c r="AB2" s="1334"/>
      <c r="AC2" s="1335"/>
    </row>
    <row r="3" spans="1:29" s="90" customFormat="1" ht="28.5" customHeight="1" thickBot="1">
      <c r="A3" s="87" t="s">
        <v>170</v>
      </c>
      <c r="B3" s="952">
        <f>IF(C2="——",C50,ROUND(B2*10000/D3,0))</f>
        <v>6</v>
      </c>
      <c r="C3" s="142" t="s">
        <v>164</v>
      </c>
      <c r="D3" s="742">
        <f>IF(D1="",'数据-汇总表'!E3,SUMIF('数据-汇总表'!$C19:$C33,D1,'数据-汇总表'!$E19:$E33))</f>
        <v>56450.890000000058</v>
      </c>
      <c r="E3" s="2313"/>
      <c r="F3" s="2314"/>
      <c r="G3" s="2315"/>
      <c r="H3" s="2315"/>
      <c r="I3" s="2315"/>
      <c r="J3" s="2315"/>
      <c r="K3" s="2318"/>
      <c r="L3" s="2316"/>
      <c r="M3" s="2317"/>
      <c r="N3" s="2317"/>
      <c r="O3" s="2317"/>
      <c r="P3" s="1334"/>
      <c r="Q3" s="1334"/>
      <c r="R3" s="1334"/>
      <c r="S3" s="1334"/>
      <c r="T3" s="1334"/>
      <c r="U3" s="1334"/>
      <c r="V3" s="1334"/>
      <c r="W3" s="1334"/>
      <c r="X3" s="1334"/>
      <c r="Y3" s="1334"/>
      <c r="Z3" s="1334"/>
      <c r="AA3" s="1334"/>
      <c r="AB3" s="1334"/>
      <c r="AC3" s="1335"/>
    </row>
    <row r="4" spans="1:29">
      <c r="A4" s="143" t="s">
        <v>53</v>
      </c>
      <c r="B4" s="144"/>
      <c r="C4" s="3612" t="s">
        <v>54</v>
      </c>
      <c r="D4" s="3613"/>
      <c r="E4" s="3614" t="s">
        <v>55</v>
      </c>
      <c r="F4" s="3615"/>
      <c r="G4" s="3612" t="s">
        <v>56</v>
      </c>
      <c r="H4" s="3613"/>
      <c r="I4" s="3612" t="s">
        <v>57</v>
      </c>
      <c r="J4" s="3613"/>
      <c r="K4" s="187" t="s">
        <v>58</v>
      </c>
      <c r="L4" s="2292"/>
      <c r="M4" s="2293"/>
      <c r="N4" s="2293"/>
      <c r="O4" s="2293"/>
      <c r="P4" s="3646" t="s">
        <v>53</v>
      </c>
      <c r="Q4" s="3647"/>
      <c r="R4" s="3641" t="s">
        <v>55</v>
      </c>
      <c r="S4" s="3642"/>
      <c r="T4" s="3641" t="s">
        <v>56</v>
      </c>
      <c r="U4" s="3642"/>
      <c r="V4" s="3650" t="s">
        <v>57</v>
      </c>
      <c r="W4" s="3650"/>
      <c r="X4" s="3365"/>
      <c r="Y4" s="3641" t="s">
        <v>53</v>
      </c>
      <c r="Z4" s="3642"/>
      <c r="AA4" s="3640" t="s">
        <v>55</v>
      </c>
      <c r="AB4" s="3640" t="s">
        <v>56</v>
      </c>
      <c r="AC4" s="3643" t="s">
        <v>57</v>
      </c>
    </row>
    <row r="5" spans="1:29" ht="13.5" customHeight="1">
      <c r="A5" s="146"/>
      <c r="B5" s="147"/>
      <c r="C5" s="3605" t="s">
        <v>3456</v>
      </c>
      <c r="D5" s="3606"/>
      <c r="E5" s="3603" t="s">
        <v>3598</v>
      </c>
      <c r="F5" s="3604"/>
      <c r="G5" s="3603" t="s">
        <v>3598</v>
      </c>
      <c r="H5" s="3604"/>
      <c r="I5" s="3605" t="s">
        <v>3497</v>
      </c>
      <c r="J5" s="3606"/>
      <c r="K5" s="187"/>
      <c r="L5" s="2292"/>
      <c r="M5" s="2293"/>
      <c r="N5" s="2293"/>
      <c r="O5" s="2293"/>
      <c r="P5" s="3648"/>
      <c r="Q5" s="3619"/>
      <c r="R5" s="3601"/>
      <c r="S5" s="3602"/>
      <c r="T5" s="3601"/>
      <c r="U5" s="3602"/>
      <c r="V5" s="3624"/>
      <c r="W5" s="3624"/>
      <c r="X5" s="3363"/>
      <c r="Y5" s="3601"/>
      <c r="Z5" s="3602"/>
      <c r="AA5" s="3595"/>
      <c r="AB5" s="3595"/>
      <c r="AC5" s="3644"/>
    </row>
    <row r="6" spans="1:29" ht="14.25" customHeight="1" thickBot="1">
      <c r="A6" s="148"/>
      <c r="B6" s="149"/>
      <c r="C6" s="3607" t="s">
        <v>3455</v>
      </c>
      <c r="D6" s="3608"/>
      <c r="E6" s="3609" t="s">
        <v>3599</v>
      </c>
      <c r="F6" s="3610"/>
      <c r="G6" s="3609" t="s">
        <v>3599</v>
      </c>
      <c r="H6" s="3610"/>
      <c r="I6" s="3607" t="s">
        <v>3536</v>
      </c>
      <c r="J6" s="3608"/>
      <c r="K6" s="187" t="s">
        <v>113</v>
      </c>
      <c r="L6" s="2292"/>
      <c r="M6" s="2293"/>
      <c r="N6" s="2293"/>
      <c r="O6" s="2293"/>
      <c r="P6" s="3649"/>
      <c r="Q6" s="3621"/>
      <c r="R6" s="3601"/>
      <c r="S6" s="3602"/>
      <c r="T6" s="3622"/>
      <c r="U6" s="3623"/>
      <c r="V6" s="3624"/>
      <c r="W6" s="3624"/>
      <c r="X6" s="3363"/>
      <c r="Y6" s="3622"/>
      <c r="Z6" s="3623"/>
      <c r="AA6" s="3596"/>
      <c r="AB6" s="3596"/>
      <c r="AC6" s="3645"/>
    </row>
    <row r="7" spans="1:29" s="40" customFormat="1" ht="15" thickBot="1">
      <c r="A7" s="1014" t="s">
        <v>60</v>
      </c>
      <c r="B7" s="1015"/>
      <c r="C7" s="753">
        <f>'数据-取费表'!B2</f>
        <v>42956</v>
      </c>
      <c r="D7" s="754">
        <v>100</v>
      </c>
      <c r="E7" s="1017">
        <v>42948</v>
      </c>
      <c r="F7" s="756">
        <f>SUMIF(59:59,YEAR(E7)&amp;"-"&amp;MONTH(E7),60:60)</f>
        <v>100</v>
      </c>
      <c r="G7" s="1017">
        <v>42948</v>
      </c>
      <c r="H7" s="754">
        <f>SUMIF(59:59,YEAR(G7)&amp;"-"&amp;MONTH(G7),60:60)</f>
        <v>100</v>
      </c>
      <c r="I7" s="1017">
        <v>42948</v>
      </c>
      <c r="J7" s="754">
        <f>SUMIF(59:59,YEAR(I7)&amp;"-"&amp;MONTH(I7),60:60)</f>
        <v>100</v>
      </c>
      <c r="K7" s="1019"/>
      <c r="L7" s="2294"/>
      <c r="M7" s="2256"/>
      <c r="N7" s="2256"/>
      <c r="O7" s="2256"/>
      <c r="P7" s="3651" t="s">
        <v>60</v>
      </c>
      <c r="Q7" s="3625"/>
      <c r="R7" s="1342" t="s">
        <v>61</v>
      </c>
      <c r="S7" s="1343">
        <f t="shared" ref="S7:S15" si="0">F7</f>
        <v>100</v>
      </c>
      <c r="T7" s="1342" t="s">
        <v>61</v>
      </c>
      <c r="U7" s="1343">
        <f t="shared" ref="U7:U15" si="1">H7</f>
        <v>100</v>
      </c>
      <c r="V7" s="1342" t="s">
        <v>61</v>
      </c>
      <c r="W7" s="1343">
        <f t="shared" ref="W7:W15" si="2">J7</f>
        <v>100</v>
      </c>
      <c r="X7" s="287"/>
      <c r="Y7" s="3597" t="s">
        <v>60</v>
      </c>
      <c r="Z7" s="3598"/>
      <c r="AA7" s="1344">
        <f>D7/F7</f>
        <v>1</v>
      </c>
      <c r="AB7" s="1344">
        <f>D7/H7</f>
        <v>1</v>
      </c>
      <c r="AC7" s="2333">
        <f>D7/J7</f>
        <v>1</v>
      </c>
    </row>
    <row r="8" spans="1:29" s="40" customFormat="1" ht="15" thickBot="1">
      <c r="A8" s="1014" t="s">
        <v>62</v>
      </c>
      <c r="B8" s="1015"/>
      <c r="C8" s="1020" t="s">
        <v>112</v>
      </c>
      <c r="D8" s="754">
        <v>100</v>
      </c>
      <c r="E8" s="1020" t="s">
        <v>151</v>
      </c>
      <c r="F8" s="756">
        <f>SUMIF(62:62,E8,63:63)-SUMIF(62:62,C8,63:63)+100</f>
        <v>100</v>
      </c>
      <c r="G8" s="1020" t="s">
        <v>151</v>
      </c>
      <c r="H8" s="754">
        <f>SUMIF(62:62,G8,63:63)-SUMIF(62:62,C8,63:63)+100</f>
        <v>100</v>
      </c>
      <c r="I8" s="1020" t="s">
        <v>151</v>
      </c>
      <c r="J8" s="754">
        <f>SUMIF(62:62,I8,63:63)-SUMIF(62:62,C8,63:63)+100</f>
        <v>100</v>
      </c>
      <c r="K8" s="1019"/>
      <c r="L8" s="2294"/>
      <c r="M8" s="2256"/>
      <c r="N8" s="2256"/>
      <c r="O8" s="2256"/>
      <c r="P8" s="3651" t="s">
        <v>62</v>
      </c>
      <c r="Q8" s="3598"/>
      <c r="R8" s="1342" t="s">
        <v>61</v>
      </c>
      <c r="S8" s="1343">
        <f t="shared" si="0"/>
        <v>100</v>
      </c>
      <c r="T8" s="1342" t="s">
        <v>61</v>
      </c>
      <c r="U8" s="1343">
        <f t="shared" si="1"/>
        <v>100</v>
      </c>
      <c r="V8" s="1342" t="s">
        <v>61</v>
      </c>
      <c r="W8" s="1343">
        <f t="shared" si="2"/>
        <v>100</v>
      </c>
      <c r="X8" s="287"/>
      <c r="Y8" s="3597" t="s">
        <v>62</v>
      </c>
      <c r="Z8" s="3598"/>
      <c r="AA8" s="1344">
        <f t="shared" ref="AA8:AA47" si="3">D8/F8</f>
        <v>1</v>
      </c>
      <c r="AB8" s="1344">
        <f t="shared" ref="AB8:AB47" si="4">D8/H8</f>
        <v>1</v>
      </c>
      <c r="AC8" s="2333">
        <f t="shared" ref="AC8:AC47" si="5">D8/J8</f>
        <v>1</v>
      </c>
    </row>
    <row r="9" spans="1:29" s="40" customFormat="1" ht="14.25">
      <c r="A9" s="1021" t="s">
        <v>63</v>
      </c>
      <c r="B9" s="62" t="s">
        <v>64</v>
      </c>
      <c r="C9" s="1346" t="s">
        <v>3457</v>
      </c>
      <c r="D9" s="425">
        <v>100</v>
      </c>
      <c r="E9" s="1348" t="s">
        <v>137</v>
      </c>
      <c r="F9" s="425">
        <f>SUMIF(64:64,E9,65:65)-SUMIF(64:64,C9,65:65)+100</f>
        <v>100</v>
      </c>
      <c r="G9" s="1347" t="s">
        <v>137</v>
      </c>
      <c r="H9" s="425">
        <f>SUMIF(64:64,G9,65:65)-SUMIF(64:64,C9,65:65)+100</f>
        <v>100</v>
      </c>
      <c r="I9" s="1347" t="s">
        <v>137</v>
      </c>
      <c r="J9" s="425">
        <f>SUMIF(64:64,I9,65:65)-SUMIF(64:64,C9,65:65)+100</f>
        <v>100</v>
      </c>
      <c r="K9" s="1019"/>
      <c r="L9" s="2294"/>
      <c r="M9" s="2256"/>
      <c r="N9" s="2256"/>
      <c r="O9" s="2256"/>
      <c r="P9" s="3611" t="s">
        <v>63</v>
      </c>
      <c r="Q9" s="3357" t="str">
        <f t="shared" ref="Q9:Q15" si="6">B9</f>
        <v>用途</v>
      </c>
      <c r="R9" s="1342" t="s">
        <v>61</v>
      </c>
      <c r="S9" s="1343">
        <f t="shared" si="0"/>
        <v>100</v>
      </c>
      <c r="T9" s="1342" t="s">
        <v>61</v>
      </c>
      <c r="U9" s="1343">
        <f t="shared" si="1"/>
        <v>100</v>
      </c>
      <c r="V9" s="1342" t="s">
        <v>61</v>
      </c>
      <c r="W9" s="1343">
        <f t="shared" si="2"/>
        <v>100</v>
      </c>
      <c r="X9" s="287"/>
      <c r="Y9" s="3435" t="s">
        <v>63</v>
      </c>
      <c r="Z9" s="3358" t="str">
        <f t="shared" ref="Z9:Z15" si="7">Q9</f>
        <v>用途</v>
      </c>
      <c r="AA9" s="1344">
        <f t="shared" si="3"/>
        <v>1</v>
      </c>
      <c r="AB9" s="1344">
        <f t="shared" si="4"/>
        <v>1</v>
      </c>
      <c r="AC9" s="2333">
        <f t="shared" si="5"/>
        <v>1</v>
      </c>
    </row>
    <row r="10" spans="1:29" s="92" customFormat="1" ht="27">
      <c r="A10" s="150"/>
      <c r="B10" s="3359" t="s">
        <v>102</v>
      </c>
      <c r="C10" s="1349" t="s">
        <v>3458</v>
      </c>
      <c r="D10" s="426">
        <v>100</v>
      </c>
      <c r="E10" s="1349" t="s">
        <v>3458</v>
      </c>
      <c r="F10" s="426">
        <f>SUMIF(66:66,E10,67:67)-SUMIF(66:66,C10,67:67)+100</f>
        <v>100</v>
      </c>
      <c r="G10" s="1350" t="s">
        <v>3458</v>
      </c>
      <c r="H10" s="426">
        <f>SUMIF(66:66,G10,67:67)-SUMIF(66:66,C10,67:67)+100</f>
        <v>100</v>
      </c>
      <c r="I10" s="1349" t="s">
        <v>3458</v>
      </c>
      <c r="J10" s="426">
        <f>SUMIF(66:66,I10,67:67)-SUMIF(66:66,C10,67:67)+100</f>
        <v>100</v>
      </c>
      <c r="K10" s="955">
        <v>1</v>
      </c>
      <c r="L10" s="2295"/>
      <c r="M10" s="2296"/>
      <c r="N10" s="2296"/>
      <c r="O10" s="2296"/>
      <c r="P10" s="3611"/>
      <c r="Q10" s="3357" t="str">
        <f t="shared" si="6"/>
        <v>土地使用年限（年）</v>
      </c>
      <c r="R10" s="1342" t="s">
        <v>61</v>
      </c>
      <c r="S10" s="1343">
        <f t="shared" si="0"/>
        <v>100</v>
      </c>
      <c r="T10" s="1342" t="s">
        <v>61</v>
      </c>
      <c r="U10" s="1343">
        <f t="shared" si="1"/>
        <v>100</v>
      </c>
      <c r="V10" s="1342" t="s">
        <v>61</v>
      </c>
      <c r="W10" s="1343">
        <f t="shared" si="2"/>
        <v>100</v>
      </c>
      <c r="X10" s="287"/>
      <c r="Y10" s="3435"/>
      <c r="Z10" s="3358" t="str">
        <f t="shared" si="7"/>
        <v>土地使用年限（年）</v>
      </c>
      <c r="AA10" s="1344">
        <f t="shared" si="3"/>
        <v>1</v>
      </c>
      <c r="AB10" s="1344">
        <f t="shared" si="4"/>
        <v>1</v>
      </c>
      <c r="AC10" s="2333">
        <f t="shared" si="5"/>
        <v>1</v>
      </c>
    </row>
    <row r="11" spans="1:29" ht="15.75" thickBot="1">
      <c r="A11" s="151"/>
      <c r="B11" s="3359" t="s">
        <v>89</v>
      </c>
      <c r="C11" s="772">
        <v>4.1900000000000004</v>
      </c>
      <c r="D11" s="426">
        <v>100</v>
      </c>
      <c r="E11" s="772">
        <v>2.14</v>
      </c>
      <c r="F11" s="426">
        <f>LOOKUP(E11,69:69,70:70)-LOOKUP(C11,69:69,70:70)+100</f>
        <v>104</v>
      </c>
      <c r="G11" s="772">
        <v>2.14</v>
      </c>
      <c r="H11" s="426">
        <f>LOOKUP(G11,69:69,70:70)-LOOKUP(C11,69:69,70:70)+100</f>
        <v>104</v>
      </c>
      <c r="I11" s="772">
        <v>5.4</v>
      </c>
      <c r="J11" s="426">
        <f>LOOKUP(I11,69:69,70:70)-LOOKUP(C11,69:69,70:70)+100</f>
        <v>98</v>
      </c>
      <c r="K11" s="955">
        <v>2</v>
      </c>
      <c r="L11" s="2297"/>
      <c r="M11" s="2293"/>
      <c r="N11" s="2293"/>
      <c r="O11" s="2293"/>
      <c r="P11" s="3611"/>
      <c r="Q11" s="3357" t="str">
        <f t="shared" si="6"/>
        <v>容积率</v>
      </c>
      <c r="R11" s="1342" t="s">
        <v>61</v>
      </c>
      <c r="S11" s="1343">
        <f t="shared" si="0"/>
        <v>104</v>
      </c>
      <c r="T11" s="1342" t="s">
        <v>61</v>
      </c>
      <c r="U11" s="1343">
        <f t="shared" si="1"/>
        <v>104</v>
      </c>
      <c r="V11" s="1342" t="s">
        <v>61</v>
      </c>
      <c r="W11" s="1343">
        <f t="shared" si="2"/>
        <v>98</v>
      </c>
      <c r="X11" s="287"/>
      <c r="Y11" s="3435"/>
      <c r="Z11" s="3358" t="str">
        <f t="shared" si="7"/>
        <v>容积率</v>
      </c>
      <c r="AA11" s="1344">
        <f t="shared" si="3"/>
        <v>0.96153846153846156</v>
      </c>
      <c r="AB11" s="1344">
        <f t="shared" si="4"/>
        <v>0.96153846153846156</v>
      </c>
      <c r="AC11" s="2333">
        <f t="shared" si="5"/>
        <v>1.0204081632653061</v>
      </c>
    </row>
    <row r="12" spans="1:29" s="40" customFormat="1" ht="15" hidden="1" thickBot="1">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4"/>
      <c r="M12" s="2256"/>
      <c r="N12" s="2256"/>
      <c r="O12" s="2256"/>
      <c r="P12" s="3611"/>
      <c r="Q12" s="3357">
        <f t="shared" si="6"/>
        <v>111</v>
      </c>
      <c r="R12" s="1342" t="s">
        <v>61</v>
      </c>
      <c r="S12" s="1343">
        <f t="shared" si="0"/>
        <v>100</v>
      </c>
      <c r="T12" s="1342" t="s">
        <v>61</v>
      </c>
      <c r="U12" s="1343">
        <f t="shared" si="1"/>
        <v>100</v>
      </c>
      <c r="V12" s="1342" t="s">
        <v>61</v>
      </c>
      <c r="W12" s="1343">
        <f t="shared" si="2"/>
        <v>100</v>
      </c>
      <c r="X12" s="287"/>
      <c r="Y12" s="3435"/>
      <c r="Z12" s="3358">
        <f t="shared" si="7"/>
        <v>111</v>
      </c>
      <c r="AA12" s="1344">
        <f>D12/F12</f>
        <v>1</v>
      </c>
      <c r="AB12" s="1344">
        <f>D12/H12</f>
        <v>1</v>
      </c>
      <c r="AC12" s="2333">
        <f>D12/J12</f>
        <v>1</v>
      </c>
    </row>
    <row r="13" spans="1:29" ht="15" hidden="1" thickBot="1">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298"/>
      <c r="M13" s="2293"/>
      <c r="N13" s="2293"/>
      <c r="O13" s="2293"/>
      <c r="P13" s="3611"/>
      <c r="Q13" s="3357">
        <f t="shared" si="6"/>
        <v>111</v>
      </c>
      <c r="R13" s="1342" t="s">
        <v>61</v>
      </c>
      <c r="S13" s="1343">
        <f t="shared" si="0"/>
        <v>100</v>
      </c>
      <c r="T13" s="1342" t="s">
        <v>61</v>
      </c>
      <c r="U13" s="1343">
        <f t="shared" si="1"/>
        <v>100</v>
      </c>
      <c r="V13" s="1342" t="s">
        <v>61</v>
      </c>
      <c r="W13" s="1343">
        <f t="shared" si="2"/>
        <v>100</v>
      </c>
      <c r="X13" s="287"/>
      <c r="Y13" s="3435"/>
      <c r="Z13" s="3358">
        <f t="shared" si="7"/>
        <v>111</v>
      </c>
      <c r="AA13" s="1344">
        <f t="shared" si="3"/>
        <v>1</v>
      </c>
      <c r="AB13" s="1344">
        <f t="shared" si="4"/>
        <v>1</v>
      </c>
      <c r="AC13" s="2333">
        <f t="shared" si="5"/>
        <v>1</v>
      </c>
    </row>
    <row r="14" spans="1:29" ht="15" hidden="1"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298"/>
      <c r="M14" s="2293"/>
      <c r="N14" s="2293"/>
      <c r="O14" s="2293"/>
      <c r="P14" s="3611"/>
      <c r="Q14" s="3357">
        <f t="shared" si="6"/>
        <v>111</v>
      </c>
      <c r="R14" s="1342" t="s">
        <v>61</v>
      </c>
      <c r="S14" s="1343">
        <f t="shared" si="0"/>
        <v>100</v>
      </c>
      <c r="T14" s="1342" t="s">
        <v>61</v>
      </c>
      <c r="U14" s="1343">
        <f t="shared" si="1"/>
        <v>100</v>
      </c>
      <c r="V14" s="1342" t="s">
        <v>61</v>
      </c>
      <c r="W14" s="1343">
        <f t="shared" si="2"/>
        <v>100</v>
      </c>
      <c r="X14" s="287"/>
      <c r="Y14" s="3435"/>
      <c r="Z14" s="3358">
        <f t="shared" si="7"/>
        <v>111</v>
      </c>
      <c r="AA14" s="1344">
        <f t="shared" si="3"/>
        <v>1</v>
      </c>
      <c r="AB14" s="1344">
        <f t="shared" si="4"/>
        <v>1</v>
      </c>
      <c r="AC14" s="2333">
        <f t="shared" si="5"/>
        <v>1</v>
      </c>
    </row>
    <row r="15" spans="1:29" ht="87" customHeight="1">
      <c r="A15" s="155" t="s">
        <v>65</v>
      </c>
      <c r="B15" s="1033" t="s">
        <v>138</v>
      </c>
      <c r="C15" s="208" t="str">
        <f>估价对象房地状况!C5</f>
        <v>估价对象位于丰台科技园商圈，周边办公楼项目较多，入驻率高，办公集聚程度较好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v>2</v>
      </c>
      <c r="L15" s="2298"/>
      <c r="M15" s="2293"/>
      <c r="N15" s="2293"/>
      <c r="O15" s="2293"/>
      <c r="P15" s="3638" t="s">
        <v>65</v>
      </c>
      <c r="Q15" s="3361" t="str">
        <f t="shared" si="6"/>
        <v>办公集聚程度</v>
      </c>
      <c r="R15" s="1352" t="s">
        <v>61</v>
      </c>
      <c r="S15" s="1353">
        <f t="shared" si="0"/>
        <v>100</v>
      </c>
      <c r="T15" s="1352" t="s">
        <v>61</v>
      </c>
      <c r="U15" s="1353">
        <f t="shared" si="1"/>
        <v>100</v>
      </c>
      <c r="V15" s="1352" t="s">
        <v>61</v>
      </c>
      <c r="W15" s="1353">
        <f t="shared" si="2"/>
        <v>100</v>
      </c>
      <c r="X15" s="3363"/>
      <c r="Y15" s="3631" t="s">
        <v>65</v>
      </c>
      <c r="Z15" s="3364" t="str">
        <f t="shared" si="7"/>
        <v>办公集聚程度</v>
      </c>
      <c r="AA15" s="3362">
        <f t="shared" si="3"/>
        <v>1</v>
      </c>
      <c r="AB15" s="3362">
        <f t="shared" si="4"/>
        <v>1</v>
      </c>
      <c r="AC15" s="2334">
        <f t="shared" si="5"/>
        <v>1</v>
      </c>
    </row>
    <row r="16" spans="1:29" ht="14.25">
      <c r="A16" s="151"/>
      <c r="B16" s="209"/>
      <c r="C16" s="192" t="s">
        <v>3452</v>
      </c>
      <c r="D16" s="791"/>
      <c r="E16" s="97" t="s">
        <v>3452</v>
      </c>
      <c r="F16" s="791"/>
      <c r="G16" s="192" t="s">
        <v>3452</v>
      </c>
      <c r="H16" s="793"/>
      <c r="I16" s="97" t="s">
        <v>3452</v>
      </c>
      <c r="J16" s="791"/>
      <c r="K16" s="189"/>
      <c r="L16" s="2298"/>
      <c r="M16" s="2293"/>
      <c r="N16" s="2293"/>
      <c r="O16" s="2293"/>
      <c r="P16" s="3639"/>
      <c r="Q16" s="3361"/>
      <c r="R16" s="1352"/>
      <c r="S16" s="1353"/>
      <c r="T16" s="1352"/>
      <c r="U16" s="1353"/>
      <c r="V16" s="1352"/>
      <c r="W16" s="1353"/>
      <c r="X16" s="3363"/>
      <c r="Y16" s="3632"/>
      <c r="Z16" s="3364"/>
      <c r="AA16" s="3362">
        <v>1</v>
      </c>
      <c r="AB16" s="3362">
        <v>1</v>
      </c>
      <c r="AC16" s="2334">
        <v>1</v>
      </c>
    </row>
    <row r="17" spans="1:29" ht="81">
      <c r="A17" s="151"/>
      <c r="B17" s="1034" t="s">
        <v>68</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v>2</v>
      </c>
      <c r="L17" s="2298"/>
      <c r="M17" s="2293"/>
      <c r="N17" s="2293"/>
      <c r="O17" s="2293"/>
      <c r="P17" s="3639"/>
      <c r="Q17" s="3361" t="str">
        <f>B17</f>
        <v>交通便捷度</v>
      </c>
      <c r="R17" s="1352" t="s">
        <v>61</v>
      </c>
      <c r="S17" s="1353">
        <f>F17</f>
        <v>100</v>
      </c>
      <c r="T17" s="1352" t="s">
        <v>61</v>
      </c>
      <c r="U17" s="1353">
        <f>H17</f>
        <v>100</v>
      </c>
      <c r="V17" s="1352" t="s">
        <v>61</v>
      </c>
      <c r="W17" s="1353">
        <f>J17</f>
        <v>100</v>
      </c>
      <c r="X17" s="3363"/>
      <c r="Y17" s="3632"/>
      <c r="Z17" s="3364" t="str">
        <f>Q17</f>
        <v>交通便捷度</v>
      </c>
      <c r="AA17" s="3362">
        <f t="shared" si="3"/>
        <v>1</v>
      </c>
      <c r="AB17" s="3362">
        <f t="shared" si="4"/>
        <v>1</v>
      </c>
      <c r="AC17" s="2334">
        <f t="shared" si="5"/>
        <v>1</v>
      </c>
    </row>
    <row r="18" spans="1:29" ht="14.25">
      <c r="A18" s="151"/>
      <c r="B18" s="1035"/>
      <c r="C18" s="193" t="s">
        <v>3452</v>
      </c>
      <c r="D18" s="793"/>
      <c r="E18" s="104" t="s">
        <v>3452</v>
      </c>
      <c r="F18" s="793"/>
      <c r="G18" s="103" t="s">
        <v>3452</v>
      </c>
      <c r="H18" s="791"/>
      <c r="I18" s="103" t="s">
        <v>3452</v>
      </c>
      <c r="J18" s="791"/>
      <c r="K18" s="189"/>
      <c r="L18" s="2298"/>
      <c r="M18" s="2293"/>
      <c r="N18" s="2293"/>
      <c r="O18" s="2293"/>
      <c r="P18" s="3639"/>
      <c r="Q18" s="3361"/>
      <c r="R18" s="1352"/>
      <c r="S18" s="1353"/>
      <c r="T18" s="1352"/>
      <c r="U18" s="1353"/>
      <c r="V18" s="1352"/>
      <c r="W18" s="1353"/>
      <c r="X18" s="3363"/>
      <c r="Y18" s="3632"/>
      <c r="Z18" s="3364"/>
      <c r="AA18" s="3362">
        <v>1</v>
      </c>
      <c r="AB18" s="3362">
        <v>1</v>
      </c>
      <c r="AC18" s="2334">
        <v>1</v>
      </c>
    </row>
    <row r="19" spans="1:29" ht="40.5">
      <c r="A19" s="151"/>
      <c r="B19" s="1034" t="s">
        <v>2659</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v>2</v>
      </c>
      <c r="L19" s="2298"/>
      <c r="M19" s="2293"/>
      <c r="N19" s="2293"/>
      <c r="O19" s="2293"/>
      <c r="P19" s="3639"/>
      <c r="Q19" s="3361" t="str">
        <f>B19</f>
        <v>公共配套设施</v>
      </c>
      <c r="R19" s="1352" t="s">
        <v>61</v>
      </c>
      <c r="S19" s="1353">
        <f>F19</f>
        <v>100</v>
      </c>
      <c r="T19" s="1352" t="s">
        <v>61</v>
      </c>
      <c r="U19" s="1353">
        <f>H19</f>
        <v>100</v>
      </c>
      <c r="V19" s="1352" t="s">
        <v>61</v>
      </c>
      <c r="W19" s="1353">
        <f>J19</f>
        <v>100</v>
      </c>
      <c r="X19" s="3363"/>
      <c r="Y19" s="3632"/>
      <c r="Z19" s="3364" t="str">
        <f>Q19</f>
        <v>公共配套设施</v>
      </c>
      <c r="AA19" s="3362">
        <f t="shared" si="3"/>
        <v>1</v>
      </c>
      <c r="AB19" s="3362">
        <f t="shared" si="4"/>
        <v>1</v>
      </c>
      <c r="AC19" s="2334">
        <f t="shared" si="5"/>
        <v>1</v>
      </c>
    </row>
    <row r="20" spans="1:29" ht="14.25">
      <c r="A20" s="151"/>
      <c r="B20" s="1035"/>
      <c r="C20" s="192" t="s">
        <v>3453</v>
      </c>
      <c r="D20" s="791"/>
      <c r="E20" s="99" t="s">
        <v>3453</v>
      </c>
      <c r="F20" s="791"/>
      <c r="G20" s="98" t="s">
        <v>3453</v>
      </c>
      <c r="H20" s="791"/>
      <c r="I20" s="98" t="s">
        <v>3453</v>
      </c>
      <c r="J20" s="791"/>
      <c r="K20" s="189"/>
      <c r="L20" s="2298"/>
      <c r="M20" s="2293"/>
      <c r="N20" s="2293"/>
      <c r="O20" s="2293"/>
      <c r="P20" s="3639"/>
      <c r="Q20" s="3361"/>
      <c r="R20" s="1352"/>
      <c r="S20" s="1353"/>
      <c r="T20" s="1352"/>
      <c r="U20" s="1353"/>
      <c r="V20" s="1352"/>
      <c r="W20" s="1353"/>
      <c r="X20" s="3363"/>
      <c r="Y20" s="3632"/>
      <c r="Z20" s="3364"/>
      <c r="AA20" s="3362">
        <v>1</v>
      </c>
      <c r="AB20" s="3362">
        <v>1</v>
      </c>
      <c r="AC20" s="2334">
        <v>1</v>
      </c>
    </row>
    <row r="21" spans="1:29" ht="27">
      <c r="A21" s="151"/>
      <c r="B21" s="1036" t="s">
        <v>2660</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v>2</v>
      </c>
      <c r="L21" s="2298"/>
      <c r="M21" s="2293"/>
      <c r="N21" s="2293"/>
      <c r="O21" s="2293"/>
      <c r="P21" s="3639"/>
      <c r="Q21" s="3361" t="str">
        <f>B21</f>
        <v>基础设施水平</v>
      </c>
      <c r="R21" s="1352" t="s">
        <v>61</v>
      </c>
      <c r="S21" s="1353">
        <f>F21</f>
        <v>100</v>
      </c>
      <c r="T21" s="1352" t="s">
        <v>61</v>
      </c>
      <c r="U21" s="1353">
        <f>H21</f>
        <v>100</v>
      </c>
      <c r="V21" s="1352" t="s">
        <v>61</v>
      </c>
      <c r="W21" s="1353">
        <f>J21</f>
        <v>100</v>
      </c>
      <c r="X21" s="3363"/>
      <c r="Y21" s="3632"/>
      <c r="Z21" s="3364" t="str">
        <f>Q21</f>
        <v>基础设施水平</v>
      </c>
      <c r="AA21" s="3362">
        <f t="shared" ref="AA21" si="8">D21/F21</f>
        <v>1</v>
      </c>
      <c r="AB21" s="3362">
        <f t="shared" ref="AB21" si="9">D21/H21</f>
        <v>1</v>
      </c>
      <c r="AC21" s="2334">
        <f t="shared" ref="AC21" si="10">D21/J21</f>
        <v>1</v>
      </c>
    </row>
    <row r="22" spans="1:29" ht="14.25">
      <c r="A22" s="151"/>
      <c r="B22" s="1036"/>
      <c r="C22" s="193" t="s">
        <v>3454</v>
      </c>
      <c r="D22" s="791"/>
      <c r="E22" s="97" t="s">
        <v>3454</v>
      </c>
      <c r="F22" s="791"/>
      <c r="G22" s="192" t="s">
        <v>3454</v>
      </c>
      <c r="H22" s="791"/>
      <c r="I22" s="192" t="s">
        <v>3454</v>
      </c>
      <c r="J22" s="791"/>
      <c r="K22" s="2763"/>
      <c r="L22" s="2298"/>
      <c r="M22" s="2293"/>
      <c r="N22" s="2293"/>
      <c r="O22" s="2293"/>
      <c r="P22" s="3639"/>
      <c r="Q22" s="3361"/>
      <c r="R22" s="1352"/>
      <c r="S22" s="1353"/>
      <c r="T22" s="1352"/>
      <c r="U22" s="1353"/>
      <c r="V22" s="1352"/>
      <c r="W22" s="1353"/>
      <c r="X22" s="3363"/>
      <c r="Y22" s="3632"/>
      <c r="Z22" s="3364"/>
      <c r="AA22" s="3362">
        <v>1</v>
      </c>
      <c r="AB22" s="3362">
        <v>1</v>
      </c>
      <c r="AC22" s="2334">
        <v>1</v>
      </c>
    </row>
    <row r="23" spans="1:29" ht="54">
      <c r="A23" s="151"/>
      <c r="B23" s="1034" t="s">
        <v>139</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v>2</v>
      </c>
      <c r="L23" s="2298"/>
      <c r="M23" s="2293"/>
      <c r="N23" s="2293"/>
      <c r="O23" s="2293"/>
      <c r="P23" s="3639"/>
      <c r="Q23" s="3361" t="str">
        <f>B23</f>
        <v>环境质量</v>
      </c>
      <c r="R23" s="1352" t="s">
        <v>61</v>
      </c>
      <c r="S23" s="1353">
        <f>F23</f>
        <v>100</v>
      </c>
      <c r="T23" s="1352" t="s">
        <v>61</v>
      </c>
      <c r="U23" s="1353">
        <f>H23</f>
        <v>100</v>
      </c>
      <c r="V23" s="1352" t="s">
        <v>61</v>
      </c>
      <c r="W23" s="1353">
        <f>J23</f>
        <v>100</v>
      </c>
      <c r="X23" s="3363"/>
      <c r="Y23" s="3632"/>
      <c r="Z23" s="3364" t="str">
        <f>Q23</f>
        <v>环境质量</v>
      </c>
      <c r="AA23" s="3362">
        <f t="shared" si="3"/>
        <v>1</v>
      </c>
      <c r="AB23" s="3362">
        <f t="shared" si="4"/>
        <v>1</v>
      </c>
      <c r="AC23" s="2334">
        <f t="shared" si="5"/>
        <v>1</v>
      </c>
    </row>
    <row r="24" spans="1:29" ht="14.25">
      <c r="A24" s="151"/>
      <c r="B24" s="1036"/>
      <c r="C24" s="192" t="s">
        <v>3453</v>
      </c>
      <c r="D24" s="791"/>
      <c r="E24" s="99" t="s">
        <v>3453</v>
      </c>
      <c r="F24" s="791"/>
      <c r="G24" s="98" t="s">
        <v>3453</v>
      </c>
      <c r="H24" s="791"/>
      <c r="I24" s="98" t="s">
        <v>3453</v>
      </c>
      <c r="J24" s="791"/>
      <c r="K24" s="189"/>
      <c r="L24" s="2298"/>
      <c r="M24" s="2293"/>
      <c r="N24" s="2293"/>
      <c r="O24" s="2293"/>
      <c r="P24" s="3639"/>
      <c r="Q24" s="3361"/>
      <c r="R24" s="1352"/>
      <c r="S24" s="1353"/>
      <c r="T24" s="1352"/>
      <c r="U24" s="1353"/>
      <c r="V24" s="1352"/>
      <c r="W24" s="1353"/>
      <c r="X24" s="3363"/>
      <c r="Y24" s="3632"/>
      <c r="Z24" s="3364"/>
      <c r="AA24" s="3362">
        <v>1</v>
      </c>
      <c r="AB24" s="3362">
        <v>1</v>
      </c>
      <c r="AC24" s="2334">
        <v>1</v>
      </c>
    </row>
    <row r="25" spans="1:29" ht="27">
      <c r="A25" s="146"/>
      <c r="B25" s="1034" t="s">
        <v>140</v>
      </c>
      <c r="C25" s="194" t="s">
        <v>3459</v>
      </c>
      <c r="D25" s="778">
        <v>100</v>
      </c>
      <c r="E25" s="194" t="s">
        <v>3600</v>
      </c>
      <c r="F25" s="778">
        <f>SUMIF(87:87,E26,88:88)-SUMIF(87:87,C26,88:88)+100</f>
        <v>100</v>
      </c>
      <c r="G25" s="194" t="s">
        <v>3600</v>
      </c>
      <c r="H25" s="778">
        <f>SUMIF(87:87,G26,88:88)-SUMIF(87:87,C26,88:88)+100</f>
        <v>100</v>
      </c>
      <c r="I25" s="194" t="s">
        <v>3459</v>
      </c>
      <c r="J25" s="778">
        <f>SUMIF(87:87,I26,88:88)-SUMIF(87:87,C26,88:88)+100</f>
        <v>100</v>
      </c>
      <c r="K25" s="957">
        <v>2</v>
      </c>
      <c r="L25" s="2298"/>
      <c r="M25" s="2293"/>
      <c r="N25" s="2293"/>
      <c r="O25" s="2293"/>
      <c r="P25" s="3639"/>
      <c r="Q25" s="3361" t="str">
        <f>B25</f>
        <v>毗邻道路的类型与等级</v>
      </c>
      <c r="R25" s="1352" t="s">
        <v>61</v>
      </c>
      <c r="S25" s="1353">
        <f>F25</f>
        <v>100</v>
      </c>
      <c r="T25" s="1352" t="s">
        <v>61</v>
      </c>
      <c r="U25" s="1353">
        <f>H25</f>
        <v>100</v>
      </c>
      <c r="V25" s="1352" t="s">
        <v>61</v>
      </c>
      <c r="W25" s="1353">
        <f>J25</f>
        <v>100</v>
      </c>
      <c r="X25" s="3363"/>
      <c r="Y25" s="3632"/>
      <c r="Z25" s="3364" t="str">
        <f>Q25</f>
        <v>毗邻道路的类型与等级</v>
      </c>
      <c r="AA25" s="3362">
        <f t="shared" si="3"/>
        <v>1</v>
      </c>
      <c r="AB25" s="3362">
        <f t="shared" si="4"/>
        <v>1</v>
      </c>
      <c r="AC25" s="2334">
        <f t="shared" si="5"/>
        <v>1</v>
      </c>
    </row>
    <row r="26" spans="1:29" ht="15" thickBot="1">
      <c r="A26" s="146"/>
      <c r="B26" s="1035"/>
      <c r="C26" s="195" t="s">
        <v>3463</v>
      </c>
      <c r="D26" s="778"/>
      <c r="E26" s="182" t="s">
        <v>3463</v>
      </c>
      <c r="F26" s="778"/>
      <c r="G26" s="195" t="s">
        <v>3463</v>
      </c>
      <c r="H26" s="778"/>
      <c r="I26" s="182" t="s">
        <v>3463</v>
      </c>
      <c r="J26" s="778"/>
      <c r="K26" s="189"/>
      <c r="L26" s="2298"/>
      <c r="M26" s="2293"/>
      <c r="N26" s="2293"/>
      <c r="O26" s="2293"/>
      <c r="P26" s="3639"/>
      <c r="Q26" s="3361"/>
      <c r="R26" s="1352"/>
      <c r="S26" s="1353"/>
      <c r="T26" s="1352"/>
      <c r="U26" s="1353"/>
      <c r="V26" s="1352"/>
      <c r="W26" s="1353"/>
      <c r="X26" s="3363"/>
      <c r="Y26" s="3632"/>
      <c r="Z26" s="3364"/>
      <c r="AA26" s="3362">
        <v>1</v>
      </c>
      <c r="AB26" s="3362">
        <v>1</v>
      </c>
      <c r="AC26" s="2334">
        <v>1</v>
      </c>
    </row>
    <row r="27" spans="1:29" ht="15.75" hidden="1" thickBot="1">
      <c r="A27" s="151"/>
      <c r="B27" s="1035" t="s">
        <v>128</v>
      </c>
      <c r="C27" s="195"/>
      <c r="D27" s="778">
        <v>100</v>
      </c>
      <c r="E27" s="182"/>
      <c r="F27" s="778">
        <f>SUMIF(89:89,E27,90:90)-SUMIF(89:89,C27,90:90)+100</f>
        <v>100</v>
      </c>
      <c r="G27" s="195"/>
      <c r="H27" s="778">
        <f>SUMIF(89:89,G27,90:90)-SUMIF(89:89,C27,90:90)+100</f>
        <v>100</v>
      </c>
      <c r="I27" s="182"/>
      <c r="J27" s="778">
        <f>SUMIF(89:89,I27,90:90)-SUMIF(89:89,C27,90:90)+100</f>
        <v>100</v>
      </c>
      <c r="K27" s="955"/>
      <c r="L27" s="2298"/>
      <c r="M27" s="2293"/>
      <c r="N27" s="2293"/>
      <c r="O27" s="2293"/>
      <c r="P27" s="3639"/>
      <c r="Q27" s="3361" t="str">
        <f t="shared" ref="Q27:Q47" si="11">B27</f>
        <v>楼层</v>
      </c>
      <c r="R27" s="1352" t="s">
        <v>61</v>
      </c>
      <c r="S27" s="1353">
        <f>F27</f>
        <v>100</v>
      </c>
      <c r="T27" s="1352" t="s">
        <v>61</v>
      </c>
      <c r="U27" s="1353">
        <f>H27</f>
        <v>100</v>
      </c>
      <c r="V27" s="1352" t="s">
        <v>61</v>
      </c>
      <c r="W27" s="1353">
        <f>J27</f>
        <v>100</v>
      </c>
      <c r="X27" s="3363"/>
      <c r="Y27" s="3632"/>
      <c r="Z27" s="3364" t="str">
        <f>Q27</f>
        <v>楼层</v>
      </c>
      <c r="AA27" s="3362">
        <f t="shared" si="3"/>
        <v>1</v>
      </c>
      <c r="AB27" s="3362">
        <f t="shared" si="4"/>
        <v>1</v>
      </c>
      <c r="AC27" s="2334">
        <f t="shared" si="5"/>
        <v>1</v>
      </c>
    </row>
    <row r="28" spans="1:29" s="40" customFormat="1" ht="15.75" hidden="1" thickBot="1">
      <c r="A28" s="1030"/>
      <c r="B28" s="1034" t="s">
        <v>141</v>
      </c>
      <c r="C28" s="1405"/>
      <c r="D28" s="805">
        <v>100</v>
      </c>
      <c r="E28" s="1387"/>
      <c r="F28" s="805">
        <f>SUMIF(91:91,E28,92:92)-SUMIF(91:91,C28,92:92)+100</f>
        <v>100</v>
      </c>
      <c r="G28" s="1405"/>
      <c r="H28" s="805">
        <f>SUMIF(91:91,G28,92:92)-SUMIF(91:91,C28,92:92)+100</f>
        <v>100</v>
      </c>
      <c r="I28" s="1387"/>
      <c r="J28" s="805">
        <f>SUMIF(91:91,I28,92:92)-SUMIF(91:91,C28,92:92)+100</f>
        <v>100</v>
      </c>
      <c r="K28" s="955"/>
      <c r="L28" s="2294"/>
      <c r="M28" s="2256"/>
      <c r="N28" s="2256"/>
      <c r="O28" s="2256"/>
      <c r="P28" s="3639"/>
      <c r="Q28" s="3357" t="str">
        <f t="shared" si="11"/>
        <v>朝向</v>
      </c>
      <c r="R28" s="1342" t="s">
        <v>61</v>
      </c>
      <c r="S28" s="1343">
        <f>F28</f>
        <v>100</v>
      </c>
      <c r="T28" s="1342" t="s">
        <v>61</v>
      </c>
      <c r="U28" s="1343">
        <f>H28</f>
        <v>100</v>
      </c>
      <c r="V28" s="1342" t="s">
        <v>61</v>
      </c>
      <c r="W28" s="1343">
        <f>J28</f>
        <v>100</v>
      </c>
      <c r="X28" s="287"/>
      <c r="Y28" s="3632"/>
      <c r="Z28" s="3358" t="str">
        <f>Q28</f>
        <v>朝向</v>
      </c>
      <c r="AA28" s="3362">
        <f>D28/F28</f>
        <v>1</v>
      </c>
      <c r="AB28" s="3362">
        <f>D28/H28</f>
        <v>1</v>
      </c>
      <c r="AC28" s="2334">
        <f>D28/J28</f>
        <v>1</v>
      </c>
    </row>
    <row r="29" spans="1:29" ht="15" hidden="1" thickBot="1">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298"/>
      <c r="M29" s="2293"/>
      <c r="N29" s="2293"/>
      <c r="O29" s="2293"/>
      <c r="P29" s="3639"/>
      <c r="Q29" s="3361">
        <f t="shared" si="11"/>
        <v>111</v>
      </c>
      <c r="R29" s="1352" t="s">
        <v>61</v>
      </c>
      <c r="S29" s="1353">
        <f t="shared" ref="S29:S47" si="12">F29</f>
        <v>100</v>
      </c>
      <c r="T29" s="1352" t="s">
        <v>61</v>
      </c>
      <c r="U29" s="1353">
        <f t="shared" ref="U29:U47" si="13">H29</f>
        <v>100</v>
      </c>
      <c r="V29" s="1352" t="s">
        <v>61</v>
      </c>
      <c r="W29" s="1353">
        <f t="shared" ref="W29:W47" si="14">J29</f>
        <v>100</v>
      </c>
      <c r="X29" s="3363"/>
      <c r="Y29" s="3632"/>
      <c r="Z29" s="3364">
        <f t="shared" ref="Z29:Z47" si="15">Q29</f>
        <v>111</v>
      </c>
      <c r="AA29" s="3362">
        <f t="shared" si="3"/>
        <v>1</v>
      </c>
      <c r="AB29" s="3362">
        <f t="shared" si="4"/>
        <v>1</v>
      </c>
      <c r="AC29" s="2334">
        <f t="shared" si="5"/>
        <v>1</v>
      </c>
    </row>
    <row r="30" spans="1:29" ht="15" hidden="1" thickBot="1">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298"/>
      <c r="M30" s="2293"/>
      <c r="N30" s="2293"/>
      <c r="O30" s="2293"/>
      <c r="P30" s="3639"/>
      <c r="Q30" s="3361">
        <f t="shared" si="11"/>
        <v>111</v>
      </c>
      <c r="R30" s="1352" t="s">
        <v>61</v>
      </c>
      <c r="S30" s="1353">
        <f t="shared" si="12"/>
        <v>100</v>
      </c>
      <c r="T30" s="1352" t="s">
        <v>61</v>
      </c>
      <c r="U30" s="1353">
        <f t="shared" si="13"/>
        <v>100</v>
      </c>
      <c r="V30" s="1352" t="s">
        <v>61</v>
      </c>
      <c r="W30" s="1353">
        <f t="shared" si="14"/>
        <v>100</v>
      </c>
      <c r="X30" s="3363"/>
      <c r="Y30" s="3632"/>
      <c r="Z30" s="3364">
        <f t="shared" si="15"/>
        <v>111</v>
      </c>
      <c r="AA30" s="3362">
        <f t="shared" si="3"/>
        <v>1</v>
      </c>
      <c r="AB30" s="3362">
        <f t="shared" si="4"/>
        <v>1</v>
      </c>
      <c r="AC30" s="2334">
        <f t="shared" si="5"/>
        <v>1</v>
      </c>
    </row>
    <row r="31" spans="1:29" ht="15" hidden="1" thickBot="1">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298"/>
      <c r="M31" s="2293"/>
      <c r="N31" s="2293"/>
      <c r="O31" s="2293"/>
      <c r="P31" s="3639"/>
      <c r="Q31" s="3361">
        <f t="shared" si="11"/>
        <v>111</v>
      </c>
      <c r="R31" s="1352" t="s">
        <v>61</v>
      </c>
      <c r="S31" s="1353">
        <f t="shared" si="12"/>
        <v>100</v>
      </c>
      <c r="T31" s="1352" t="s">
        <v>61</v>
      </c>
      <c r="U31" s="1353">
        <f t="shared" si="13"/>
        <v>100</v>
      </c>
      <c r="V31" s="1352" t="s">
        <v>61</v>
      </c>
      <c r="W31" s="1353">
        <f t="shared" si="14"/>
        <v>100</v>
      </c>
      <c r="X31" s="3363"/>
      <c r="Y31" s="3632"/>
      <c r="Z31" s="3364">
        <f t="shared" si="15"/>
        <v>111</v>
      </c>
      <c r="AA31" s="3362">
        <f t="shared" si="3"/>
        <v>1</v>
      </c>
      <c r="AB31" s="3362">
        <f t="shared" si="4"/>
        <v>1</v>
      </c>
      <c r="AC31" s="2334">
        <f t="shared" si="5"/>
        <v>1</v>
      </c>
    </row>
    <row r="32" spans="1:29" ht="15" hidden="1"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298"/>
      <c r="M32" s="2293"/>
      <c r="N32" s="2293"/>
      <c r="O32" s="2293"/>
      <c r="P32" s="3639"/>
      <c r="Q32" s="3361">
        <f t="shared" si="11"/>
        <v>111</v>
      </c>
      <c r="R32" s="1352" t="s">
        <v>61</v>
      </c>
      <c r="S32" s="1353">
        <f t="shared" si="12"/>
        <v>100</v>
      </c>
      <c r="T32" s="1352" t="s">
        <v>61</v>
      </c>
      <c r="U32" s="1353">
        <f t="shared" si="13"/>
        <v>100</v>
      </c>
      <c r="V32" s="1352" t="s">
        <v>61</v>
      </c>
      <c r="W32" s="1353">
        <f t="shared" si="14"/>
        <v>100</v>
      </c>
      <c r="X32" s="3363"/>
      <c r="Y32" s="3632"/>
      <c r="Z32" s="3364">
        <f t="shared" si="15"/>
        <v>111</v>
      </c>
      <c r="AA32" s="3362">
        <f t="shared" si="3"/>
        <v>1</v>
      </c>
      <c r="AB32" s="3362">
        <f t="shared" si="4"/>
        <v>1</v>
      </c>
      <c r="AC32" s="2334">
        <f t="shared" si="5"/>
        <v>1</v>
      </c>
    </row>
    <row r="33" spans="1:29" ht="15">
      <c r="A33" s="155" t="s">
        <v>66</v>
      </c>
      <c r="B33" s="62" t="s">
        <v>1083</v>
      </c>
      <c r="C33" s="197" t="s">
        <v>3466</v>
      </c>
      <c r="D33" s="810">
        <v>100</v>
      </c>
      <c r="E33" s="197" t="s">
        <v>3466</v>
      </c>
      <c r="F33" s="804">
        <f>SUMIF(101:101,E33,102:102)-SUMIF(101:101,C33,102:102)+100</f>
        <v>100</v>
      </c>
      <c r="G33" s="197" t="s">
        <v>3466</v>
      </c>
      <c r="H33" s="778">
        <f>SUMIF(101:101,G33,102:102)-SUMIF(101:101,C33,102:102)+100</f>
        <v>100</v>
      </c>
      <c r="I33" s="197" t="s">
        <v>3466</v>
      </c>
      <c r="J33" s="810">
        <f>SUMIF(101:101,I33,102:102)-SUMIF(101:101,C33,102:102)+100</f>
        <v>100</v>
      </c>
      <c r="K33" s="955">
        <v>5</v>
      </c>
      <c r="L33" s="2298"/>
      <c r="M33" s="2293"/>
      <c r="N33" s="2293"/>
      <c r="O33" s="2293"/>
      <c r="P33" s="3633" t="s">
        <v>66</v>
      </c>
      <c r="Q33" s="3361" t="str">
        <f t="shared" si="11"/>
        <v>建筑类型</v>
      </c>
      <c r="R33" s="1352" t="s">
        <v>61</v>
      </c>
      <c r="S33" s="1353">
        <f t="shared" si="12"/>
        <v>100</v>
      </c>
      <c r="T33" s="1352" t="s">
        <v>61</v>
      </c>
      <c r="U33" s="1353">
        <f t="shared" si="13"/>
        <v>100</v>
      </c>
      <c r="V33" s="1352" t="s">
        <v>61</v>
      </c>
      <c r="W33" s="1353">
        <f t="shared" si="14"/>
        <v>100</v>
      </c>
      <c r="X33" s="3363"/>
      <c r="Y33" s="3636" t="s">
        <v>66</v>
      </c>
      <c r="Z33" s="3364" t="str">
        <f t="shared" si="15"/>
        <v>建筑类型</v>
      </c>
      <c r="AA33" s="3362">
        <f t="shared" si="3"/>
        <v>1</v>
      </c>
      <c r="AB33" s="3362">
        <f t="shared" si="4"/>
        <v>1</v>
      </c>
      <c r="AC33" s="2334">
        <f t="shared" si="5"/>
        <v>1</v>
      </c>
    </row>
    <row r="34" spans="1:29" s="1039" customFormat="1" ht="14.25">
      <c r="A34" s="1043"/>
      <c r="B34" s="3359" t="s">
        <v>72</v>
      </c>
      <c r="C34" s="812">
        <f>'数据-基础表'!B3</f>
        <v>66965.320000000065</v>
      </c>
      <c r="D34" s="426">
        <v>100</v>
      </c>
      <c r="E34" s="773">
        <v>600000</v>
      </c>
      <c r="F34" s="768">
        <f>LOOKUP(E34,104:104,105:105)-LOOKUP(C34,104:104,105:105)+100</f>
        <v>105</v>
      </c>
      <c r="G34" s="773">
        <v>600000</v>
      </c>
      <c r="H34" s="426">
        <f>LOOKUP(G34,104:104,105:105)-LOOKUP(C34,104:104,105:105)+100</f>
        <v>105</v>
      </c>
      <c r="I34" s="772">
        <v>250000</v>
      </c>
      <c r="J34" s="426">
        <f>LOOKUP(I34,104:104,105:105)-LOOKUP(C34,104:104,105:105)+100</f>
        <v>102</v>
      </c>
      <c r="K34" s="188"/>
      <c r="L34" s="2297"/>
      <c r="M34" s="2299"/>
      <c r="N34" s="2299"/>
      <c r="O34" s="2299"/>
      <c r="P34" s="3634"/>
      <c r="Q34" s="1359" t="str">
        <f t="shared" si="11"/>
        <v>项目建筑规模</v>
      </c>
      <c r="R34" s="1360" t="s">
        <v>61</v>
      </c>
      <c r="S34" s="1361">
        <f t="shared" si="12"/>
        <v>105</v>
      </c>
      <c r="T34" s="1360" t="s">
        <v>61</v>
      </c>
      <c r="U34" s="1361">
        <f t="shared" si="13"/>
        <v>105</v>
      </c>
      <c r="V34" s="1360" t="s">
        <v>61</v>
      </c>
      <c r="W34" s="1361">
        <f t="shared" si="14"/>
        <v>102</v>
      </c>
      <c r="X34" s="1362"/>
      <c r="Y34" s="3636"/>
      <c r="Z34" s="1363" t="str">
        <f t="shared" si="15"/>
        <v>项目建筑规模</v>
      </c>
      <c r="AA34" s="3362">
        <f t="shared" si="3"/>
        <v>0.95238095238095233</v>
      </c>
      <c r="AB34" s="3362">
        <f t="shared" si="4"/>
        <v>0.95238095238095233</v>
      </c>
      <c r="AC34" s="2334">
        <f t="shared" si="5"/>
        <v>0.98039215686274506</v>
      </c>
    </row>
    <row r="35" spans="1:29" ht="15">
      <c r="A35" s="161"/>
      <c r="B35" s="3359" t="s">
        <v>73</v>
      </c>
      <c r="C35" s="107" t="s">
        <v>3471</v>
      </c>
      <c r="D35" s="778">
        <v>100</v>
      </c>
      <c r="E35" s="107" t="s">
        <v>3471</v>
      </c>
      <c r="F35" s="804">
        <f>SUMIF(106:106,E35,107:107)-SUMIF(106:106,C35,107:107)+100</f>
        <v>100</v>
      </c>
      <c r="G35" s="107" t="s">
        <v>3471</v>
      </c>
      <c r="H35" s="778">
        <f>SUMIF(106:106,G35,107:107)-SUMIF(106:106,C35,107:107)+100</f>
        <v>100</v>
      </c>
      <c r="I35" s="107" t="s">
        <v>3471</v>
      </c>
      <c r="J35" s="778">
        <f>SUMIF(106:106,I35,107:107)-SUMIF(106:106,C35,107:107)+100</f>
        <v>100</v>
      </c>
      <c r="K35" s="955">
        <v>2</v>
      </c>
      <c r="L35" s="2298"/>
      <c r="M35" s="2293"/>
      <c r="N35" s="2293"/>
      <c r="O35" s="2293"/>
      <c r="P35" s="3634"/>
      <c r="Q35" s="3361" t="str">
        <f t="shared" si="11"/>
        <v>建筑结构</v>
      </c>
      <c r="R35" s="1352" t="s">
        <v>61</v>
      </c>
      <c r="S35" s="1353">
        <f t="shared" si="12"/>
        <v>100</v>
      </c>
      <c r="T35" s="1352" t="s">
        <v>61</v>
      </c>
      <c r="U35" s="1353">
        <f t="shared" si="13"/>
        <v>100</v>
      </c>
      <c r="V35" s="1352" t="s">
        <v>61</v>
      </c>
      <c r="W35" s="1353">
        <f t="shared" si="14"/>
        <v>100</v>
      </c>
      <c r="X35" s="3363"/>
      <c r="Y35" s="3636"/>
      <c r="Z35" s="3364" t="str">
        <f t="shared" si="15"/>
        <v>建筑结构</v>
      </c>
      <c r="AA35" s="3362">
        <f t="shared" si="3"/>
        <v>1</v>
      </c>
      <c r="AB35" s="3362">
        <f t="shared" si="4"/>
        <v>1</v>
      </c>
      <c r="AC35" s="2334">
        <f t="shared" si="5"/>
        <v>1</v>
      </c>
    </row>
    <row r="36" spans="1:29" ht="15">
      <c r="A36" s="161"/>
      <c r="B36" s="3359" t="s">
        <v>129</v>
      </c>
      <c r="C36" s="107" t="s">
        <v>3476</v>
      </c>
      <c r="D36" s="778">
        <v>100</v>
      </c>
      <c r="E36" s="107" t="s">
        <v>3476</v>
      </c>
      <c r="F36" s="804">
        <f>SUMIF(108:108,E36,109:109)-SUMIF(108:108,C36,109:109)+100</f>
        <v>100</v>
      </c>
      <c r="G36" s="107" t="s">
        <v>3476</v>
      </c>
      <c r="H36" s="778">
        <f>SUMIF(108:108,G36,109:109)-SUMIF(108:108,C36,109:109)+100</f>
        <v>100</v>
      </c>
      <c r="I36" s="107" t="s">
        <v>3476</v>
      </c>
      <c r="J36" s="778">
        <f>SUMIF(108:108,I36,109:109)-SUMIF(108:108,C36,109:109)+100</f>
        <v>100</v>
      </c>
      <c r="K36" s="955">
        <v>2</v>
      </c>
      <c r="L36" s="2298"/>
      <c r="M36" s="2293"/>
      <c r="N36" s="2293"/>
      <c r="O36" s="2293"/>
      <c r="P36" s="3634"/>
      <c r="Q36" s="3361" t="str">
        <f t="shared" si="11"/>
        <v>公共部分装修</v>
      </c>
      <c r="R36" s="1352" t="s">
        <v>61</v>
      </c>
      <c r="S36" s="1353">
        <f t="shared" si="12"/>
        <v>100</v>
      </c>
      <c r="T36" s="1352" t="s">
        <v>61</v>
      </c>
      <c r="U36" s="1353">
        <f t="shared" si="13"/>
        <v>100</v>
      </c>
      <c r="V36" s="1352" t="s">
        <v>61</v>
      </c>
      <c r="W36" s="1353">
        <f t="shared" si="14"/>
        <v>100</v>
      </c>
      <c r="X36" s="3363"/>
      <c r="Y36" s="3636"/>
      <c r="Z36" s="3364" t="str">
        <f t="shared" si="15"/>
        <v>公共部分装修</v>
      </c>
      <c r="AA36" s="3362">
        <f t="shared" si="3"/>
        <v>1</v>
      </c>
      <c r="AB36" s="3362">
        <f t="shared" si="4"/>
        <v>1</v>
      </c>
      <c r="AC36" s="2334">
        <f t="shared" si="5"/>
        <v>1</v>
      </c>
    </row>
    <row r="37" spans="1:29" ht="15">
      <c r="A37" s="161"/>
      <c r="B37" s="3359" t="s">
        <v>130</v>
      </c>
      <c r="C37" s="817">
        <f>'数据-取费表'!N8</f>
        <v>0.98</v>
      </c>
      <c r="D37" s="778">
        <v>100</v>
      </c>
      <c r="E37" s="817">
        <f>ROUND(1-(2017-2015)/60,2)</f>
        <v>0.97</v>
      </c>
      <c r="F37" s="804">
        <f>LOOKUP(E37,111:111,112:112)-LOOKUP(C37,111:111,112:112)+100</f>
        <v>100</v>
      </c>
      <c r="G37" s="817">
        <f>ROUND(1-(2017-2015)/60,2)</f>
        <v>0.97</v>
      </c>
      <c r="H37" s="804">
        <f>LOOKUP(G37,111:111,112:112)-LOOKUP(C37,111:111,112:112)+100</f>
        <v>100</v>
      </c>
      <c r="I37" s="817">
        <f>ROUND(1-(2017-2014)/60,2)</f>
        <v>0.95</v>
      </c>
      <c r="J37" s="778">
        <f>LOOKUP(I37,111:111,112:112)-LOOKUP(C37,111:111,112:112)+100</f>
        <v>100</v>
      </c>
      <c r="K37" s="955">
        <v>1</v>
      </c>
      <c r="L37" s="2298"/>
      <c r="M37" s="2293"/>
      <c r="N37" s="2293"/>
      <c r="O37" s="2293"/>
      <c r="P37" s="3634"/>
      <c r="Q37" s="3361" t="str">
        <f t="shared" si="11"/>
        <v>成新度</v>
      </c>
      <c r="R37" s="1352" t="s">
        <v>61</v>
      </c>
      <c r="S37" s="1353">
        <f t="shared" si="12"/>
        <v>100</v>
      </c>
      <c r="T37" s="1352" t="s">
        <v>61</v>
      </c>
      <c r="U37" s="1353">
        <f t="shared" si="13"/>
        <v>100</v>
      </c>
      <c r="V37" s="1352" t="s">
        <v>61</v>
      </c>
      <c r="W37" s="1353">
        <f t="shared" si="14"/>
        <v>100</v>
      </c>
      <c r="X37" s="3363"/>
      <c r="Y37" s="3636"/>
      <c r="Z37" s="3364" t="str">
        <f t="shared" si="15"/>
        <v>成新度</v>
      </c>
      <c r="AA37" s="3362">
        <f t="shared" si="3"/>
        <v>1</v>
      </c>
      <c r="AB37" s="3362">
        <f t="shared" si="4"/>
        <v>1</v>
      </c>
      <c r="AC37" s="2334">
        <f t="shared" si="5"/>
        <v>1</v>
      </c>
    </row>
    <row r="38" spans="1:29" s="40" customFormat="1" ht="15">
      <c r="A38" s="1041"/>
      <c r="B38" s="3359" t="s">
        <v>143</v>
      </c>
      <c r="C38" s="107" t="s">
        <v>3480</v>
      </c>
      <c r="D38" s="426">
        <v>100</v>
      </c>
      <c r="E38" s="107" t="s">
        <v>3480</v>
      </c>
      <c r="F38" s="804">
        <f>SUMIF(113:113,E38,114:114)-SUMIF(113:113,C38,114:114)+100</f>
        <v>100</v>
      </c>
      <c r="G38" s="107" t="s">
        <v>3480</v>
      </c>
      <c r="H38" s="778">
        <f>SUMIF(113:113,G38,114:114)-SUMIF(113:113,C38,114:114)+100</f>
        <v>100</v>
      </c>
      <c r="I38" s="107" t="s">
        <v>3480</v>
      </c>
      <c r="J38" s="778">
        <f>SUMIF(113:113,I38,114:114)-SUMIF(113:113,C38,114:114)+100</f>
        <v>100</v>
      </c>
      <c r="K38" s="955">
        <v>2</v>
      </c>
      <c r="L38" s="2294"/>
      <c r="M38" s="2256"/>
      <c r="N38" s="2256"/>
      <c r="O38" s="2256"/>
      <c r="P38" s="3634"/>
      <c r="Q38" s="3357" t="str">
        <f t="shared" si="11"/>
        <v>写字楼等级</v>
      </c>
      <c r="R38" s="1342" t="s">
        <v>61</v>
      </c>
      <c r="S38" s="1343">
        <f t="shared" si="12"/>
        <v>100</v>
      </c>
      <c r="T38" s="1342" t="s">
        <v>61</v>
      </c>
      <c r="U38" s="1343">
        <f t="shared" si="13"/>
        <v>100</v>
      </c>
      <c r="V38" s="1342" t="s">
        <v>61</v>
      </c>
      <c r="W38" s="1343">
        <f t="shared" si="14"/>
        <v>100</v>
      </c>
      <c r="X38" s="287"/>
      <c r="Y38" s="3636"/>
      <c r="Z38" s="3358" t="str">
        <f t="shared" si="15"/>
        <v>写字楼等级</v>
      </c>
      <c r="AA38" s="1344">
        <f t="shared" si="3"/>
        <v>1</v>
      </c>
      <c r="AB38" s="1344">
        <f t="shared" si="4"/>
        <v>1</v>
      </c>
      <c r="AC38" s="2333">
        <f t="shared" si="5"/>
        <v>1</v>
      </c>
    </row>
    <row r="39" spans="1:29" ht="15">
      <c r="A39" s="161"/>
      <c r="B39" s="3359" t="s">
        <v>144</v>
      </c>
      <c r="C39" s="107" t="s">
        <v>3490</v>
      </c>
      <c r="D39" s="778">
        <v>100</v>
      </c>
      <c r="E39" s="107" t="s">
        <v>3490</v>
      </c>
      <c r="F39" s="804">
        <f>SUMIF(115:115,E39,116:116)-SUMIF(115:115,C39,116:116)+100</f>
        <v>100</v>
      </c>
      <c r="G39" s="107" t="s">
        <v>3490</v>
      </c>
      <c r="H39" s="778">
        <f>SUMIF(115:115,G39,116:116)-SUMIF(115:115,C39,116:116)+100</f>
        <v>100</v>
      </c>
      <c r="I39" s="107" t="s">
        <v>3490</v>
      </c>
      <c r="J39" s="778">
        <f>SUMIF(115:115,I39,116:116)-SUMIF(115:115,C39,116:116)+100</f>
        <v>100</v>
      </c>
      <c r="K39" s="955">
        <v>2</v>
      </c>
      <c r="L39" s="2298"/>
      <c r="M39" s="2293"/>
      <c r="N39" s="2293"/>
      <c r="O39" s="2293"/>
      <c r="P39" s="3634" t="s">
        <v>66</v>
      </c>
      <c r="Q39" s="3361" t="str">
        <f t="shared" si="11"/>
        <v>物业管理</v>
      </c>
      <c r="R39" s="1352" t="s">
        <v>61</v>
      </c>
      <c r="S39" s="1353">
        <f t="shared" si="12"/>
        <v>100</v>
      </c>
      <c r="T39" s="1352" t="s">
        <v>61</v>
      </c>
      <c r="U39" s="1353">
        <f t="shared" si="13"/>
        <v>100</v>
      </c>
      <c r="V39" s="1352" t="s">
        <v>61</v>
      </c>
      <c r="W39" s="1353">
        <f t="shared" si="14"/>
        <v>100</v>
      </c>
      <c r="X39" s="3363"/>
      <c r="Y39" s="3636" t="s">
        <v>66</v>
      </c>
      <c r="Z39" s="3364" t="str">
        <f t="shared" si="15"/>
        <v>物业管理</v>
      </c>
      <c r="AA39" s="3362">
        <f t="shared" si="3"/>
        <v>1</v>
      </c>
      <c r="AB39" s="3362">
        <f t="shared" si="4"/>
        <v>1</v>
      </c>
      <c r="AC39" s="2334">
        <f t="shared" si="5"/>
        <v>1</v>
      </c>
    </row>
    <row r="40" spans="1:29" ht="15">
      <c r="A40" s="161"/>
      <c r="B40" s="3359" t="s">
        <v>2652</v>
      </c>
      <c r="C40" s="107" t="s">
        <v>3491</v>
      </c>
      <c r="D40" s="778">
        <v>100</v>
      </c>
      <c r="E40" s="107" t="s">
        <v>3491</v>
      </c>
      <c r="F40" s="804">
        <f>SUMIF(117:117,E40,118:118)-SUMIF(117:117,C40,118:118)+100</f>
        <v>100</v>
      </c>
      <c r="G40" s="107" t="s">
        <v>3491</v>
      </c>
      <c r="H40" s="778">
        <f>SUMIF(117:117,G40,118:118)-SUMIF(117:117,C40,118:118)+100</f>
        <v>100</v>
      </c>
      <c r="I40" s="107" t="s">
        <v>3491</v>
      </c>
      <c r="J40" s="778">
        <f>SUMIF(117:117,I40,118:118)-SUMIF(117:117,C40,118:118)+100</f>
        <v>100</v>
      </c>
      <c r="K40" s="955">
        <v>1</v>
      </c>
      <c r="L40" s="2298"/>
      <c r="M40" s="2293"/>
      <c r="N40" s="2293"/>
      <c r="O40" s="2293"/>
      <c r="P40" s="3634"/>
      <c r="Q40" s="3361" t="str">
        <f t="shared" si="11"/>
        <v>市政基础设施</v>
      </c>
      <c r="R40" s="1352" t="s">
        <v>61</v>
      </c>
      <c r="S40" s="1353">
        <f t="shared" si="12"/>
        <v>100</v>
      </c>
      <c r="T40" s="1352" t="s">
        <v>61</v>
      </c>
      <c r="U40" s="1353">
        <f t="shared" si="13"/>
        <v>100</v>
      </c>
      <c r="V40" s="1352" t="s">
        <v>61</v>
      </c>
      <c r="W40" s="1353">
        <f t="shared" si="14"/>
        <v>100</v>
      </c>
      <c r="X40" s="3363"/>
      <c r="Y40" s="3636"/>
      <c r="Z40" s="3364" t="str">
        <f t="shared" si="15"/>
        <v>市政基础设施</v>
      </c>
      <c r="AA40" s="3362">
        <f t="shared" si="3"/>
        <v>1</v>
      </c>
      <c r="AB40" s="3362">
        <f t="shared" si="4"/>
        <v>1</v>
      </c>
      <c r="AC40" s="2334">
        <f t="shared" si="5"/>
        <v>1</v>
      </c>
    </row>
    <row r="41" spans="1:29" ht="15">
      <c r="A41" s="161"/>
      <c r="B41" s="3359" t="s">
        <v>132</v>
      </c>
      <c r="C41" s="182" t="s">
        <v>3488</v>
      </c>
      <c r="D41" s="778">
        <v>100</v>
      </c>
      <c r="E41" s="182" t="s">
        <v>3488</v>
      </c>
      <c r="F41" s="804">
        <f>SUMIF(119:119,E41,120:120)-SUMIF(119:119,C41,120:120)+100</f>
        <v>100</v>
      </c>
      <c r="G41" s="182" t="s">
        <v>3488</v>
      </c>
      <c r="H41" s="778">
        <f>SUMIF(119:119,G41,120:120)-SUMIF(119:119,C41,120:120)+100</f>
        <v>100</v>
      </c>
      <c r="I41" s="182" t="s">
        <v>3488</v>
      </c>
      <c r="J41" s="778">
        <f>SUMIF(119:119,I41,120:120)-SUMIF(119:119,C41,120:120)+100</f>
        <v>100</v>
      </c>
      <c r="K41" s="955">
        <v>2</v>
      </c>
      <c r="L41" s="2298"/>
      <c r="M41" s="2293"/>
      <c r="N41" s="2293"/>
      <c r="O41" s="2293"/>
      <c r="P41" s="3634"/>
      <c r="Q41" s="3361" t="str">
        <f t="shared" si="11"/>
        <v>层高</v>
      </c>
      <c r="R41" s="1352" t="s">
        <v>61</v>
      </c>
      <c r="S41" s="1353">
        <f t="shared" si="12"/>
        <v>100</v>
      </c>
      <c r="T41" s="1352" t="s">
        <v>61</v>
      </c>
      <c r="U41" s="1353">
        <f t="shared" si="13"/>
        <v>100</v>
      </c>
      <c r="V41" s="1352" t="s">
        <v>61</v>
      </c>
      <c r="W41" s="1353">
        <f t="shared" si="14"/>
        <v>100</v>
      </c>
      <c r="X41" s="3363"/>
      <c r="Y41" s="3636"/>
      <c r="Z41" s="3364" t="str">
        <f t="shared" si="15"/>
        <v>层高</v>
      </c>
      <c r="AA41" s="3362">
        <f t="shared" si="3"/>
        <v>1</v>
      </c>
      <c r="AB41" s="3362">
        <f t="shared" si="4"/>
        <v>1</v>
      </c>
      <c r="AC41" s="2334">
        <f t="shared" si="5"/>
        <v>1</v>
      </c>
    </row>
    <row r="42" spans="1:29" s="1039" customFormat="1" ht="14.25">
      <c r="A42" s="1043"/>
      <c r="B42" s="3360" t="s">
        <v>1060</v>
      </c>
      <c r="C42" s="777" t="s">
        <v>3601</v>
      </c>
      <c r="D42" s="778">
        <v>100</v>
      </c>
      <c r="E42" s="777">
        <v>260</v>
      </c>
      <c r="F42" s="804">
        <f>SUMIF(121:121,E42,122:122)-SUMIF(121:121,C42,122:122)+100</f>
        <v>100</v>
      </c>
      <c r="G42" s="777">
        <v>360</v>
      </c>
      <c r="H42" s="778">
        <f>SUMIF(121:121,G42,122:122)-SUMIF(121:121,C42,122:122)+100</f>
        <v>100</v>
      </c>
      <c r="I42" s="777">
        <v>697</v>
      </c>
      <c r="J42" s="778">
        <f>SUMIF(121:121,I42,122:122)-SUMIF(121:121,C42,122:122)+100</f>
        <v>98</v>
      </c>
      <c r="K42" s="188"/>
      <c r="L42" s="2297"/>
      <c r="M42" s="2299"/>
      <c r="N42" s="2299"/>
      <c r="O42" s="2299"/>
      <c r="P42" s="3634"/>
      <c r="Q42" s="1359" t="str">
        <f t="shared" si="11"/>
        <v>单套建筑面积</v>
      </c>
      <c r="R42" s="1360" t="s">
        <v>61</v>
      </c>
      <c r="S42" s="1361">
        <f t="shared" si="12"/>
        <v>100</v>
      </c>
      <c r="T42" s="1360" t="s">
        <v>61</v>
      </c>
      <c r="U42" s="1361">
        <f t="shared" si="13"/>
        <v>100</v>
      </c>
      <c r="V42" s="1360" t="s">
        <v>61</v>
      </c>
      <c r="W42" s="1361">
        <f t="shared" si="14"/>
        <v>98</v>
      </c>
      <c r="X42" s="1362"/>
      <c r="Y42" s="3636"/>
      <c r="Z42" s="1363" t="str">
        <f t="shared" si="15"/>
        <v>单套建筑面积</v>
      </c>
      <c r="AA42" s="3362">
        <f t="shared" si="3"/>
        <v>1</v>
      </c>
      <c r="AB42" s="3362">
        <f t="shared" si="4"/>
        <v>1</v>
      </c>
      <c r="AC42" s="2334">
        <f t="shared" si="5"/>
        <v>1.0204081632653061</v>
      </c>
    </row>
    <row r="43" spans="1:29" ht="15.75" thickBot="1">
      <c r="A43" s="161"/>
      <c r="B43" s="3359" t="s">
        <v>133</v>
      </c>
      <c r="C43" s="107" t="s">
        <v>3493</v>
      </c>
      <c r="D43" s="778">
        <v>100</v>
      </c>
      <c r="E43" s="107" t="s">
        <v>3493</v>
      </c>
      <c r="F43" s="804">
        <f>SUMIF(123:123,E43,124:124)-SUMIF(123:123,C43,124:124)+100</f>
        <v>100</v>
      </c>
      <c r="G43" s="107" t="s">
        <v>3493</v>
      </c>
      <c r="H43" s="778">
        <f>SUMIF(123:123,G43,124:124)-SUMIF(123:123,C43,124:124)+100</f>
        <v>100</v>
      </c>
      <c r="I43" s="107" t="s">
        <v>3493</v>
      </c>
      <c r="J43" s="778">
        <f>SUMIF(123:123,I43,124:124)-SUMIF(123:123,C43,124:124)+100</f>
        <v>100</v>
      </c>
      <c r="K43" s="955">
        <v>2</v>
      </c>
      <c r="L43" s="2298"/>
      <c r="M43" s="2293"/>
      <c r="N43" s="2293"/>
      <c r="O43" s="2293"/>
      <c r="P43" s="3634"/>
      <c r="Q43" s="3361" t="str">
        <f t="shared" si="11"/>
        <v>内部装修</v>
      </c>
      <c r="R43" s="1352" t="s">
        <v>61</v>
      </c>
      <c r="S43" s="1353">
        <f t="shared" si="12"/>
        <v>100</v>
      </c>
      <c r="T43" s="1352" t="s">
        <v>61</v>
      </c>
      <c r="U43" s="1353">
        <f t="shared" si="13"/>
        <v>100</v>
      </c>
      <c r="V43" s="1352" t="s">
        <v>61</v>
      </c>
      <c r="W43" s="1353">
        <f t="shared" si="14"/>
        <v>100</v>
      </c>
      <c r="X43" s="3363"/>
      <c r="Y43" s="3636"/>
      <c r="Z43" s="3364" t="str">
        <f t="shared" si="15"/>
        <v>内部装修</v>
      </c>
      <c r="AA43" s="3362">
        <f t="shared" si="3"/>
        <v>1</v>
      </c>
      <c r="AB43" s="3362">
        <f t="shared" si="4"/>
        <v>1</v>
      </c>
      <c r="AC43" s="2334">
        <f t="shared" si="5"/>
        <v>1</v>
      </c>
    </row>
    <row r="44" spans="1:29" ht="27" hidden="1">
      <c r="A44" s="161"/>
      <c r="B44" s="3359" t="s">
        <v>80</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298"/>
      <c r="M44" s="2293"/>
      <c r="N44" s="2293"/>
      <c r="O44" s="2293"/>
      <c r="P44" s="3634"/>
      <c r="Q44" s="3361" t="str">
        <f t="shared" si="11"/>
        <v>内部装修维护情况</v>
      </c>
      <c r="R44" s="1352" t="s">
        <v>61</v>
      </c>
      <c r="S44" s="1353">
        <f t="shared" si="12"/>
        <v>100</v>
      </c>
      <c r="T44" s="1352" t="s">
        <v>61</v>
      </c>
      <c r="U44" s="1353">
        <f t="shared" si="13"/>
        <v>100</v>
      </c>
      <c r="V44" s="1352" t="s">
        <v>61</v>
      </c>
      <c r="W44" s="1353">
        <f t="shared" si="14"/>
        <v>100</v>
      </c>
      <c r="X44" s="3363"/>
      <c r="Y44" s="3636"/>
      <c r="Z44" s="3364" t="str">
        <f t="shared" si="15"/>
        <v>内部装修维护情况</v>
      </c>
      <c r="AA44" s="3362">
        <f t="shared" si="3"/>
        <v>1</v>
      </c>
      <c r="AB44" s="3362">
        <f t="shared" si="4"/>
        <v>1</v>
      </c>
      <c r="AC44" s="2334">
        <f t="shared" si="5"/>
        <v>1</v>
      </c>
    </row>
    <row r="45" spans="1:29" s="40" customFormat="1" ht="14.25" hidden="1">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4"/>
      <c r="M45" s="2256"/>
      <c r="N45" s="2256"/>
      <c r="O45" s="2256"/>
      <c r="P45" s="3634"/>
      <c r="Q45" s="3357">
        <f t="shared" si="11"/>
        <v>111</v>
      </c>
      <c r="R45" s="1342" t="s">
        <v>61</v>
      </c>
      <c r="S45" s="1343">
        <f t="shared" si="12"/>
        <v>100</v>
      </c>
      <c r="T45" s="1342" t="s">
        <v>61</v>
      </c>
      <c r="U45" s="1343">
        <f t="shared" si="13"/>
        <v>100</v>
      </c>
      <c r="V45" s="1342" t="s">
        <v>61</v>
      </c>
      <c r="W45" s="1343">
        <f t="shared" si="14"/>
        <v>100</v>
      </c>
      <c r="X45" s="287"/>
      <c r="Y45" s="3636"/>
      <c r="Z45" s="3358">
        <f t="shared" si="15"/>
        <v>111</v>
      </c>
      <c r="AA45" s="1344">
        <f t="shared" si="3"/>
        <v>1</v>
      </c>
      <c r="AB45" s="1344">
        <f t="shared" si="4"/>
        <v>1</v>
      </c>
      <c r="AC45" s="2333">
        <f t="shared" si="5"/>
        <v>1</v>
      </c>
    </row>
    <row r="46" spans="1:29" ht="14.25" hidden="1">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8"/>
      <c r="M46" s="2293"/>
      <c r="N46" s="2293"/>
      <c r="O46" s="2293"/>
      <c r="P46" s="3634"/>
      <c r="Q46" s="3361">
        <f t="shared" si="11"/>
        <v>111</v>
      </c>
      <c r="R46" s="1352" t="s">
        <v>61</v>
      </c>
      <c r="S46" s="1353">
        <f t="shared" si="12"/>
        <v>100</v>
      </c>
      <c r="T46" s="1352" t="s">
        <v>61</v>
      </c>
      <c r="U46" s="1353">
        <f t="shared" si="13"/>
        <v>100</v>
      </c>
      <c r="V46" s="1352" t="s">
        <v>61</v>
      </c>
      <c r="W46" s="1353">
        <f t="shared" si="14"/>
        <v>100</v>
      </c>
      <c r="X46" s="3363"/>
      <c r="Y46" s="3636"/>
      <c r="Z46" s="3364">
        <f t="shared" si="15"/>
        <v>111</v>
      </c>
      <c r="AA46" s="3362">
        <f t="shared" si="3"/>
        <v>1</v>
      </c>
      <c r="AB46" s="3362">
        <f t="shared" si="4"/>
        <v>1</v>
      </c>
      <c r="AC46" s="2334">
        <f t="shared" si="5"/>
        <v>1</v>
      </c>
    </row>
    <row r="47" spans="1:29" ht="15" hidden="1"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8"/>
      <c r="M47" s="2293"/>
      <c r="N47" s="2293"/>
      <c r="O47" s="2293"/>
      <c r="P47" s="3635"/>
      <c r="Q47" s="3361">
        <f t="shared" si="11"/>
        <v>111</v>
      </c>
      <c r="R47" s="1352" t="s">
        <v>61</v>
      </c>
      <c r="S47" s="1353">
        <f t="shared" si="12"/>
        <v>100</v>
      </c>
      <c r="T47" s="1352" t="s">
        <v>61</v>
      </c>
      <c r="U47" s="1353">
        <f t="shared" si="13"/>
        <v>100</v>
      </c>
      <c r="V47" s="1352" t="s">
        <v>61</v>
      </c>
      <c r="W47" s="1353">
        <f t="shared" si="14"/>
        <v>100</v>
      </c>
      <c r="X47" s="3363"/>
      <c r="Y47" s="3637"/>
      <c r="Z47" s="3364">
        <f t="shared" si="15"/>
        <v>111</v>
      </c>
      <c r="AA47" s="3362">
        <f t="shared" si="3"/>
        <v>1</v>
      </c>
      <c r="AB47" s="3362">
        <f t="shared" si="4"/>
        <v>1</v>
      </c>
      <c r="AC47" s="2334">
        <f t="shared" si="5"/>
        <v>1</v>
      </c>
    </row>
    <row r="48" spans="1:29" ht="15">
      <c r="A48" s="163" t="s">
        <v>98</v>
      </c>
      <c r="B48" s="164"/>
      <c r="C48" s="2833" t="s">
        <v>23</v>
      </c>
      <c r="D48" s="2834"/>
      <c r="E48" s="2835">
        <v>6.5</v>
      </c>
      <c r="F48" s="2836"/>
      <c r="G48" s="2837">
        <v>6.3</v>
      </c>
      <c r="H48" s="2838"/>
      <c r="I48" s="2835">
        <v>6</v>
      </c>
      <c r="J48" s="828"/>
      <c r="K48" s="1393"/>
      <c r="L48" s="2300"/>
      <c r="M48" s="2293"/>
      <c r="N48" s="2293"/>
      <c r="O48" s="2293"/>
      <c r="P48" s="3611" t="str">
        <f>A48</f>
        <v>成交单价（元/平方米）</v>
      </c>
      <c r="Q48" s="3629"/>
      <c r="R48" s="3630">
        <f>E48</f>
        <v>6.5</v>
      </c>
      <c r="S48" s="3630"/>
      <c r="T48" s="3630">
        <f>G48</f>
        <v>6.3</v>
      </c>
      <c r="U48" s="3630"/>
      <c r="V48" s="3630">
        <f>I48</f>
        <v>6</v>
      </c>
      <c r="W48" s="3630"/>
      <c r="X48" s="156"/>
      <c r="Y48" s="1366"/>
      <c r="Z48" s="156"/>
      <c r="AA48" s="156"/>
      <c r="AB48" s="156"/>
      <c r="AC48" s="209"/>
    </row>
    <row r="49" spans="1:29" ht="15.75" thickBot="1">
      <c r="A49" s="165" t="s">
        <v>96</v>
      </c>
      <c r="B49" s="166"/>
      <c r="C49" s="2839">
        <f>R50</f>
        <v>6</v>
      </c>
      <c r="D49" s="2840"/>
      <c r="E49" s="2841">
        <f>R49</f>
        <v>6</v>
      </c>
      <c r="F49" s="2841"/>
      <c r="G49" s="2839">
        <f>T49</f>
        <v>5.8</v>
      </c>
      <c r="H49" s="2840"/>
      <c r="I49" s="2841">
        <f>V49</f>
        <v>6.1</v>
      </c>
      <c r="J49" s="832"/>
      <c r="K49" s="1394"/>
      <c r="L49" s="2300"/>
      <c r="M49" s="2293"/>
      <c r="N49" s="2293"/>
      <c r="O49" s="2293"/>
      <c r="P49" s="3611" t="str">
        <f>A49</f>
        <v>比较价值（元/平方米）</v>
      </c>
      <c r="Q49" s="3629"/>
      <c r="R49" s="3630">
        <f>IF(F1="售价",ROUND(PRODUCT(R48,AA7:AA47),0),ROUND(PRODUCT(R48,AA7:AA47),1))</f>
        <v>6</v>
      </c>
      <c r="S49" s="3630"/>
      <c r="T49" s="3630">
        <f>IF(F1="售价",ROUND(PRODUCT(T48,AB7:AB47),0),ROUND(PRODUCT(T48,AB7:AB47),1))</f>
        <v>5.8</v>
      </c>
      <c r="U49" s="3630"/>
      <c r="V49" s="3630">
        <f>IF(F1="售价",ROUND(PRODUCT(V48,AC7:AC47),0),ROUND(PRODUCT(V48,AC7:AC47),1))</f>
        <v>6.1</v>
      </c>
      <c r="W49" s="3630"/>
      <c r="X49" s="156"/>
      <c r="Y49" s="156"/>
      <c r="Z49" s="156"/>
      <c r="AA49" s="156"/>
      <c r="AB49" s="156"/>
      <c r="AC49" s="209"/>
    </row>
    <row r="50" spans="1:29" ht="15.75" thickBot="1">
      <c r="A50" s="115" t="s">
        <v>3016</v>
      </c>
      <c r="B50" s="116"/>
      <c r="C50" s="2843">
        <f>R50</f>
        <v>6</v>
      </c>
      <c r="D50" s="2843"/>
      <c r="E50" s="2843"/>
      <c r="F50" s="2843"/>
      <c r="G50" s="2843"/>
      <c r="H50" s="2843"/>
      <c r="I50" s="2843"/>
      <c r="J50" s="837"/>
      <c r="K50" s="1395"/>
      <c r="L50" s="2300"/>
      <c r="M50" s="2293"/>
      <c r="N50" s="2293"/>
      <c r="O50" s="2293"/>
      <c r="P50" s="3652" t="str">
        <f>A50</f>
        <v>估价对象XX用房的比较价值（楼面单价，元/平方米）</v>
      </c>
      <c r="Q50" s="3653"/>
      <c r="R50" s="3654">
        <f>IF(F1="售价",ROUND(AVERAGE(R49:V49),0),ROUND(AVERAGE(R49:V49),1))</f>
        <v>6</v>
      </c>
      <c r="S50" s="3654"/>
      <c r="T50" s="3654"/>
      <c r="U50" s="3654"/>
      <c r="V50" s="3654"/>
      <c r="W50" s="3654"/>
      <c r="X50" s="2174"/>
      <c r="Y50" s="2174"/>
      <c r="Z50" s="2174"/>
      <c r="AA50" s="2174"/>
      <c r="AB50" s="2174"/>
      <c r="AC50" s="2175"/>
    </row>
    <row r="51" spans="1:29">
      <c r="A51" s="2301"/>
      <c r="B51" s="2301"/>
      <c r="C51" s="2301"/>
      <c r="D51" s="2301"/>
      <c r="E51" s="2301"/>
      <c r="F51" s="2301"/>
      <c r="G51" s="2310"/>
      <c r="H51" s="2301"/>
      <c r="I51" s="2301"/>
      <c r="J51" s="2301"/>
      <c r="K51" s="2302"/>
      <c r="L51" s="2303"/>
      <c r="M51" s="2301"/>
      <c r="N51" s="2301"/>
      <c r="O51" s="2301"/>
    </row>
    <row r="52" spans="1:29">
      <c r="A52" s="2301"/>
      <c r="B52" s="2301"/>
      <c r="C52" s="2301"/>
      <c r="D52" s="2301"/>
      <c r="E52" s="2301"/>
      <c r="F52" s="2301"/>
      <c r="G52" s="2301"/>
      <c r="H52" s="2301"/>
      <c r="I52" s="2301"/>
      <c r="J52" s="2301"/>
      <c r="K52" s="2302"/>
      <c r="L52" s="2303"/>
      <c r="M52" s="2301"/>
      <c r="N52" s="2301"/>
      <c r="O52" s="2301"/>
    </row>
    <row r="53" spans="1:29" ht="13.5" customHeight="1">
      <c r="A53" s="2301"/>
      <c r="B53" s="2301"/>
      <c r="C53" s="840" t="s">
        <v>408</v>
      </c>
      <c r="D53" s="841"/>
      <c r="E53" s="842">
        <f>IF(E48&lt;E49,E49/E48-1,E48/E49-1)</f>
        <v>8.3333333333333259E-2</v>
      </c>
      <c r="F53" s="843" t="str">
        <f>IF(OR(E53&gt;=0.3,E53&lt;=-0.3),"超过30%","")</f>
        <v/>
      </c>
      <c r="G53" s="842">
        <f>IF(G48&lt;G49,G49/G48-1,G48/G49-1)</f>
        <v>8.6206896551724199E-2</v>
      </c>
      <c r="H53" s="843" t="str">
        <f>IF(OR(G53&gt;=0.3,G53&lt;=-0.3),"超过30%","")</f>
        <v/>
      </c>
      <c r="I53" s="842">
        <f>IF(I48&lt;I49,I49/I48-1,I48/I49-1)</f>
        <v>1.6666666666666607E-2</v>
      </c>
      <c r="J53" s="843" t="str">
        <f>IF(OR(I53&gt;=0.3,I53&lt;=-0.3),"超过30%","")</f>
        <v/>
      </c>
      <c r="K53" s="2302"/>
      <c r="L53" s="2303"/>
      <c r="M53" s="2301"/>
      <c r="N53" s="2301"/>
      <c r="O53" s="2301"/>
    </row>
    <row r="54" spans="1:29" ht="13.5" customHeight="1">
      <c r="A54" s="2301"/>
      <c r="B54" s="2301"/>
      <c r="C54" s="840" t="s">
        <v>1003</v>
      </c>
      <c r="D54" s="844"/>
      <c r="E54" s="842">
        <f>IF(E49&lt;G49,G49/E49-1,E49/G49-1)</f>
        <v>3.4482758620689724E-2</v>
      </c>
      <c r="F54" s="843" t="str">
        <f>IF(OR(E54&gt;=0.2,E54&lt;=-0.2),"超过20%","")</f>
        <v/>
      </c>
      <c r="G54" s="842">
        <f>IF(G49&lt;I49,I49/G49-1,G49/I49-1)</f>
        <v>5.1724137931034475E-2</v>
      </c>
      <c r="H54" s="843" t="str">
        <f>IF(OR(G54&gt;=0.2,G54&lt;=-0.2),"超过20%","")</f>
        <v/>
      </c>
      <c r="I54" s="842">
        <f>IF(I49&lt;E49,E49/I49-1,I49/E49-1)</f>
        <v>1.6666666666666607E-2</v>
      </c>
      <c r="J54" s="843" t="str">
        <f>IF(OR(I54&gt;=0.2,I54&lt;=-0.2),"超过20%","")</f>
        <v/>
      </c>
      <c r="K54" s="2302"/>
      <c r="L54" s="2303"/>
      <c r="M54" s="2301"/>
      <c r="N54" s="2301"/>
      <c r="O54" s="2301"/>
    </row>
    <row r="55" spans="1:29" s="119" customFormat="1" ht="13.5" customHeight="1">
      <c r="A55" s="2306"/>
      <c r="B55" s="2306"/>
      <c r="C55" s="840" t="s">
        <v>1004</v>
      </c>
      <c r="D55" s="844"/>
      <c r="E55" s="842">
        <f>IF(E48&lt;G48,G48/E48-1,E48/G48-1)</f>
        <v>3.1746031746031855E-2</v>
      </c>
      <c r="F55" s="843" t="str">
        <f>IF(OR(E55&gt;=0.3,E55&lt;=-0.3),"超过30%","")</f>
        <v/>
      </c>
      <c r="G55" s="842">
        <f>IF(G48&lt;I48,I48/G48-1,G48/I48-1)</f>
        <v>5.0000000000000044E-2</v>
      </c>
      <c r="H55" s="843" t="str">
        <f>IF(OR(G55&gt;=0.3,G55&lt;=-0.3),"超过30%","")</f>
        <v/>
      </c>
      <c r="I55" s="842">
        <f>IF(I48&lt;E48,E48/I48-1,I48/E48-1)</f>
        <v>8.3333333333333259E-2</v>
      </c>
      <c r="J55" s="843" t="str">
        <f>IF(OR(I55&gt;=0.3,I55&lt;=-0.3),"超过30%","")</f>
        <v/>
      </c>
      <c r="K55" s="2304"/>
      <c r="L55" s="2305"/>
      <c r="M55" s="2306"/>
      <c r="N55" s="2306"/>
      <c r="O55" s="2306"/>
      <c r="P55" s="2322"/>
    </row>
    <row r="56" spans="1:29" s="119" customFormat="1">
      <c r="A56" s="2306"/>
      <c r="B56" s="2311"/>
      <c r="C56" s="2312"/>
      <c r="D56" s="2306"/>
      <c r="E56" s="2306"/>
      <c r="F56" s="2306"/>
      <c r="G56" s="2306"/>
      <c r="H56" s="2306"/>
      <c r="I56" s="2306"/>
      <c r="J56" s="2306"/>
      <c r="K56" s="2304"/>
      <c r="L56" s="2305"/>
      <c r="M56" s="2306"/>
      <c r="N56" s="2306"/>
      <c r="O56" s="2306"/>
      <c r="P56" s="2322"/>
    </row>
    <row r="57" spans="1:29">
      <c r="A57" s="2301"/>
      <c r="B57" s="2311"/>
      <c r="C57" s="2312"/>
      <c r="D57" s="2301"/>
      <c r="E57" s="2301"/>
      <c r="F57" s="2301"/>
      <c r="G57" s="2301"/>
      <c r="H57" s="2301"/>
      <c r="I57" s="2301"/>
      <c r="J57" s="2301"/>
      <c r="K57" s="2302"/>
      <c r="L57" s="2303"/>
      <c r="M57" s="2301"/>
      <c r="N57" s="2301"/>
      <c r="O57" s="2301"/>
    </row>
    <row r="58" spans="1:29" ht="21" thickBot="1">
      <c r="A58" s="1372" t="s">
        <v>123</v>
      </c>
      <c r="B58" s="1365"/>
      <c r="C58" s="1373"/>
      <c r="D58" s="1373"/>
      <c r="E58" s="1373"/>
      <c r="F58" s="1374"/>
      <c r="G58" s="1374"/>
      <c r="H58" s="1373"/>
      <c r="I58" s="1373"/>
      <c r="J58" s="1373"/>
      <c r="K58" s="1375"/>
      <c r="L58" s="2308"/>
      <c r="M58" s="2309"/>
      <c r="N58" s="2309"/>
      <c r="O58" s="2309"/>
      <c r="P58" s="2323"/>
      <c r="Q58" s="121"/>
    </row>
    <row r="59" spans="1:29" s="851" customFormat="1" ht="15">
      <c r="A59" s="848" t="s">
        <v>394</v>
      </c>
      <c r="B59" s="849"/>
      <c r="C59" s="3042" t="str">
        <f>YEAR(C7)&amp;"-"&amp;MONTH(C7)</f>
        <v>2017-8</v>
      </c>
      <c r="D59" s="3043">
        <f>EDATE(C59,-1)</f>
        <v>42917</v>
      </c>
      <c r="E59" s="3043">
        <f>EDATE(D59,-1)</f>
        <v>42887</v>
      </c>
      <c r="F59" s="3043">
        <f t="shared" ref="F59:O59" si="16">EDATE(E59,-1)</f>
        <v>42856</v>
      </c>
      <c r="G59" s="3043">
        <f t="shared" si="16"/>
        <v>42826</v>
      </c>
      <c r="H59" s="3043">
        <f t="shared" si="16"/>
        <v>42795</v>
      </c>
      <c r="I59" s="3043">
        <f t="shared" si="16"/>
        <v>42767</v>
      </c>
      <c r="J59" s="3043">
        <f t="shared" si="16"/>
        <v>42736</v>
      </c>
      <c r="K59" s="3043">
        <f t="shared" si="16"/>
        <v>42705</v>
      </c>
      <c r="L59" s="3043">
        <f t="shared" si="16"/>
        <v>42675</v>
      </c>
      <c r="M59" s="3043">
        <f t="shared" si="16"/>
        <v>42644</v>
      </c>
      <c r="N59" s="3043">
        <f t="shared" si="16"/>
        <v>42614</v>
      </c>
      <c r="O59" s="3043">
        <f t="shared" si="16"/>
        <v>42583</v>
      </c>
      <c r="P59" s="3037"/>
    </row>
    <row r="60" spans="1:29" s="40" customFormat="1" ht="14.25">
      <c r="A60" s="1045"/>
      <c r="B60" s="1046"/>
      <c r="C60" s="3040">
        <v>100</v>
      </c>
      <c r="D60" s="855"/>
      <c r="E60" s="855"/>
      <c r="F60" s="855"/>
      <c r="G60" s="855"/>
      <c r="H60" s="855"/>
      <c r="I60" s="855"/>
      <c r="J60" s="855"/>
      <c r="K60" s="855"/>
      <c r="L60" s="855"/>
      <c r="M60" s="856"/>
      <c r="N60" s="855"/>
      <c r="O60" s="856"/>
      <c r="P60" s="2324"/>
    </row>
    <row r="61" spans="1:29" s="40" customFormat="1" ht="15" thickBot="1">
      <c r="A61" s="1047" t="s">
        <v>114</v>
      </c>
      <c r="B61" s="1048"/>
      <c r="C61" s="860"/>
      <c r="D61" s="861"/>
      <c r="E61" s="861"/>
      <c r="F61" s="861"/>
      <c r="G61" s="861"/>
      <c r="H61" s="861"/>
      <c r="I61" s="861"/>
      <c r="J61" s="861"/>
      <c r="K61" s="861"/>
      <c r="L61" s="861"/>
      <c r="M61" s="862"/>
      <c r="N61" s="861"/>
      <c r="O61" s="862"/>
      <c r="P61" s="2324"/>
      <c r="Q61" s="121"/>
    </row>
    <row r="62" spans="1:29" s="40" customFormat="1">
      <c r="A62" s="1049" t="s">
        <v>62</v>
      </c>
      <c r="B62" s="1046"/>
      <c r="C62" s="1050" t="s">
        <v>112</v>
      </c>
      <c r="D62" s="140"/>
      <c r="E62" s="140"/>
      <c r="F62" s="140"/>
      <c r="G62" s="140"/>
      <c r="H62" s="140"/>
      <c r="I62" s="140"/>
      <c r="J62" s="140"/>
      <c r="K62" s="140"/>
      <c r="L62" s="141"/>
      <c r="M62" s="1051"/>
      <c r="N62" s="1388"/>
      <c r="O62" s="1388"/>
      <c r="P62" s="2325"/>
      <c r="Q62" s="121"/>
    </row>
    <row r="63" spans="1:29" s="40" customFormat="1" ht="15" thickBot="1">
      <c r="A63" s="1049"/>
      <c r="B63" s="1046"/>
      <c r="C63" s="854">
        <v>100</v>
      </c>
      <c r="D63" s="855"/>
      <c r="E63" s="855"/>
      <c r="F63" s="855"/>
      <c r="G63" s="855"/>
      <c r="H63" s="855"/>
      <c r="I63" s="855"/>
      <c r="J63" s="855"/>
      <c r="K63" s="855"/>
      <c r="L63" s="855"/>
      <c r="M63" s="857"/>
      <c r="N63" s="1388"/>
      <c r="O63" s="1388"/>
      <c r="P63" s="2324"/>
      <c r="Q63" s="121"/>
    </row>
    <row r="64" spans="1:29">
      <c r="A64" s="172" t="s">
        <v>63</v>
      </c>
      <c r="B64" s="286" t="s">
        <v>64</v>
      </c>
      <c r="C64" s="176" t="str">
        <f>C9</f>
        <v>办公</v>
      </c>
      <c r="D64" s="122"/>
      <c r="E64" s="122"/>
      <c r="F64" s="122"/>
      <c r="G64" s="122"/>
      <c r="H64" s="122"/>
      <c r="I64" s="122"/>
      <c r="J64" s="122"/>
      <c r="K64" s="123"/>
      <c r="L64" s="124"/>
      <c r="M64" s="125"/>
      <c r="N64" s="1389"/>
      <c r="O64" s="1389"/>
      <c r="P64" s="2326"/>
      <c r="Q64" s="121"/>
    </row>
    <row r="65" spans="1:17" ht="15" thickBot="1">
      <c r="A65" s="173"/>
      <c r="B65" s="1053"/>
      <c r="C65" s="879">
        <v>100</v>
      </c>
      <c r="D65" s="879"/>
      <c r="E65" s="879"/>
      <c r="F65" s="879"/>
      <c r="G65" s="879"/>
      <c r="H65" s="879"/>
      <c r="I65" s="879"/>
      <c r="J65" s="879"/>
      <c r="K65" s="879"/>
      <c r="L65" s="879"/>
      <c r="M65" s="880"/>
      <c r="N65" s="1390"/>
      <c r="O65" s="1390"/>
      <c r="P65" s="2326"/>
      <c r="Q65" s="121"/>
    </row>
    <row r="66" spans="1:17" ht="27.75" thickTop="1">
      <c r="A66" s="173"/>
      <c r="B66" s="1054" t="s">
        <v>102</v>
      </c>
      <c r="C66" s="882" t="s">
        <v>416</v>
      </c>
      <c r="D66" s="882" t="s">
        <v>417</v>
      </c>
      <c r="E66" s="882" t="s">
        <v>418</v>
      </c>
      <c r="F66" s="882" t="s">
        <v>419</v>
      </c>
      <c r="G66" s="882" t="s">
        <v>434</v>
      </c>
      <c r="H66" s="882" t="s">
        <v>435</v>
      </c>
      <c r="I66" s="882" t="s">
        <v>1011</v>
      </c>
      <c r="J66" s="882"/>
      <c r="K66" s="883"/>
      <c r="L66" s="884"/>
      <c r="M66" s="885"/>
      <c r="N66" s="1389"/>
      <c r="O66" s="1389"/>
      <c r="P66" s="2326"/>
      <c r="Q66" s="121"/>
    </row>
    <row r="67" spans="1:17" ht="15" thickBot="1">
      <c r="A67" s="173"/>
      <c r="B67" s="1055"/>
      <c r="C67" s="887" t="s">
        <v>134</v>
      </c>
      <c r="D67" s="887" t="s">
        <v>135</v>
      </c>
      <c r="E67" s="887">
        <v>100</v>
      </c>
      <c r="F67" s="887">
        <f>E67-$K10</f>
        <v>99</v>
      </c>
      <c r="G67" s="887">
        <f>F67-$K10</f>
        <v>98</v>
      </c>
      <c r="H67" s="887">
        <f>G67-$K10</f>
        <v>97</v>
      </c>
      <c r="I67" s="887">
        <f>H67-$K10</f>
        <v>96</v>
      </c>
      <c r="J67" s="887"/>
      <c r="K67" s="887"/>
      <c r="L67" s="887"/>
      <c r="M67" s="888"/>
      <c r="N67" s="1390"/>
      <c r="O67" s="1390"/>
      <c r="P67" s="2326"/>
      <c r="Q67" s="121"/>
    </row>
    <row r="68" spans="1:17" ht="15" thickTop="1">
      <c r="A68" s="173"/>
      <c r="B68" s="1056" t="s">
        <v>89</v>
      </c>
      <c r="C68" s="890" t="str">
        <f>C69&amp;"（含）"&amp;"-"&amp;D69</f>
        <v>1（含）-2</v>
      </c>
      <c r="D68" s="890" t="str">
        <f t="shared" ref="D68:L68" si="17">D69&amp;"（含）"&amp;"-"&amp;E69</f>
        <v>2（含）-3</v>
      </c>
      <c r="E68" s="890" t="str">
        <f t="shared" si="17"/>
        <v>3（含）-4</v>
      </c>
      <c r="F68" s="890" t="str">
        <f t="shared" si="17"/>
        <v>4（含）-5</v>
      </c>
      <c r="G68" s="890" t="str">
        <f t="shared" si="17"/>
        <v>5（含）-6</v>
      </c>
      <c r="H68" s="890" t="str">
        <f t="shared" si="17"/>
        <v>6（含）-7</v>
      </c>
      <c r="I68" s="890" t="str">
        <f t="shared" si="17"/>
        <v>7（含）-</v>
      </c>
      <c r="J68" s="890" t="str">
        <f t="shared" si="17"/>
        <v>（含）-</v>
      </c>
      <c r="K68" s="890" t="str">
        <f t="shared" si="17"/>
        <v>（含）-</v>
      </c>
      <c r="L68" s="890" t="str">
        <f t="shared" si="17"/>
        <v>（含）-</v>
      </c>
      <c r="M68" s="791" t="str">
        <f>M69&amp;"（含）"&amp;"-"&amp;P69</f>
        <v>（含）-</v>
      </c>
      <c r="N68" s="1390"/>
      <c r="O68" s="1390"/>
      <c r="P68" s="2326"/>
      <c r="Q68" s="121"/>
    </row>
    <row r="69" spans="1:17" ht="14.25">
      <c r="A69" s="173"/>
      <c r="B69" s="1057"/>
      <c r="C69" s="892">
        <v>1</v>
      </c>
      <c r="D69" s="892">
        <v>2</v>
      </c>
      <c r="E69" s="892">
        <v>3</v>
      </c>
      <c r="F69" s="892">
        <v>4</v>
      </c>
      <c r="G69" s="892">
        <v>5</v>
      </c>
      <c r="H69" s="892">
        <v>6</v>
      </c>
      <c r="I69" s="892">
        <v>7</v>
      </c>
      <c r="J69" s="892"/>
      <c r="K69" s="893"/>
      <c r="L69" s="894"/>
      <c r="M69" s="895"/>
      <c r="N69" s="1389"/>
      <c r="O69" s="1389"/>
      <c r="P69" s="2326"/>
      <c r="Q69" s="121"/>
    </row>
    <row r="70" spans="1:17" ht="15" thickBot="1">
      <c r="A70" s="173"/>
      <c r="B70" s="1053"/>
      <c r="C70" s="887">
        <v>100</v>
      </c>
      <c r="D70" s="887">
        <f t="shared" ref="D70:M70" si="18">C70-$K11</f>
        <v>98</v>
      </c>
      <c r="E70" s="887">
        <f t="shared" si="18"/>
        <v>96</v>
      </c>
      <c r="F70" s="887">
        <f t="shared" si="18"/>
        <v>94</v>
      </c>
      <c r="G70" s="887">
        <f t="shared" si="18"/>
        <v>92</v>
      </c>
      <c r="H70" s="887">
        <f t="shared" si="18"/>
        <v>90</v>
      </c>
      <c r="I70" s="887">
        <f t="shared" si="18"/>
        <v>88</v>
      </c>
      <c r="J70" s="887">
        <f t="shared" si="18"/>
        <v>86</v>
      </c>
      <c r="K70" s="887">
        <f t="shared" si="18"/>
        <v>84</v>
      </c>
      <c r="L70" s="887">
        <f t="shared" si="18"/>
        <v>82</v>
      </c>
      <c r="M70" s="888">
        <f t="shared" si="18"/>
        <v>80</v>
      </c>
      <c r="N70" s="1390"/>
      <c r="O70" s="1390"/>
      <c r="P70" s="2326"/>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27"/>
      <c r="Q71" s="1063"/>
    </row>
    <row r="72" spans="1:17" s="1039" customFormat="1" ht="15" thickBot="1">
      <c r="A72" s="1058"/>
      <c r="B72" s="1055"/>
      <c r="C72" s="903"/>
      <c r="D72" s="879"/>
      <c r="E72" s="879"/>
      <c r="F72" s="879"/>
      <c r="G72" s="879"/>
      <c r="H72" s="879"/>
      <c r="I72" s="879"/>
      <c r="J72" s="879"/>
      <c r="K72" s="879"/>
      <c r="L72" s="879"/>
      <c r="M72" s="880"/>
      <c r="N72" s="1390"/>
      <c r="O72" s="1390"/>
      <c r="P72" s="2327"/>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28"/>
      <c r="Q73" s="1065"/>
    </row>
    <row r="74" spans="1:17" s="1039" customFormat="1" ht="15" thickBot="1">
      <c r="A74" s="1058"/>
      <c r="B74" s="1055"/>
      <c r="C74" s="903"/>
      <c r="D74" s="903"/>
      <c r="E74" s="903"/>
      <c r="F74" s="903"/>
      <c r="G74" s="903"/>
      <c r="H74" s="905"/>
      <c r="I74" s="905"/>
      <c r="J74" s="905"/>
      <c r="K74" s="905"/>
      <c r="L74" s="905"/>
      <c r="M74" s="906"/>
      <c r="N74" s="1391"/>
      <c r="O74" s="1391"/>
      <c r="P74" s="2327"/>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29"/>
      <c r="Q75" s="1063"/>
    </row>
    <row r="76" spans="1:17" s="1039" customFormat="1" ht="15" thickBot="1">
      <c r="A76" s="1070"/>
      <c r="B76" s="1071"/>
      <c r="C76" s="913"/>
      <c r="D76" s="913"/>
      <c r="E76" s="913"/>
      <c r="F76" s="913"/>
      <c r="G76" s="913"/>
      <c r="H76" s="914"/>
      <c r="I76" s="914"/>
      <c r="J76" s="914"/>
      <c r="K76" s="914"/>
      <c r="L76" s="914"/>
      <c r="M76" s="915"/>
      <c r="N76" s="1391"/>
      <c r="O76" s="1391"/>
      <c r="P76" s="2327"/>
      <c r="Q76" s="1063"/>
    </row>
    <row r="77" spans="1:17" ht="14.25">
      <c r="A77" s="172" t="s">
        <v>65</v>
      </c>
      <c r="B77" s="286" t="s">
        <v>1087</v>
      </c>
      <c r="C77" s="916" t="s">
        <v>1012</v>
      </c>
      <c r="D77" s="916" t="s">
        <v>422</v>
      </c>
      <c r="E77" s="916" t="s">
        <v>1014</v>
      </c>
      <c r="F77" s="916" t="s">
        <v>424</v>
      </c>
      <c r="G77" s="916" t="s">
        <v>425</v>
      </c>
      <c r="H77" s="872"/>
      <c r="I77" s="872"/>
      <c r="J77" s="872"/>
      <c r="K77" s="917"/>
      <c r="L77" s="918"/>
      <c r="M77" s="919"/>
      <c r="N77" s="1389"/>
      <c r="O77" s="1389"/>
      <c r="P77" s="2330"/>
      <c r="Q77" s="121"/>
    </row>
    <row r="78" spans="1:17" ht="15" thickBot="1">
      <c r="A78" s="173"/>
      <c r="B78" s="1055"/>
      <c r="C78" s="887">
        <v>100</v>
      </c>
      <c r="D78" s="887">
        <f>C78-$K15</f>
        <v>98</v>
      </c>
      <c r="E78" s="887">
        <f>D78-$K15</f>
        <v>96</v>
      </c>
      <c r="F78" s="887">
        <f>E78-$K15</f>
        <v>94</v>
      </c>
      <c r="G78" s="887">
        <f>F78-$K15</f>
        <v>92</v>
      </c>
      <c r="H78" s="887"/>
      <c r="I78" s="887"/>
      <c r="J78" s="887"/>
      <c r="K78" s="887"/>
      <c r="L78" s="887"/>
      <c r="M78" s="888"/>
      <c r="N78" s="1390"/>
      <c r="O78" s="1390"/>
      <c r="P78" s="2326"/>
      <c r="Q78" s="121"/>
    </row>
    <row r="79" spans="1:17" ht="15" thickTop="1">
      <c r="A79" s="173"/>
      <c r="B79" s="1054" t="s">
        <v>88</v>
      </c>
      <c r="C79" s="921" t="s">
        <v>1012</v>
      </c>
      <c r="D79" s="921" t="s">
        <v>422</v>
      </c>
      <c r="E79" s="921" t="s">
        <v>1014</v>
      </c>
      <c r="F79" s="921" t="s">
        <v>424</v>
      </c>
      <c r="G79" s="921" t="s">
        <v>425</v>
      </c>
      <c r="H79" s="882"/>
      <c r="I79" s="882"/>
      <c r="J79" s="882"/>
      <c r="K79" s="883"/>
      <c r="L79" s="884"/>
      <c r="M79" s="885"/>
      <c r="N79" s="1389"/>
      <c r="O79" s="1389"/>
      <c r="P79" s="2326"/>
      <c r="Q79" s="121"/>
    </row>
    <row r="80" spans="1:17" ht="15" thickBot="1">
      <c r="A80" s="173"/>
      <c r="B80" s="1055"/>
      <c r="C80" s="887">
        <v>100</v>
      </c>
      <c r="D80" s="887">
        <f>C80-$K17</f>
        <v>98</v>
      </c>
      <c r="E80" s="887">
        <f>D80-$K17</f>
        <v>96</v>
      </c>
      <c r="F80" s="887">
        <f>E80-$K17</f>
        <v>94</v>
      </c>
      <c r="G80" s="887">
        <f>F80-$K17</f>
        <v>92</v>
      </c>
      <c r="H80" s="887"/>
      <c r="I80" s="887"/>
      <c r="J80" s="887"/>
      <c r="K80" s="887"/>
      <c r="L80" s="887"/>
      <c r="M80" s="888"/>
      <c r="N80" s="1390"/>
      <c r="O80" s="1390"/>
      <c r="P80" s="2326"/>
      <c r="Q80" s="121"/>
    </row>
    <row r="81" spans="1:17" ht="15" thickTop="1">
      <c r="A81" s="173"/>
      <c r="B81" s="1054" t="s">
        <v>31</v>
      </c>
      <c r="C81" s="921" t="s">
        <v>1012</v>
      </c>
      <c r="D81" s="921" t="s">
        <v>422</v>
      </c>
      <c r="E81" s="921" t="s">
        <v>1014</v>
      </c>
      <c r="F81" s="921" t="s">
        <v>424</v>
      </c>
      <c r="G81" s="921" t="s">
        <v>425</v>
      </c>
      <c r="H81" s="882"/>
      <c r="I81" s="882"/>
      <c r="J81" s="882"/>
      <c r="K81" s="883"/>
      <c r="L81" s="884"/>
      <c r="M81" s="885"/>
      <c r="N81" s="1389"/>
      <c r="O81" s="1389"/>
      <c r="P81" s="2326"/>
      <c r="Q81" s="121"/>
    </row>
    <row r="82" spans="1:17" ht="15" thickBot="1">
      <c r="A82" s="173"/>
      <c r="B82" s="1055"/>
      <c r="C82" s="887">
        <v>100</v>
      </c>
      <c r="D82" s="887">
        <f>C82-$K19</f>
        <v>98</v>
      </c>
      <c r="E82" s="887">
        <f>D82-$K19</f>
        <v>96</v>
      </c>
      <c r="F82" s="887">
        <f>E82-$K19</f>
        <v>94</v>
      </c>
      <c r="G82" s="887">
        <f>F82-$K19</f>
        <v>92</v>
      </c>
      <c r="H82" s="887"/>
      <c r="I82" s="887"/>
      <c r="J82" s="887"/>
      <c r="K82" s="887"/>
      <c r="L82" s="887"/>
      <c r="M82" s="888"/>
      <c r="N82" s="1390"/>
      <c r="O82" s="1390"/>
      <c r="P82" s="2326"/>
      <c r="Q82" s="121"/>
    </row>
    <row r="83" spans="1:17" ht="15" thickTop="1">
      <c r="A83" s="173"/>
      <c r="B83" s="1056" t="s">
        <v>2660</v>
      </c>
      <c r="C83" s="213" t="s">
        <v>2654</v>
      </c>
      <c r="D83" s="213" t="s">
        <v>2655</v>
      </c>
      <c r="E83" s="213" t="s">
        <v>2656</v>
      </c>
      <c r="F83" s="213" t="s">
        <v>2657</v>
      </c>
      <c r="G83" s="213" t="s">
        <v>2658</v>
      </c>
      <c r="H83" s="882"/>
      <c r="I83" s="882"/>
      <c r="J83" s="882"/>
      <c r="K83" s="882"/>
      <c r="L83" s="882"/>
      <c r="M83" s="2762"/>
      <c r="N83" s="1390"/>
      <c r="O83" s="1390"/>
      <c r="P83" s="2326"/>
      <c r="Q83" s="121"/>
    </row>
    <row r="84" spans="1:17" ht="15" thickBot="1">
      <c r="A84" s="173"/>
      <c r="B84" s="1056"/>
      <c r="C84" s="887">
        <v>100</v>
      </c>
      <c r="D84" s="887">
        <f>C84-$K21</f>
        <v>98</v>
      </c>
      <c r="E84" s="887">
        <f>D84-$K21</f>
        <v>96</v>
      </c>
      <c r="F84" s="887">
        <f>E84-$K21</f>
        <v>94</v>
      </c>
      <c r="G84" s="887">
        <f>F84-$K21</f>
        <v>92</v>
      </c>
      <c r="H84" s="1003"/>
      <c r="I84" s="1003"/>
      <c r="J84" s="1003"/>
      <c r="K84" s="1003"/>
      <c r="L84" s="1003"/>
      <c r="M84" s="793"/>
      <c r="N84" s="1390"/>
      <c r="O84" s="1390"/>
      <c r="P84" s="2326"/>
      <c r="Q84" s="121"/>
    </row>
    <row r="85" spans="1:17" ht="15" thickTop="1">
      <c r="A85" s="173"/>
      <c r="B85" s="1054" t="s">
        <v>145</v>
      </c>
      <c r="C85" s="921" t="s">
        <v>1012</v>
      </c>
      <c r="D85" s="921" t="s">
        <v>422</v>
      </c>
      <c r="E85" s="921" t="s">
        <v>1014</v>
      </c>
      <c r="F85" s="921" t="s">
        <v>424</v>
      </c>
      <c r="G85" s="921" t="s">
        <v>425</v>
      </c>
      <c r="H85" s="882"/>
      <c r="I85" s="882"/>
      <c r="J85" s="882"/>
      <c r="K85" s="883"/>
      <c r="L85" s="884"/>
      <c r="M85" s="885"/>
      <c r="N85" s="1389"/>
      <c r="O85" s="1389"/>
      <c r="P85" s="2326"/>
      <c r="Q85" s="121"/>
    </row>
    <row r="86" spans="1:17" ht="15" thickBot="1">
      <c r="A86" s="173"/>
      <c r="B86" s="1055"/>
      <c r="C86" s="887">
        <v>100</v>
      </c>
      <c r="D86" s="887">
        <f>C86-$K23</f>
        <v>98</v>
      </c>
      <c r="E86" s="887">
        <f>D86-$K23</f>
        <v>96</v>
      </c>
      <c r="F86" s="887">
        <f>E86-$K23</f>
        <v>94</v>
      </c>
      <c r="G86" s="887">
        <f>F86-$K23</f>
        <v>92</v>
      </c>
      <c r="H86" s="887"/>
      <c r="I86" s="887"/>
      <c r="J86" s="887"/>
      <c r="K86" s="887"/>
      <c r="L86" s="887"/>
      <c r="M86" s="888"/>
      <c r="N86" s="1390"/>
      <c r="O86" s="1390"/>
      <c r="P86" s="2326"/>
      <c r="Q86" s="121"/>
    </row>
    <row r="87" spans="1:17" s="40" customFormat="1" ht="27.75" thickTop="1">
      <c r="A87" s="1072"/>
      <c r="B87" s="1054" t="s">
        <v>1089</v>
      </c>
      <c r="C87" s="139" t="s">
        <v>3460</v>
      </c>
      <c r="D87" s="139" t="s">
        <v>3461</v>
      </c>
      <c r="E87" s="139" t="s">
        <v>3462</v>
      </c>
      <c r="F87" s="139" t="s">
        <v>3464</v>
      </c>
      <c r="G87" s="139" t="s">
        <v>3465</v>
      </c>
      <c r="H87" s="139"/>
      <c r="I87" s="139"/>
      <c r="J87" s="139"/>
      <c r="K87" s="139"/>
      <c r="L87" s="1384"/>
      <c r="M87" s="1385"/>
      <c r="N87" s="1388"/>
      <c r="O87" s="1388"/>
      <c r="P87" s="2326"/>
      <c r="Q87" s="121"/>
    </row>
    <row r="88" spans="1:17" s="40" customFormat="1" ht="15" thickBot="1">
      <c r="A88" s="1072"/>
      <c r="B88" s="1055"/>
      <c r="C88" s="925">
        <v>100</v>
      </c>
      <c r="D88" s="887">
        <f t="shared" ref="D88:M88" si="19">C88-$K25</f>
        <v>98</v>
      </c>
      <c r="E88" s="887">
        <f t="shared" si="19"/>
        <v>96</v>
      </c>
      <c r="F88" s="887">
        <f t="shared" si="19"/>
        <v>94</v>
      </c>
      <c r="G88" s="887">
        <f t="shared" si="19"/>
        <v>92</v>
      </c>
      <c r="H88" s="887">
        <f t="shared" si="19"/>
        <v>90</v>
      </c>
      <c r="I88" s="887">
        <f t="shared" si="19"/>
        <v>88</v>
      </c>
      <c r="J88" s="887">
        <f t="shared" si="19"/>
        <v>86</v>
      </c>
      <c r="K88" s="887">
        <f t="shared" si="19"/>
        <v>84</v>
      </c>
      <c r="L88" s="887">
        <f t="shared" si="19"/>
        <v>82</v>
      </c>
      <c r="M88" s="887">
        <f t="shared" si="19"/>
        <v>80</v>
      </c>
      <c r="N88" s="1390"/>
      <c r="O88" s="1390"/>
      <c r="P88" s="2326"/>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6"/>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6"/>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27"/>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27"/>
      <c r="Q92" s="1063"/>
    </row>
    <row r="93" spans="1:17" ht="14.25" thickTop="1">
      <c r="A93" s="173"/>
      <c r="B93" s="1054">
        <f>B29</f>
        <v>111</v>
      </c>
      <c r="C93" s="139"/>
      <c r="D93" s="139"/>
      <c r="E93" s="139"/>
      <c r="F93" s="139"/>
      <c r="G93" s="139"/>
      <c r="H93" s="139"/>
      <c r="I93" s="139"/>
      <c r="J93" s="139"/>
      <c r="K93" s="139"/>
      <c r="L93" s="1384"/>
      <c r="M93" s="1385"/>
      <c r="N93" s="1389"/>
      <c r="O93" s="1389"/>
      <c r="P93" s="2326"/>
      <c r="Q93" s="121"/>
    </row>
    <row r="94" spans="1:17" ht="15" thickBot="1">
      <c r="A94" s="173"/>
      <c r="B94" s="1055"/>
      <c r="C94" s="903"/>
      <c r="D94" s="879"/>
      <c r="E94" s="879"/>
      <c r="F94" s="879"/>
      <c r="G94" s="879"/>
      <c r="H94" s="879"/>
      <c r="I94" s="879"/>
      <c r="J94" s="879"/>
      <c r="K94" s="879"/>
      <c r="L94" s="879"/>
      <c r="M94" s="880"/>
      <c r="N94" s="1390"/>
      <c r="O94" s="1390"/>
      <c r="P94" s="2326"/>
      <c r="Q94" s="121"/>
    </row>
    <row r="95" spans="1:17" ht="14.25" thickTop="1">
      <c r="A95" s="173"/>
      <c r="B95" s="1054">
        <f>B30</f>
        <v>111</v>
      </c>
      <c r="C95" s="139"/>
      <c r="D95" s="139"/>
      <c r="E95" s="139"/>
      <c r="F95" s="139"/>
      <c r="G95" s="131"/>
      <c r="H95" s="131"/>
      <c r="I95" s="131"/>
      <c r="J95" s="131"/>
      <c r="K95" s="132"/>
      <c r="L95" s="133"/>
      <c r="M95" s="134"/>
      <c r="N95" s="1389"/>
      <c r="O95" s="1389"/>
      <c r="P95" s="2326"/>
      <c r="Q95" s="121"/>
    </row>
    <row r="96" spans="1:17" ht="15" thickBot="1">
      <c r="A96" s="173"/>
      <c r="B96" s="1055"/>
      <c r="C96" s="903"/>
      <c r="D96" s="903"/>
      <c r="E96" s="903"/>
      <c r="F96" s="903"/>
      <c r="G96" s="879"/>
      <c r="H96" s="879"/>
      <c r="I96" s="879"/>
      <c r="J96" s="879"/>
      <c r="K96" s="879"/>
      <c r="L96" s="879"/>
      <c r="M96" s="880"/>
      <c r="N96" s="1390"/>
      <c r="O96" s="1390"/>
      <c r="P96" s="2326"/>
      <c r="Q96" s="121"/>
    </row>
    <row r="97" spans="1:17" ht="14.25" thickTop="1">
      <c r="A97" s="173"/>
      <c r="B97" s="1054">
        <f>B31</f>
        <v>111</v>
      </c>
      <c r="C97" s="139"/>
      <c r="D97" s="139"/>
      <c r="E97" s="139"/>
      <c r="F97" s="139"/>
      <c r="G97" s="131"/>
      <c r="H97" s="131"/>
      <c r="I97" s="131"/>
      <c r="J97" s="131"/>
      <c r="K97" s="132"/>
      <c r="L97" s="133"/>
      <c r="M97" s="134"/>
      <c r="N97" s="1389"/>
      <c r="O97" s="1389"/>
      <c r="P97" s="2326"/>
      <c r="Q97" s="121"/>
    </row>
    <row r="98" spans="1:17" ht="15" thickBot="1">
      <c r="A98" s="173"/>
      <c r="B98" s="1055"/>
      <c r="C98" s="903"/>
      <c r="D98" s="879"/>
      <c r="E98" s="879"/>
      <c r="F98" s="879"/>
      <c r="G98" s="879"/>
      <c r="H98" s="879"/>
      <c r="I98" s="879"/>
      <c r="J98" s="879"/>
      <c r="K98" s="879"/>
      <c r="L98" s="879"/>
      <c r="M98" s="880"/>
      <c r="N98" s="1390"/>
      <c r="O98" s="1390"/>
      <c r="P98" s="2326"/>
      <c r="Q98" s="121"/>
    </row>
    <row r="99" spans="1:17" ht="14.25" thickTop="1">
      <c r="A99" s="173"/>
      <c r="B99" s="1056">
        <f>B32</f>
        <v>111</v>
      </c>
      <c r="C99" s="140"/>
      <c r="D99" s="140"/>
      <c r="E99" s="140"/>
      <c r="F99" s="140"/>
      <c r="G99" s="135"/>
      <c r="H99" s="135"/>
      <c r="I99" s="135"/>
      <c r="J99" s="135"/>
      <c r="K99" s="136"/>
      <c r="L99" s="137"/>
      <c r="M99" s="138"/>
      <c r="N99" s="1389"/>
      <c r="O99" s="1389"/>
      <c r="P99" s="2326"/>
      <c r="Q99" s="121"/>
    </row>
    <row r="100" spans="1:17" ht="15" thickBot="1">
      <c r="A100" s="174"/>
      <c r="B100" s="1071"/>
      <c r="C100" s="913"/>
      <c r="D100" s="913"/>
      <c r="E100" s="913"/>
      <c r="F100" s="913"/>
      <c r="G100" s="934"/>
      <c r="H100" s="934"/>
      <c r="I100" s="934"/>
      <c r="J100" s="934"/>
      <c r="K100" s="934"/>
      <c r="L100" s="934"/>
      <c r="M100" s="935"/>
      <c r="N100" s="1390"/>
      <c r="O100" s="1390"/>
      <c r="P100" s="2326"/>
      <c r="Q100" s="121"/>
    </row>
    <row r="101" spans="1:17">
      <c r="A101" s="172" t="s">
        <v>66</v>
      </c>
      <c r="B101" s="286" t="s">
        <v>119</v>
      </c>
      <c r="C101" s="122" t="s">
        <v>3467</v>
      </c>
      <c r="D101" s="122" t="s">
        <v>3468</v>
      </c>
      <c r="E101" s="122"/>
      <c r="F101" s="122"/>
      <c r="G101" s="122"/>
      <c r="H101" s="122"/>
      <c r="I101" s="122"/>
      <c r="J101" s="122"/>
      <c r="K101" s="123"/>
      <c r="L101" s="124"/>
      <c r="M101" s="125"/>
      <c r="N101" s="1389"/>
      <c r="O101" s="1389"/>
      <c r="P101" s="2326"/>
      <c r="Q101" s="121"/>
    </row>
    <row r="102" spans="1:17" ht="15" thickBot="1">
      <c r="A102" s="173"/>
      <c r="B102" s="1055"/>
      <c r="C102" s="887">
        <v>100</v>
      </c>
      <c r="D102" s="887">
        <f t="shared" ref="D102:M102" si="22">C102-$K33</f>
        <v>95</v>
      </c>
      <c r="E102" s="887">
        <f t="shared" si="22"/>
        <v>90</v>
      </c>
      <c r="F102" s="887">
        <f t="shared" si="22"/>
        <v>85</v>
      </c>
      <c r="G102" s="887">
        <f t="shared" si="22"/>
        <v>80</v>
      </c>
      <c r="H102" s="887">
        <f t="shared" si="22"/>
        <v>75</v>
      </c>
      <c r="I102" s="887">
        <f t="shared" si="22"/>
        <v>70</v>
      </c>
      <c r="J102" s="887">
        <f t="shared" si="22"/>
        <v>65</v>
      </c>
      <c r="K102" s="887">
        <f t="shared" si="22"/>
        <v>60</v>
      </c>
      <c r="L102" s="887">
        <f t="shared" si="22"/>
        <v>55</v>
      </c>
      <c r="M102" s="888">
        <f t="shared" si="22"/>
        <v>50</v>
      </c>
      <c r="N102" s="1390"/>
      <c r="O102" s="1390"/>
      <c r="P102" s="2326"/>
      <c r="Q102" s="121"/>
    </row>
    <row r="103" spans="1:17" ht="29.25" thickTop="1">
      <c r="A103" s="173"/>
      <c r="B103" s="1054" t="s">
        <v>92</v>
      </c>
      <c r="C103" s="921" t="str">
        <f>C104&amp;"(含)"&amp;"-"&amp;D104</f>
        <v>0(含)-100000</v>
      </c>
      <c r="D103" s="921" t="str">
        <f t="shared" ref="D103:L103" si="23">D104&amp;"(含)"&amp;"-"&amp;E104</f>
        <v>100000(含)-200000</v>
      </c>
      <c r="E103" s="921" t="str">
        <f t="shared" si="23"/>
        <v>200000(含)-300000</v>
      </c>
      <c r="F103" s="921" t="str">
        <f t="shared" si="23"/>
        <v>300000(含)-400000</v>
      </c>
      <c r="G103" s="921" t="str">
        <f t="shared" si="23"/>
        <v>400000(含)-500000</v>
      </c>
      <c r="H103" s="921" t="str">
        <f t="shared" si="23"/>
        <v>500000(含)-</v>
      </c>
      <c r="I103" s="921" t="str">
        <f t="shared" si="23"/>
        <v>(含)-</v>
      </c>
      <c r="J103" s="921" t="str">
        <f t="shared" si="23"/>
        <v>(含)-</v>
      </c>
      <c r="K103" s="921" t="str">
        <f t="shared" si="23"/>
        <v>(含)-</v>
      </c>
      <c r="L103" s="921" t="str">
        <f t="shared" si="23"/>
        <v>(含)-</v>
      </c>
      <c r="M103" s="965" t="str">
        <f>M104&amp;"(含)"&amp;"-"&amp;P104</f>
        <v>(含)-</v>
      </c>
      <c r="N103" s="1388"/>
      <c r="O103" s="1388"/>
      <c r="P103" s="2326"/>
      <c r="Q103" s="121"/>
    </row>
    <row r="104" spans="1:17" s="1039" customFormat="1" ht="14.25">
      <c r="A104" s="1073"/>
      <c r="B104" s="1074"/>
      <c r="C104" s="938">
        <v>0</v>
      </c>
      <c r="D104" s="938">
        <v>100000</v>
      </c>
      <c r="E104" s="938">
        <v>200000</v>
      </c>
      <c r="F104" s="938">
        <v>300000</v>
      </c>
      <c r="G104" s="938">
        <v>400000</v>
      </c>
      <c r="H104" s="938">
        <v>500000</v>
      </c>
      <c r="I104" s="938"/>
      <c r="J104" s="939"/>
      <c r="K104" s="939"/>
      <c r="L104" s="940"/>
      <c r="M104" s="941"/>
      <c r="N104" s="1391"/>
      <c r="O104" s="1391"/>
      <c r="P104" s="2327"/>
      <c r="Q104" s="1063"/>
    </row>
    <row r="105" spans="1:17" s="1039" customFormat="1" ht="15" thickBot="1">
      <c r="A105" s="1058"/>
      <c r="B105" s="1055"/>
      <c r="C105" s="903">
        <v>100</v>
      </c>
      <c r="D105" s="879">
        <v>101</v>
      </c>
      <c r="E105" s="879">
        <v>102</v>
      </c>
      <c r="F105" s="879">
        <v>103</v>
      </c>
      <c r="G105" s="879">
        <v>104</v>
      </c>
      <c r="H105" s="879">
        <v>105</v>
      </c>
      <c r="I105" s="879"/>
      <c r="J105" s="879"/>
      <c r="K105" s="879"/>
      <c r="L105" s="879"/>
      <c r="M105" s="880"/>
      <c r="N105" s="1390"/>
      <c r="O105" s="1390"/>
      <c r="P105" s="2327"/>
      <c r="Q105" s="1063"/>
    </row>
    <row r="106" spans="1:17" ht="14.25" thickTop="1">
      <c r="A106" s="175"/>
      <c r="B106" s="1054" t="s">
        <v>91</v>
      </c>
      <c r="C106" s="139" t="s">
        <v>103</v>
      </c>
      <c r="D106" s="139" t="s">
        <v>3470</v>
      </c>
      <c r="E106" s="131"/>
      <c r="F106" s="131"/>
      <c r="G106" s="131"/>
      <c r="H106" s="131"/>
      <c r="I106" s="131"/>
      <c r="J106" s="131"/>
      <c r="K106" s="132"/>
      <c r="L106" s="133"/>
      <c r="M106" s="134"/>
      <c r="N106" s="1389"/>
      <c r="O106" s="1389"/>
      <c r="P106" s="2326"/>
      <c r="Q106" s="121"/>
    </row>
    <row r="107" spans="1:17" ht="15" thickBot="1">
      <c r="A107" s="173"/>
      <c r="B107" s="1055"/>
      <c r="C107" s="887">
        <v>100</v>
      </c>
      <c r="D107" s="887">
        <f t="shared" ref="D107:M107" si="24">C107-$K35</f>
        <v>98</v>
      </c>
      <c r="E107" s="887">
        <f t="shared" si="24"/>
        <v>96</v>
      </c>
      <c r="F107" s="887">
        <f t="shared" si="24"/>
        <v>94</v>
      </c>
      <c r="G107" s="887">
        <f t="shared" si="24"/>
        <v>92</v>
      </c>
      <c r="H107" s="887">
        <f t="shared" si="24"/>
        <v>90</v>
      </c>
      <c r="I107" s="887">
        <f t="shared" si="24"/>
        <v>88</v>
      </c>
      <c r="J107" s="887">
        <f t="shared" si="24"/>
        <v>86</v>
      </c>
      <c r="K107" s="887">
        <f t="shared" si="24"/>
        <v>84</v>
      </c>
      <c r="L107" s="887">
        <f t="shared" si="24"/>
        <v>82</v>
      </c>
      <c r="M107" s="888">
        <f t="shared" si="24"/>
        <v>80</v>
      </c>
      <c r="N107" s="1390"/>
      <c r="O107" s="1390"/>
      <c r="P107" s="2326"/>
      <c r="Q107" s="121"/>
    </row>
    <row r="108" spans="1:17" ht="14.25" thickTop="1">
      <c r="A108" s="175"/>
      <c r="B108" s="1054" t="s">
        <v>120</v>
      </c>
      <c r="C108" s="139" t="s">
        <v>3472</v>
      </c>
      <c r="D108" s="139" t="s">
        <v>3473</v>
      </c>
      <c r="E108" s="139" t="s">
        <v>3474</v>
      </c>
      <c r="F108" s="131" t="s">
        <v>3475</v>
      </c>
      <c r="G108" s="131"/>
      <c r="H108" s="131"/>
      <c r="I108" s="131"/>
      <c r="J108" s="131"/>
      <c r="K108" s="132"/>
      <c r="L108" s="133"/>
      <c r="M108" s="134"/>
      <c r="N108" s="1389"/>
      <c r="O108" s="1389"/>
      <c r="P108" s="2326"/>
      <c r="Q108" s="121"/>
    </row>
    <row r="109" spans="1:17" ht="15" thickBot="1">
      <c r="A109" s="173"/>
      <c r="B109" s="1055"/>
      <c r="C109" s="887">
        <v>100</v>
      </c>
      <c r="D109" s="887">
        <f t="shared" ref="D109:M109" si="25">C109-$K36</f>
        <v>98</v>
      </c>
      <c r="E109" s="887">
        <f t="shared" si="25"/>
        <v>96</v>
      </c>
      <c r="F109" s="887">
        <f t="shared" si="25"/>
        <v>94</v>
      </c>
      <c r="G109" s="887">
        <f t="shared" si="25"/>
        <v>92</v>
      </c>
      <c r="H109" s="887">
        <f t="shared" si="25"/>
        <v>90</v>
      </c>
      <c r="I109" s="887">
        <f t="shared" si="25"/>
        <v>88</v>
      </c>
      <c r="J109" s="887">
        <f t="shared" si="25"/>
        <v>86</v>
      </c>
      <c r="K109" s="887">
        <f t="shared" si="25"/>
        <v>84</v>
      </c>
      <c r="L109" s="887">
        <f t="shared" si="25"/>
        <v>82</v>
      </c>
      <c r="M109" s="888">
        <f t="shared" si="25"/>
        <v>80</v>
      </c>
      <c r="N109" s="1390"/>
      <c r="O109" s="1390"/>
      <c r="P109" s="2326"/>
      <c r="Q109" s="121"/>
    </row>
    <row r="110" spans="1:17" ht="15" thickTop="1">
      <c r="A110" s="175"/>
      <c r="B110" s="1054" t="s">
        <v>108</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6"/>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6"/>
      <c r="Q111" s="121"/>
    </row>
    <row r="112" spans="1:17" ht="15" thickBot="1">
      <c r="A112" s="173"/>
      <c r="B112" s="1055"/>
      <c r="C112" s="925">
        <v>100</v>
      </c>
      <c r="D112" s="887">
        <f>C112+$K37</f>
        <v>101</v>
      </c>
      <c r="E112" s="887">
        <f t="shared" ref="E112:M112" si="26">D112+$K37</f>
        <v>102</v>
      </c>
      <c r="F112" s="887">
        <f t="shared" si="26"/>
        <v>103</v>
      </c>
      <c r="G112" s="887">
        <f t="shared" si="26"/>
        <v>104</v>
      </c>
      <c r="H112" s="887">
        <f t="shared" si="26"/>
        <v>105</v>
      </c>
      <c r="I112" s="887">
        <f t="shared" si="26"/>
        <v>106</v>
      </c>
      <c r="J112" s="887">
        <f t="shared" si="26"/>
        <v>107</v>
      </c>
      <c r="K112" s="887">
        <f t="shared" si="26"/>
        <v>108</v>
      </c>
      <c r="L112" s="887">
        <f t="shared" si="26"/>
        <v>109</v>
      </c>
      <c r="M112" s="887">
        <f t="shared" si="26"/>
        <v>110</v>
      </c>
      <c r="N112" s="1390"/>
      <c r="O112" s="1390"/>
      <c r="P112" s="2326"/>
      <c r="Q112" s="121"/>
    </row>
    <row r="113" spans="1:17" s="1039" customFormat="1" ht="14.25" thickTop="1">
      <c r="A113" s="1073"/>
      <c r="B113" s="1054" t="s">
        <v>1091</v>
      </c>
      <c r="C113" s="139" t="s">
        <v>3477</v>
      </c>
      <c r="D113" s="139" t="s">
        <v>3478</v>
      </c>
      <c r="E113" s="139" t="s">
        <v>3479</v>
      </c>
      <c r="F113" s="139"/>
      <c r="G113" s="139"/>
      <c r="H113" s="131"/>
      <c r="I113" s="131"/>
      <c r="J113" s="131"/>
      <c r="K113" s="132"/>
      <c r="L113" s="133"/>
      <c r="M113" s="134"/>
      <c r="N113" s="1391"/>
      <c r="O113" s="1391"/>
      <c r="P113" s="2327"/>
      <c r="Q113" s="1063"/>
    </row>
    <row r="114" spans="1:17" s="1039" customFormat="1" ht="15" thickBot="1">
      <c r="A114" s="1058"/>
      <c r="B114" s="1055"/>
      <c r="C114" s="887">
        <v>100</v>
      </c>
      <c r="D114" s="887">
        <f>C114-$K38</f>
        <v>98</v>
      </c>
      <c r="E114" s="887">
        <f t="shared" ref="E114:M114" si="27">D114-$K38</f>
        <v>96</v>
      </c>
      <c r="F114" s="887">
        <f t="shared" si="27"/>
        <v>94</v>
      </c>
      <c r="G114" s="887">
        <f t="shared" si="27"/>
        <v>92</v>
      </c>
      <c r="H114" s="887">
        <f t="shared" si="27"/>
        <v>90</v>
      </c>
      <c r="I114" s="887">
        <f t="shared" si="27"/>
        <v>88</v>
      </c>
      <c r="J114" s="887">
        <f t="shared" si="27"/>
        <v>86</v>
      </c>
      <c r="K114" s="887">
        <f t="shared" si="27"/>
        <v>84</v>
      </c>
      <c r="L114" s="887">
        <f t="shared" si="27"/>
        <v>82</v>
      </c>
      <c r="M114" s="887">
        <f t="shared" si="27"/>
        <v>80</v>
      </c>
      <c r="N114" s="1391"/>
      <c r="O114" s="1391"/>
      <c r="P114" s="2327"/>
      <c r="Q114" s="1063"/>
    </row>
    <row r="115" spans="1:17" ht="14.25" thickTop="1">
      <c r="A115" s="175"/>
      <c r="B115" s="1054" t="s">
        <v>121</v>
      </c>
      <c r="C115" s="139" t="s">
        <v>3481</v>
      </c>
      <c r="D115" s="139" t="s">
        <v>3482</v>
      </c>
      <c r="E115" s="131"/>
      <c r="F115" s="131"/>
      <c r="G115" s="131"/>
      <c r="H115" s="131"/>
      <c r="I115" s="131"/>
      <c r="J115" s="131"/>
      <c r="K115" s="132"/>
      <c r="L115" s="133"/>
      <c r="M115" s="134"/>
      <c r="N115" s="1389"/>
      <c r="O115" s="1389"/>
      <c r="P115" s="2326"/>
      <c r="Q115" s="121"/>
    </row>
    <row r="116" spans="1:17" ht="15" thickBot="1">
      <c r="A116" s="173"/>
      <c r="B116" s="1055"/>
      <c r="C116" s="887">
        <v>100</v>
      </c>
      <c r="D116" s="887">
        <f t="shared" ref="D116:M116" si="28">C116-$K39</f>
        <v>98</v>
      </c>
      <c r="E116" s="887">
        <f t="shared" si="28"/>
        <v>96</v>
      </c>
      <c r="F116" s="887">
        <f t="shared" si="28"/>
        <v>94</v>
      </c>
      <c r="G116" s="887">
        <f t="shared" si="28"/>
        <v>92</v>
      </c>
      <c r="H116" s="887">
        <f t="shared" si="28"/>
        <v>90</v>
      </c>
      <c r="I116" s="887">
        <f t="shared" si="28"/>
        <v>88</v>
      </c>
      <c r="J116" s="887">
        <f t="shared" si="28"/>
        <v>86</v>
      </c>
      <c r="K116" s="887">
        <f t="shared" si="28"/>
        <v>84</v>
      </c>
      <c r="L116" s="887">
        <f t="shared" si="28"/>
        <v>82</v>
      </c>
      <c r="M116" s="888">
        <f t="shared" si="28"/>
        <v>80</v>
      </c>
      <c r="N116" s="1390"/>
      <c r="O116" s="1390"/>
      <c r="P116" s="2326"/>
      <c r="Q116" s="121"/>
    </row>
    <row r="117" spans="1:17" ht="14.25" thickTop="1">
      <c r="A117" s="175"/>
      <c r="B117" s="1054" t="s">
        <v>2636</v>
      </c>
      <c r="C117" s="139" t="s">
        <v>3483</v>
      </c>
      <c r="D117" s="139" t="s">
        <v>3484</v>
      </c>
      <c r="E117" s="139" t="s">
        <v>3485</v>
      </c>
      <c r="F117" s="139" t="s">
        <v>3486</v>
      </c>
      <c r="G117" s="139" t="s">
        <v>3487</v>
      </c>
      <c r="H117" s="131"/>
      <c r="I117" s="131"/>
      <c r="J117" s="131"/>
      <c r="K117" s="132"/>
      <c r="L117" s="133"/>
      <c r="M117" s="134"/>
      <c r="N117" s="1389"/>
      <c r="O117" s="1389"/>
      <c r="P117" s="2326"/>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6"/>
      <c r="Q118" s="121"/>
    </row>
    <row r="119" spans="1:17" ht="14.25" thickTop="1">
      <c r="A119" s="175"/>
      <c r="B119" s="211" t="s">
        <v>1059</v>
      </c>
      <c r="C119" s="131" t="s">
        <v>3489</v>
      </c>
      <c r="D119" s="131"/>
      <c r="E119" s="131"/>
      <c r="F119" s="131"/>
      <c r="G119" s="131"/>
      <c r="H119" s="131"/>
      <c r="I119" s="131"/>
      <c r="J119" s="131"/>
      <c r="K119" s="131"/>
      <c r="L119" s="198"/>
      <c r="M119" s="199"/>
      <c r="N119" s="1390"/>
      <c r="O119" s="1390"/>
      <c r="P119" s="2331"/>
      <c r="Q119" s="201"/>
    </row>
    <row r="120" spans="1:17" ht="15" thickBot="1">
      <c r="A120" s="173"/>
      <c r="B120" s="1055"/>
      <c r="C120" s="925">
        <v>100</v>
      </c>
      <c r="D120" s="887">
        <f>C120-$K41</f>
        <v>98</v>
      </c>
      <c r="E120" s="887">
        <f t="shared" ref="E120:M120" si="29">D120-$K41</f>
        <v>96</v>
      </c>
      <c r="F120" s="887">
        <f t="shared" si="29"/>
        <v>94</v>
      </c>
      <c r="G120" s="887">
        <f t="shared" si="29"/>
        <v>92</v>
      </c>
      <c r="H120" s="887">
        <f t="shared" si="29"/>
        <v>90</v>
      </c>
      <c r="I120" s="887">
        <f t="shared" si="29"/>
        <v>88</v>
      </c>
      <c r="J120" s="887">
        <f t="shared" si="29"/>
        <v>86</v>
      </c>
      <c r="K120" s="887">
        <f t="shared" si="29"/>
        <v>84</v>
      </c>
      <c r="L120" s="887">
        <f t="shared" si="29"/>
        <v>82</v>
      </c>
      <c r="M120" s="887">
        <f t="shared" si="29"/>
        <v>80</v>
      </c>
      <c r="N120" s="1390"/>
      <c r="O120" s="1390"/>
      <c r="P120" s="2326"/>
      <c r="Q120" s="121"/>
    </row>
    <row r="121" spans="1:17" s="1039" customFormat="1" ht="15" thickTop="1">
      <c r="A121" s="1073"/>
      <c r="B121" s="1054" t="s">
        <v>1060</v>
      </c>
      <c r="C121" s="897" t="s">
        <v>3602</v>
      </c>
      <c r="D121" s="897">
        <v>260</v>
      </c>
      <c r="E121" s="897">
        <v>360</v>
      </c>
      <c r="F121" s="926">
        <v>697</v>
      </c>
      <c r="G121" s="898"/>
      <c r="H121" s="898"/>
      <c r="I121" s="898"/>
      <c r="J121" s="898"/>
      <c r="K121" s="898"/>
      <c r="L121" s="899"/>
      <c r="M121" s="900"/>
      <c r="N121" s="1391"/>
      <c r="O121" s="1391"/>
      <c r="P121" s="2327"/>
      <c r="Q121" s="1063"/>
    </row>
    <row r="122" spans="1:17" s="1039" customFormat="1" ht="15" thickBot="1">
      <c r="A122" s="1058"/>
      <c r="B122" s="1053"/>
      <c r="C122" s="903">
        <v>100</v>
      </c>
      <c r="D122" s="903">
        <v>100</v>
      </c>
      <c r="E122" s="903">
        <v>100</v>
      </c>
      <c r="F122" s="903">
        <v>98</v>
      </c>
      <c r="G122" s="903"/>
      <c r="H122" s="903"/>
      <c r="I122" s="903"/>
      <c r="J122" s="903"/>
      <c r="K122" s="903"/>
      <c r="L122" s="903"/>
      <c r="M122" s="903"/>
      <c r="N122" s="1391"/>
      <c r="O122" s="1391"/>
      <c r="P122" s="2327"/>
      <c r="Q122" s="1063"/>
    </row>
    <row r="123" spans="1:17" ht="14.25" thickTop="1">
      <c r="A123" s="175"/>
      <c r="B123" s="1054" t="s">
        <v>1062</v>
      </c>
      <c r="C123" s="139" t="s">
        <v>3472</v>
      </c>
      <c r="D123" s="139" t="s">
        <v>3473</v>
      </c>
      <c r="E123" s="139" t="s">
        <v>3474</v>
      </c>
      <c r="F123" s="131" t="s">
        <v>3475</v>
      </c>
      <c r="G123" s="131"/>
      <c r="H123" s="131"/>
      <c r="I123" s="131"/>
      <c r="J123" s="131"/>
      <c r="K123" s="132"/>
      <c r="L123" s="133"/>
      <c r="M123" s="134"/>
      <c r="N123" s="1389"/>
      <c r="O123" s="1389"/>
      <c r="P123" s="2326"/>
      <c r="Q123" s="121"/>
    </row>
    <row r="124" spans="1:17" ht="15" thickBot="1">
      <c r="A124" s="173"/>
      <c r="B124" s="1055"/>
      <c r="C124" s="887">
        <v>100</v>
      </c>
      <c r="D124" s="887">
        <f t="shared" ref="D124:M124" si="30">C124-$K43</f>
        <v>98</v>
      </c>
      <c r="E124" s="887">
        <f t="shared" si="30"/>
        <v>96</v>
      </c>
      <c r="F124" s="887">
        <f t="shared" si="30"/>
        <v>94</v>
      </c>
      <c r="G124" s="887">
        <f t="shared" si="30"/>
        <v>92</v>
      </c>
      <c r="H124" s="887">
        <f t="shared" si="30"/>
        <v>90</v>
      </c>
      <c r="I124" s="887">
        <f t="shared" si="30"/>
        <v>88</v>
      </c>
      <c r="J124" s="887">
        <f t="shared" si="30"/>
        <v>86</v>
      </c>
      <c r="K124" s="887">
        <f t="shared" si="30"/>
        <v>84</v>
      </c>
      <c r="L124" s="887">
        <f t="shared" si="30"/>
        <v>82</v>
      </c>
      <c r="M124" s="888">
        <f t="shared" si="30"/>
        <v>80</v>
      </c>
      <c r="N124" s="1390"/>
      <c r="O124" s="1390"/>
      <c r="P124" s="2326"/>
      <c r="Q124" s="121"/>
    </row>
    <row r="125" spans="1:17" ht="27.75" thickTop="1">
      <c r="A125" s="175"/>
      <c r="B125" s="1054" t="s">
        <v>90</v>
      </c>
      <c r="C125" s="921" t="s">
        <v>1012</v>
      </c>
      <c r="D125" s="921" t="s">
        <v>422</v>
      </c>
      <c r="E125" s="921" t="s">
        <v>1014</v>
      </c>
      <c r="F125" s="921" t="s">
        <v>424</v>
      </c>
      <c r="G125" s="921" t="s">
        <v>425</v>
      </c>
      <c r="H125" s="882"/>
      <c r="I125" s="882"/>
      <c r="J125" s="882"/>
      <c r="K125" s="883"/>
      <c r="L125" s="884"/>
      <c r="M125" s="885"/>
      <c r="N125" s="1389"/>
      <c r="O125" s="1389"/>
      <c r="P125" s="2327"/>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6"/>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27"/>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27"/>
      <c r="Q128" s="1063"/>
    </row>
    <row r="129" spans="1:17" ht="14.25" thickTop="1">
      <c r="A129" s="175"/>
      <c r="B129" s="1054">
        <f>B46</f>
        <v>111</v>
      </c>
      <c r="C129" s="139"/>
      <c r="D129" s="139"/>
      <c r="E129" s="139"/>
      <c r="F129" s="139"/>
      <c r="G129" s="131"/>
      <c r="H129" s="131"/>
      <c r="I129" s="131"/>
      <c r="J129" s="131"/>
      <c r="K129" s="132"/>
      <c r="L129" s="133"/>
      <c r="M129" s="134"/>
      <c r="N129" s="1389"/>
      <c r="O129" s="1389"/>
      <c r="P129" s="2326"/>
      <c r="Q129" s="121"/>
    </row>
    <row r="130" spans="1:17" ht="15" thickBot="1">
      <c r="A130" s="173"/>
      <c r="B130" s="1055"/>
      <c r="C130" s="903"/>
      <c r="D130" s="903"/>
      <c r="E130" s="903"/>
      <c r="F130" s="903"/>
      <c r="G130" s="879"/>
      <c r="H130" s="879"/>
      <c r="I130" s="879"/>
      <c r="J130" s="879"/>
      <c r="K130" s="879"/>
      <c r="L130" s="879"/>
      <c r="M130" s="880"/>
      <c r="N130" s="1390"/>
      <c r="O130" s="1390"/>
      <c r="P130" s="2326"/>
      <c r="Q130" s="121"/>
    </row>
    <row r="131" spans="1:17" ht="14.25" thickTop="1">
      <c r="A131" s="175"/>
      <c r="B131" s="1056">
        <f>B47</f>
        <v>111</v>
      </c>
      <c r="C131" s="140"/>
      <c r="D131" s="140"/>
      <c r="E131" s="140"/>
      <c r="F131" s="140"/>
      <c r="G131" s="135"/>
      <c r="H131" s="135"/>
      <c r="I131" s="135"/>
      <c r="J131" s="135"/>
      <c r="K131" s="140"/>
      <c r="L131" s="141"/>
      <c r="M131" s="138"/>
      <c r="N131" s="1389"/>
      <c r="O131" s="1389"/>
      <c r="P131" s="2326"/>
      <c r="Q131" s="121"/>
    </row>
    <row r="132" spans="1:17" ht="15" thickBot="1">
      <c r="A132" s="174"/>
      <c r="B132" s="1071"/>
      <c r="C132" s="913"/>
      <c r="D132" s="913"/>
      <c r="E132" s="913"/>
      <c r="F132" s="913"/>
      <c r="G132" s="934"/>
      <c r="H132" s="934"/>
      <c r="I132" s="934"/>
      <c r="J132" s="934"/>
      <c r="K132" s="934"/>
      <c r="L132" s="934"/>
      <c r="M132" s="935"/>
      <c r="N132" s="1390"/>
      <c r="O132" s="1390"/>
      <c r="P132" s="2326"/>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06"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36" sqref="E36"/>
      <selection pane="bottomLeft" activeCell="T30" sqref="T3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38" t="s">
        <v>2381</v>
      </c>
      <c r="C1" s="3739" t="s">
        <v>2382</v>
      </c>
      <c r="D1" s="3740"/>
      <c r="E1" s="3740"/>
      <c r="F1" s="3740"/>
      <c r="G1" s="3740"/>
      <c r="H1" s="3740"/>
      <c r="I1" s="3740"/>
      <c r="J1" s="3740"/>
      <c r="K1" s="3740"/>
      <c r="L1" s="3740"/>
      <c r="M1" s="3740"/>
      <c r="N1" s="3740"/>
      <c r="O1" s="3740"/>
      <c r="P1" s="3740"/>
      <c r="Q1" s="3740"/>
      <c r="R1" s="3740"/>
      <c r="S1" s="3741"/>
      <c r="T1" s="2438" t="s">
        <v>2383</v>
      </c>
    </row>
    <row r="2" spans="1:45" s="1116" customFormat="1" ht="25.5">
      <c r="A2" s="2439"/>
      <c r="B2" s="1112" t="s">
        <v>2384</v>
      </c>
      <c r="C2" s="1113" t="str">
        <f t="shared" ref="C2:L2" si="0">C3&amp;"(含)"&amp;"-"&amp;D3</f>
        <v>0(含)-2000</v>
      </c>
      <c r="D2" s="1114" t="str">
        <f t="shared" si="0"/>
        <v>2000(含)-5000</v>
      </c>
      <c r="E2" s="1114" t="str">
        <f t="shared" si="0"/>
        <v>5000(含)-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0"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1"/>
      <c r="B3" s="1117"/>
      <c r="C3" s="1118">
        <v>0</v>
      </c>
      <c r="D3" s="1119">
        <v>2000</v>
      </c>
      <c r="E3" s="1119">
        <v>5000</v>
      </c>
      <c r="F3" s="3209"/>
      <c r="G3" s="3209"/>
      <c r="H3" s="3209"/>
      <c r="I3" s="3209"/>
      <c r="J3" s="3209"/>
      <c r="K3" s="3209"/>
      <c r="L3" s="3210"/>
      <c r="M3" s="3211"/>
      <c r="N3" s="3211"/>
      <c r="O3" s="3209"/>
      <c r="P3" s="3209"/>
      <c r="Q3" s="3209"/>
      <c r="R3" s="3209"/>
      <c r="S3" s="3212"/>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2"/>
      <c r="B4" s="2443"/>
      <c r="C4" s="2444"/>
      <c r="D4" s="2445"/>
      <c r="E4" s="2445"/>
      <c r="F4" s="3213"/>
      <c r="G4" s="3213"/>
      <c r="H4" s="3213"/>
      <c r="I4" s="3213"/>
      <c r="J4" s="3213"/>
      <c r="K4" s="3213"/>
      <c r="L4" s="3213"/>
      <c r="M4" s="3214"/>
      <c r="N4" s="3214"/>
      <c r="O4" s="3213"/>
      <c r="P4" s="3213"/>
      <c r="Q4" s="3213"/>
      <c r="R4" s="3213"/>
      <c r="S4" s="3215"/>
      <c r="T4" s="2448"/>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49"/>
      <c r="B5" s="3306" t="s">
        <v>3032</v>
      </c>
      <c r="C5" s="2450"/>
      <c r="D5" s="2451"/>
      <c r="E5" s="2451"/>
      <c r="F5" s="3216"/>
      <c r="G5" s="3216"/>
      <c r="H5" s="3216"/>
      <c r="I5" s="3216"/>
      <c r="J5" s="3216"/>
      <c r="K5" s="3216"/>
      <c r="L5" s="3217"/>
      <c r="M5" s="3218"/>
      <c r="N5" s="3218"/>
      <c r="O5" s="3216"/>
      <c r="P5" s="3216"/>
      <c r="Q5" s="3216"/>
      <c r="R5" s="3216"/>
      <c r="S5" s="3219"/>
      <c r="T5" s="2453"/>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49"/>
      <c r="B6" s="2200"/>
      <c r="C6" s="2206">
        <v>100</v>
      </c>
      <c r="D6" s="2203">
        <f>C6-$T5</f>
        <v>100</v>
      </c>
      <c r="E6" s="2203">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2"/>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49"/>
      <c r="B7" s="3307" t="s">
        <v>3031</v>
      </c>
      <c r="C7" s="2205"/>
      <c r="D7" s="2199"/>
      <c r="E7" s="2199"/>
      <c r="F7" s="3221"/>
      <c r="G7" s="3221"/>
      <c r="H7" s="3221"/>
      <c r="I7" s="3221"/>
      <c r="J7" s="3221"/>
      <c r="K7" s="3221"/>
      <c r="L7" s="3221"/>
      <c r="M7" s="3222"/>
      <c r="N7" s="3223"/>
      <c r="O7" s="3224"/>
      <c r="P7" s="3225"/>
      <c r="Q7" s="3226"/>
      <c r="R7" s="3227"/>
      <c r="S7" s="3228"/>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49"/>
      <c r="B8" s="2200"/>
      <c r="C8" s="2206">
        <v>100</v>
      </c>
      <c r="D8" s="2203">
        <f>C8-$T7</f>
        <v>100</v>
      </c>
      <c r="E8" s="2203">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2"/>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49"/>
      <c r="B9" s="3307" t="s">
        <v>3030</v>
      </c>
      <c r="C9" s="2205"/>
      <c r="D9" s="2199"/>
      <c r="E9" s="2199"/>
      <c r="F9" s="3221"/>
      <c r="G9" s="3221"/>
      <c r="H9" s="3221"/>
      <c r="I9" s="3221"/>
      <c r="J9" s="3221"/>
      <c r="K9" s="3221"/>
      <c r="L9" s="3229"/>
      <c r="M9" s="3222"/>
      <c r="N9" s="3223"/>
      <c r="O9" s="3224"/>
      <c r="P9" s="3225"/>
      <c r="Q9" s="3226"/>
      <c r="R9" s="3227"/>
      <c r="S9" s="3228"/>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49"/>
      <c r="B10" s="2443"/>
      <c r="C10" s="2454">
        <v>100</v>
      </c>
      <c r="D10" s="2455">
        <f>C10-$T9</f>
        <v>100</v>
      </c>
      <c r="E10" s="2455">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48"/>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49"/>
      <c r="B11" s="3306" t="s">
        <v>3029</v>
      </c>
      <c r="C11" s="2450"/>
      <c r="D11" s="2451"/>
      <c r="E11" s="2451"/>
      <c r="F11" s="2451"/>
      <c r="G11" s="2451"/>
      <c r="H11" s="2451"/>
      <c r="I11" s="2451"/>
      <c r="J11" s="2451"/>
      <c r="K11" s="2451"/>
      <c r="L11" s="2451"/>
      <c r="M11" s="2452"/>
      <c r="N11" s="2456"/>
      <c r="O11" s="2457"/>
      <c r="P11" s="2458"/>
      <c r="Q11" s="2459"/>
      <c r="R11" s="2460"/>
      <c r="S11" s="2461"/>
      <c r="T11" s="2453"/>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49"/>
      <c r="B12" s="2200"/>
      <c r="C12" s="2206">
        <v>100</v>
      </c>
      <c r="D12" s="2203">
        <f>C12-$T11</f>
        <v>100</v>
      </c>
      <c r="E12" s="2203">
        <f t="shared" ref="E12:S12" si="10">D12-$T11</f>
        <v>100</v>
      </c>
      <c r="F12" s="2203">
        <f t="shared" si="10"/>
        <v>100</v>
      </c>
      <c r="G12" s="2203">
        <f t="shared" si="10"/>
        <v>100</v>
      </c>
      <c r="H12" s="2203">
        <f t="shared" si="10"/>
        <v>100</v>
      </c>
      <c r="I12" s="2203">
        <f t="shared" si="10"/>
        <v>100</v>
      </c>
      <c r="J12" s="2203">
        <f t="shared" si="10"/>
        <v>100</v>
      </c>
      <c r="K12" s="2203">
        <f t="shared" si="10"/>
        <v>100</v>
      </c>
      <c r="L12" s="2203">
        <f t="shared" si="10"/>
        <v>100</v>
      </c>
      <c r="M12" s="2203">
        <f t="shared" si="10"/>
        <v>100</v>
      </c>
      <c r="N12" s="2203">
        <f t="shared" si="10"/>
        <v>100</v>
      </c>
      <c r="O12" s="2203">
        <f t="shared" si="10"/>
        <v>100</v>
      </c>
      <c r="P12" s="2203">
        <f t="shared" si="10"/>
        <v>100</v>
      </c>
      <c r="Q12" s="2203">
        <f t="shared" si="10"/>
        <v>100</v>
      </c>
      <c r="R12" s="2203">
        <f>Q12-$T11</f>
        <v>100</v>
      </c>
      <c r="S12" s="2203">
        <f t="shared" si="10"/>
        <v>100</v>
      </c>
      <c r="T12" s="2202"/>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49"/>
      <c r="B13" s="3306" t="s">
        <v>3028</v>
      </c>
      <c r="C13" s="2450"/>
      <c r="D13" s="2451"/>
      <c r="E13" s="2451"/>
      <c r="F13" s="2451"/>
      <c r="G13" s="2451"/>
      <c r="H13" s="2451"/>
      <c r="I13" s="2451"/>
      <c r="J13" s="2451"/>
      <c r="K13" s="2451"/>
      <c r="L13" s="2451"/>
      <c r="M13" s="2452"/>
      <c r="N13" s="2456"/>
      <c r="O13" s="2457"/>
      <c r="P13" s="2458"/>
      <c r="Q13" s="2459"/>
      <c r="R13" s="2460"/>
      <c r="S13" s="2461"/>
      <c r="T13" s="2462"/>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49"/>
      <c r="B14" s="2200"/>
      <c r="C14" s="2204"/>
      <c r="D14" s="2201"/>
      <c r="E14" s="2201"/>
      <c r="F14" s="2201"/>
      <c r="G14" s="2201"/>
      <c r="H14" s="2201"/>
      <c r="I14" s="2201"/>
      <c r="J14" s="2201"/>
      <c r="K14" s="2201"/>
      <c r="L14" s="2201"/>
      <c r="M14" s="2463"/>
      <c r="N14" s="2463"/>
      <c r="O14" s="2201"/>
      <c r="P14" s="2201"/>
      <c r="Q14" s="2201"/>
      <c r="R14" s="2201"/>
      <c r="S14" s="2464"/>
      <c r="T14" s="2202"/>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49"/>
      <c r="B15" s="3306" t="s">
        <v>3027</v>
      </c>
      <c r="C15" s="2450"/>
      <c r="D15" s="2451"/>
      <c r="E15" s="2451"/>
      <c r="F15" s="2451"/>
      <c r="G15" s="2451"/>
      <c r="H15" s="2451"/>
      <c r="I15" s="2451"/>
      <c r="J15" s="2451"/>
      <c r="K15" s="2451"/>
      <c r="L15" s="2451"/>
      <c r="M15" s="2452"/>
      <c r="N15" s="2456"/>
      <c r="O15" s="2457"/>
      <c r="P15" s="2458"/>
      <c r="Q15" s="2459"/>
      <c r="R15" s="2460"/>
      <c r="S15" s="2461"/>
      <c r="T15" s="2462"/>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49"/>
      <c r="B16" s="2443"/>
      <c r="C16" s="2444"/>
      <c r="D16" s="2445"/>
      <c r="E16" s="2445"/>
      <c r="F16" s="2445"/>
      <c r="G16" s="2445"/>
      <c r="H16" s="2445"/>
      <c r="I16" s="2445"/>
      <c r="J16" s="2445"/>
      <c r="K16" s="2445"/>
      <c r="L16" s="2445"/>
      <c r="M16" s="2446"/>
      <c r="N16" s="2446"/>
      <c r="O16" s="2445"/>
      <c r="P16" s="2445"/>
      <c r="Q16" s="2445"/>
      <c r="R16" s="2445"/>
      <c r="S16" s="2447"/>
      <c r="T16" s="2448"/>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1" t="s">
        <v>2385</v>
      </c>
      <c r="B17" s="2482" t="s">
        <v>2386</v>
      </c>
      <c r="C17" s="2465" t="s">
        <v>3546</v>
      </c>
      <c r="D17" s="2466" t="s">
        <v>3547</v>
      </c>
      <c r="E17" s="2466"/>
      <c r="F17" s="2466"/>
      <c r="G17" s="2466"/>
      <c r="H17" s="2466"/>
      <c r="I17" s="2466"/>
      <c r="J17" s="2466"/>
      <c r="K17" s="2466"/>
      <c r="L17" s="2467"/>
      <c r="M17" s="2468"/>
      <c r="N17" s="2469"/>
      <c r="O17" s="2470"/>
      <c r="P17" s="2471"/>
      <c r="Q17" s="2472"/>
      <c r="R17" s="2473"/>
      <c r="S17" s="2474"/>
      <c r="T17" s="2474"/>
      <c r="U17" s="2474"/>
      <c r="V17" s="2474"/>
      <c r="W17" s="2474"/>
      <c r="X17" s="2474"/>
      <c r="Y17" s="2474"/>
      <c r="Z17" s="2474"/>
      <c r="AA17" s="2474"/>
      <c r="AB17" s="2474"/>
      <c r="AC17" s="2474"/>
      <c r="AD17" s="2474"/>
      <c r="AE17" s="2474"/>
      <c r="AF17" s="2474"/>
      <c r="AG17" s="2474"/>
      <c r="AH17" s="2474"/>
      <c r="AI17" s="2474"/>
      <c r="AJ17" s="2474"/>
      <c r="AK17" s="2474"/>
      <c r="AL17" s="2474"/>
      <c r="AM17" s="2474"/>
      <c r="AN17" s="2474"/>
      <c r="AO17" s="2474"/>
      <c r="AP17" s="2474"/>
      <c r="AQ17" s="2474"/>
      <c r="AR17" s="1464"/>
      <c r="AS17" s="1464"/>
    </row>
    <row r="18" spans="1:45" s="1116" customFormat="1" ht="13.5" thickBot="1">
      <c r="A18" s="2475"/>
      <c r="B18" s="2476"/>
      <c r="C18" s="2477">
        <v>100</v>
      </c>
      <c r="D18" s="2478">
        <v>70</v>
      </c>
      <c r="E18" s="2478"/>
      <c r="F18" s="2478"/>
      <c r="G18" s="2478"/>
      <c r="H18" s="2478"/>
      <c r="I18" s="2478"/>
      <c r="J18" s="2478"/>
      <c r="K18" s="2478"/>
      <c r="L18" s="2478"/>
      <c r="M18" s="2479"/>
      <c r="N18" s="2479"/>
      <c r="O18" s="2478"/>
      <c r="P18" s="2478"/>
      <c r="Q18" s="2478"/>
      <c r="R18" s="2478"/>
      <c r="S18" s="2480"/>
      <c r="T18" s="2480"/>
      <c r="U18" s="2480"/>
      <c r="V18" s="2480"/>
      <c r="W18" s="2480"/>
      <c r="X18" s="2480"/>
      <c r="Y18" s="2480"/>
      <c r="Z18" s="2480"/>
      <c r="AA18" s="2480"/>
      <c r="AB18" s="2480"/>
      <c r="AC18" s="2480"/>
      <c r="AD18" s="2480"/>
      <c r="AE18" s="2480"/>
      <c r="AF18" s="2480"/>
      <c r="AG18" s="2480"/>
      <c r="AH18" s="2480"/>
      <c r="AI18" s="2480"/>
      <c r="AJ18" s="2480"/>
      <c r="AK18" s="2480"/>
      <c r="AL18" s="2480"/>
      <c r="AM18" s="2480"/>
      <c r="AN18" s="2480"/>
      <c r="AO18" s="2480"/>
      <c r="AP18" s="2480"/>
      <c r="AQ18" s="2480"/>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517</v>
      </c>
      <c r="B20" s="673">
        <f ca="1">S22</f>
        <v>43789</v>
      </c>
      <c r="C20" s="500"/>
      <c r="D20" s="500"/>
      <c r="E20" s="500"/>
      <c r="F20" s="500"/>
      <c r="G20" s="500"/>
      <c r="H20" s="500"/>
      <c r="I20" s="500"/>
      <c r="J20" s="500"/>
      <c r="K20" s="500"/>
      <c r="L20" s="500"/>
      <c r="M20" s="500"/>
      <c r="N20" s="500"/>
      <c r="O20" s="500"/>
      <c r="P20" s="500"/>
      <c r="Q20" s="500"/>
      <c r="R20" s="1416"/>
      <c r="S20" s="469"/>
    </row>
    <row r="21" spans="1:45" ht="15.75">
      <c r="A21" s="1124" t="s">
        <v>518</v>
      </c>
      <c r="B21" s="673">
        <f ca="1">R22</f>
        <v>41647</v>
      </c>
      <c r="C21" s="500"/>
      <c r="D21" s="500"/>
      <c r="E21" s="500"/>
      <c r="F21" s="500"/>
      <c r="G21" s="500"/>
      <c r="H21" s="500"/>
      <c r="I21" s="500"/>
      <c r="J21" s="500"/>
      <c r="K21" s="500"/>
      <c r="L21" s="500"/>
      <c r="M21" s="500"/>
      <c r="N21" s="500"/>
      <c r="O21" s="500"/>
      <c r="P21" s="500"/>
      <c r="Q21" s="500"/>
      <c r="R21" s="1416"/>
      <c r="S21" s="469"/>
    </row>
    <row r="22" spans="1:45">
      <c r="A22" s="698" t="s">
        <v>519</v>
      </c>
      <c r="B22" s="313">
        <f>SUM(B24:B10000)</f>
        <v>10514.43</v>
      </c>
      <c r="C22" s="3736" t="s">
        <v>165</v>
      </c>
      <c r="D22" s="3737"/>
      <c r="E22" s="3737"/>
      <c r="F22" s="3737"/>
      <c r="G22" s="3737"/>
      <c r="H22" s="3737"/>
      <c r="I22" s="3737"/>
      <c r="J22" s="3737"/>
      <c r="K22" s="3737"/>
      <c r="L22" s="3737"/>
      <c r="M22" s="3737"/>
      <c r="N22" s="3737"/>
      <c r="O22" s="3737"/>
      <c r="P22" s="3737"/>
      <c r="Q22" s="3738"/>
      <c r="R22" s="1125">
        <f ca="1">ROUND(S22*10000/B22,0)</f>
        <v>41647</v>
      </c>
      <c r="S22" s="313">
        <f ca="1">SUM(S24:S10000)</f>
        <v>43789</v>
      </c>
    </row>
    <row r="23" spans="1:45" s="300" customFormat="1" ht="24">
      <c r="A23" s="299" t="s">
        <v>520</v>
      </c>
      <c r="B23" s="299" t="s">
        <v>521</v>
      </c>
      <c r="C23" s="299" t="s">
        <v>522</v>
      </c>
      <c r="D23" s="299" t="str">
        <f>B5</f>
        <v>修正项2</v>
      </c>
      <c r="E23" s="299" t="s">
        <v>522</v>
      </c>
      <c r="F23" s="299" t="str">
        <f>B7</f>
        <v>修正项3</v>
      </c>
      <c r="G23" s="299" t="s">
        <v>522</v>
      </c>
      <c r="H23" s="299" t="str">
        <f>B9</f>
        <v>修正项4</v>
      </c>
      <c r="I23" s="299" t="s">
        <v>522</v>
      </c>
      <c r="J23" s="299" t="str">
        <f>B11</f>
        <v>修正项5</v>
      </c>
      <c r="K23" s="299" t="s">
        <v>522</v>
      </c>
      <c r="L23" s="299" t="str">
        <f>B13</f>
        <v>修正项6</v>
      </c>
      <c r="M23" s="299" t="s">
        <v>522</v>
      </c>
      <c r="N23" s="299" t="str">
        <f>B15</f>
        <v>修正项7</v>
      </c>
      <c r="O23" s="299" t="s">
        <v>522</v>
      </c>
      <c r="P23" s="299" t="str">
        <f>B17</f>
        <v>楼层</v>
      </c>
      <c r="Q23" s="299" t="s">
        <v>522</v>
      </c>
      <c r="R23" s="1126" t="s">
        <v>523</v>
      </c>
      <c r="S23" s="299" t="s">
        <v>524</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3366" t="s">
        <v>3545</v>
      </c>
      <c r="B24" s="1127">
        <f>'数据-汇总表'!F19</f>
        <v>4387.92</v>
      </c>
      <c r="C24" s="1128">
        <v>1</v>
      </c>
      <c r="D24" s="1129"/>
      <c r="E24" s="1128">
        <v>1</v>
      </c>
      <c r="F24" s="1129"/>
      <c r="G24" s="1128">
        <v>1</v>
      </c>
      <c r="H24" s="1129"/>
      <c r="I24" s="1128">
        <v>1</v>
      </c>
      <c r="J24" s="1129"/>
      <c r="K24" s="1128">
        <v>1</v>
      </c>
      <c r="L24" s="1129"/>
      <c r="M24" s="1128">
        <v>1</v>
      </c>
      <c r="N24" s="1129"/>
      <c r="O24" s="1128">
        <v>1</v>
      </c>
      <c r="P24" s="1129" t="s">
        <v>3220</v>
      </c>
      <c r="Q24" s="1128">
        <v>1</v>
      </c>
      <c r="R24" s="1130">
        <f ca="1">'结果表（商业）'!C105</f>
        <v>50468</v>
      </c>
      <c r="S24" s="1128">
        <f t="shared" ref="S24:S54" ca="1" si="11">ROUND(R24*B24/10000,0)</f>
        <v>22145</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t="s">
        <v>3548</v>
      </c>
      <c r="B25" s="348">
        <f>'数据-汇总表'!F20</f>
        <v>6126.51</v>
      </c>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t="s">
        <v>3222</v>
      </c>
      <c r="Q25" s="313">
        <f>(SUMIF($17:$17,P25,$18:$18)-SUMIF($17:$17,$P$24,$18:$18)+100)/100</f>
        <v>0.7</v>
      </c>
      <c r="R25" s="1125">
        <f ca="1">IF(B25="",0,ROUND($R$24*C25*E25*G25*I25*K25*M25*O25*Q25,0))</f>
        <v>35328</v>
      </c>
      <c r="S25" s="698">
        <f t="shared" ca="1" si="11"/>
        <v>21644</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0</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0</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0</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0</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0</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0</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0</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0</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0</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0</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0</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0</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0</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0</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0</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0</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0</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0</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0</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0</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0</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0</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0</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0</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0</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0</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0</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0</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0</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0</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0</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0</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0</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0</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0</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0</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0</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0</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0</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0</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0</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0</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0</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0</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0</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0</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0</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0</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0</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0</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0</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0</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0</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0</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0</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0</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0</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0</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0</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0</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0</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0</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0</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0</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0</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0</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0</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0</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0</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0</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0</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0</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0</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0</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0</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0</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0</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0</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0</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0</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0</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0</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0</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0</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0</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0</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0</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0</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0</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0</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0</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0</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0</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0</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0</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0</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0</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0</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0</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0</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0</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0</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0</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0</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0</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0</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0</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0</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0</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0</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0</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0</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0</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0</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0</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0</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0</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0</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0</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0</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0</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0</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0</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0</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0</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0</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0</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0</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0</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0</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0</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0</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0</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0</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0</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0</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0</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0</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0</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0</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0</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0</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0</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0</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0</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0</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0</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0</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0</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0</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0</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0</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0</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0</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0</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0</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0</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0</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0</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0</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0</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0</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0</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0</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0</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0</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0</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0</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0</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0</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0</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0</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0</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0</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0</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0</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0</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0</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0</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0</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0</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0</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0</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0</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0</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0</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0</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0</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0</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0</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0</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0</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0</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0</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0</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0</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0</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0</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0</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0</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0</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0</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0</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0</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0</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0</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0</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0</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0</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0</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0</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0</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0</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0</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0</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0</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0</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0</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0</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0</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0</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0</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0</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0</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0</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0</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0</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0</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0</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0</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0</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0</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0</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0</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0</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0</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0</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0</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0</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0</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0</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0</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0</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0</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0</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0</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0</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0</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0</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0</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0</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0</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0</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0</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0</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0</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0</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0</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0</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0</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0</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0</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0</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0</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0</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0</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0</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0</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0</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0</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0</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0</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0</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0</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0</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0</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0</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0</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0</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0</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0</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0</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0</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0</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0</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0</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0</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0</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0</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0</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0</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0</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0</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0</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0</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0</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0</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0</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0</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0</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0</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0</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0</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0</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0</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0</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0</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0</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0</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0</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0</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0</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0</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0</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0</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0</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0</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0</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0</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0</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0</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0</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0</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0</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0</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0</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0</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0</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0</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0</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0</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0</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0</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0</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0</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0</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0</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0</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0</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0</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0</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0</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0</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0</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0</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0</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0</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0</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0</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0</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0</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0</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0</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0</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0</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0</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0</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0</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0</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0</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0</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0</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0</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0</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0</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0</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0</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0</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0</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0</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0</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0</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0</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0</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0</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0</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0</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0</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0</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0</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0</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0</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0</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0</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0</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0</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0</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0</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0</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0</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0</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0</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0</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0</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0</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0</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0</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0</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0</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0</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0</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0</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0</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0</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0</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0</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0</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0</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0</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0</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0</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0</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0</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0</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0</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0</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0</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0</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0</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0</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0</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0</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0</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0</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0</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0</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0</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0</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0</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0</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0</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0</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0</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0</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0</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0</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0</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0</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0</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0</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0</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0</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0</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0</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0</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0</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0</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0</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0</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0</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0</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0</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0</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0</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0</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0</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0</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0</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0</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0</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0</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0</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0</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0</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0</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0</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0</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0</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0</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0</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0</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0</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0</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0</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0</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0</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0</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0</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0</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0</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0</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0</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0</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0</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0</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0</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0</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0</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0</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0</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0</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0</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0</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0</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0</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0</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0</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0</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0</v>
      </c>
      <c r="R524" s="1125">
        <f t="shared" si="93"/>
        <v>0</v>
      </c>
      <c r="S524" s="698">
        <f t="shared" si="94"/>
        <v>0</v>
      </c>
    </row>
  </sheetData>
  <sheetProtection password="C66D" sheet="1" objects="1" scenarios="1" formatCells="0" formatColumns="0" formatRows="0"/>
  <mergeCells count="2">
    <mergeCell ref="C22:Q22"/>
    <mergeCell ref="C1:S1"/>
  </mergeCells>
  <phoneticPr fontId="35" type="noConversion"/>
  <dataValidations disablePrompts="1"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814</v>
      </c>
      <c r="B1" s="573"/>
      <c r="C1" s="574"/>
      <c r="D1" s="574"/>
      <c r="E1" s="574"/>
      <c r="F1" s="574"/>
      <c r="G1" s="575"/>
    </row>
    <row r="2" spans="1:7" s="576" customFormat="1" ht="18" customHeight="1">
      <c r="A2" s="577" t="s">
        <v>815</v>
      </c>
      <c r="B2" s="578">
        <f ca="1">C52</f>
        <v>59711</v>
      </c>
      <c r="C2" s="85" t="s">
        <v>864</v>
      </c>
      <c r="D2" s="575"/>
      <c r="E2" s="575"/>
      <c r="F2" s="575"/>
      <c r="G2" s="575"/>
    </row>
    <row r="3" spans="1:7" s="576" customFormat="1" ht="18" customHeight="1" thickBot="1">
      <c r="A3" s="579" t="s">
        <v>816</v>
      </c>
      <c r="B3" s="580">
        <f ca="1">ROUND(B2*10000/'数据-汇总表'!E3,0)</f>
        <v>8917</v>
      </c>
      <c r="C3" s="85" t="s">
        <v>865</v>
      </c>
      <c r="D3" s="575"/>
      <c r="E3" s="575"/>
      <c r="F3" s="575"/>
      <c r="G3" s="575"/>
    </row>
    <row r="4" spans="1:7" s="584" customFormat="1" ht="15.75">
      <c r="A4" s="581" t="s">
        <v>817</v>
      </c>
      <c r="B4" s="582"/>
      <c r="C4" s="582"/>
      <c r="D4" s="582"/>
      <c r="E4" s="582"/>
      <c r="F4" s="582"/>
      <c r="G4" s="583"/>
    </row>
    <row r="5" spans="1:7" s="590" customFormat="1" ht="13.5" customHeight="1">
      <c r="A5" s="631" t="s">
        <v>2504</v>
      </c>
      <c r="B5" s="586" t="s">
        <v>818</v>
      </c>
      <c r="C5" s="587">
        <f>C6+C7+C8</f>
        <v>20610</v>
      </c>
      <c r="D5" s="587" t="s">
        <v>819</v>
      </c>
      <c r="E5" s="588" t="s">
        <v>820</v>
      </c>
      <c r="F5" s="588" t="s">
        <v>821</v>
      </c>
      <c r="G5" s="589"/>
    </row>
    <row r="6" spans="1:7" s="590" customFormat="1" ht="13.5" customHeight="1">
      <c r="A6" s="1801" t="s">
        <v>1915</v>
      </c>
      <c r="B6" s="591" t="s">
        <v>822</v>
      </c>
      <c r="C6" s="592">
        <v>20000</v>
      </c>
      <c r="D6" s="593"/>
      <c r="E6" s="594"/>
      <c r="F6" s="594"/>
      <c r="G6" s="595"/>
    </row>
    <row r="7" spans="1:7" s="590" customFormat="1" ht="13.5" customHeight="1">
      <c r="A7" s="1801" t="s">
        <v>1916</v>
      </c>
      <c r="B7" s="591" t="s">
        <v>343</v>
      </c>
      <c r="C7" s="596">
        <f>ROUND(C6*F7,0)</f>
        <v>610</v>
      </c>
      <c r="D7" s="596"/>
      <c r="E7" s="594"/>
      <c r="F7" s="597">
        <f>'数据-取费表'!B48+'数据-取费表'!B49</f>
        <v>3.0499999999999999E-2</v>
      </c>
      <c r="G7" s="595"/>
    </row>
    <row r="8" spans="1:7" s="599" customFormat="1">
      <c r="A8" s="1801" t="s">
        <v>1917</v>
      </c>
      <c r="B8" s="591" t="s">
        <v>823</v>
      </c>
      <c r="C8" s="596" t="str">
        <f>IF(G8="已包含在土地购买价格中","0",'数据-取费表'!B29)</f>
        <v>0</v>
      </c>
      <c r="D8" s="598"/>
      <c r="E8" s="596"/>
      <c r="F8" s="597"/>
      <c r="G8" s="84" t="s">
        <v>2682</v>
      </c>
    </row>
    <row r="9" spans="1:7" s="590" customFormat="1" ht="13.5" customHeight="1">
      <c r="A9" s="1802" t="s">
        <v>1924</v>
      </c>
      <c r="B9" s="600" t="s">
        <v>824</v>
      </c>
      <c r="C9" s="601">
        <f>ROUND(D9*E9/10000,0)</f>
        <v>0</v>
      </c>
      <c r="D9" s="1906">
        <f>'数据-汇总表'!E5</f>
        <v>0</v>
      </c>
      <c r="E9" s="601">
        <f>'数据-取费表'!B27</f>
        <v>0</v>
      </c>
      <c r="F9" s="597"/>
      <c r="G9" s="602"/>
    </row>
    <row r="10" spans="1:7" s="590" customFormat="1" ht="13.5" customHeight="1">
      <c r="A10" s="1802" t="s">
        <v>1925</v>
      </c>
      <c r="B10" s="600" t="s">
        <v>825</v>
      </c>
      <c r="C10" s="601">
        <f>ROUND(D10*E10/10000,0)</f>
        <v>1339</v>
      </c>
      <c r="D10" s="1906">
        <f>'数据-汇总表'!E6</f>
        <v>66965.320000000065</v>
      </c>
      <c r="E10" s="601">
        <f>'数据-取费表'!B28</f>
        <v>200</v>
      </c>
      <c r="F10" s="597"/>
      <c r="G10" s="602"/>
    </row>
    <row r="11" spans="1:7" s="590" customFormat="1" ht="13.5" hidden="1" customHeight="1">
      <c r="A11" s="603" t="s">
        <v>42</v>
      </c>
      <c r="B11" s="591" t="s">
        <v>826</v>
      </c>
      <c r="C11" s="587"/>
      <c r="D11" s="1908"/>
      <c r="E11" s="594"/>
      <c r="F11" s="594"/>
      <c r="G11" s="595"/>
    </row>
    <row r="12" spans="1:7" s="590" customFormat="1" ht="13.5" hidden="1" customHeight="1">
      <c r="A12" s="603" t="s">
        <v>43</v>
      </c>
      <c r="B12" s="591" t="s">
        <v>827</v>
      </c>
      <c r="C12" s="587">
        <v>0</v>
      </c>
      <c r="D12" s="1908"/>
      <c r="E12" s="604"/>
      <c r="F12" s="597">
        <v>3.0499999999999999E-2</v>
      </c>
      <c r="G12" s="595"/>
    </row>
    <row r="13" spans="1:7" s="590" customFormat="1" ht="13.5" hidden="1" customHeight="1">
      <c r="A13" s="603" t="s">
        <v>44</v>
      </c>
      <c r="B13" s="591" t="s">
        <v>828</v>
      </c>
      <c r="C13" s="587"/>
      <c r="D13" s="1908"/>
      <c r="E13" s="594"/>
      <c r="F13" s="594"/>
      <c r="G13" s="595"/>
    </row>
    <row r="14" spans="1:7" s="590" customFormat="1" ht="13.5" hidden="1" customHeight="1">
      <c r="A14" s="603" t="s">
        <v>45</v>
      </c>
      <c r="B14" s="591" t="s">
        <v>823</v>
      </c>
      <c r="C14" s="587"/>
      <c r="D14" s="1908"/>
      <c r="E14" s="594"/>
      <c r="F14" s="594"/>
      <c r="G14" s="595" t="s">
        <v>829</v>
      </c>
    </row>
    <row r="15" spans="1:7" s="590" customFormat="1" ht="13.5" hidden="1" customHeight="1">
      <c r="A15" s="603" t="s">
        <v>46</v>
      </c>
      <c r="B15" s="591" t="s">
        <v>830</v>
      </c>
      <c r="C15" s="596"/>
      <c r="D15" s="1908"/>
      <c r="E15" s="594"/>
      <c r="F15" s="594"/>
      <c r="G15" s="595" t="s">
        <v>831</v>
      </c>
    </row>
    <row r="16" spans="1:7" s="590" customFormat="1" ht="13.5" hidden="1" customHeight="1">
      <c r="A16" s="603" t="s">
        <v>47</v>
      </c>
      <c r="B16" s="591" t="s">
        <v>823</v>
      </c>
      <c r="C16" s="596"/>
      <c r="D16" s="1908"/>
      <c r="E16" s="594"/>
      <c r="F16" s="594"/>
      <c r="G16" s="595"/>
    </row>
    <row r="17" spans="1:7" s="590" customFormat="1" ht="13.5" hidden="1" customHeight="1">
      <c r="A17" s="603" t="s">
        <v>48</v>
      </c>
      <c r="B17" s="591" t="s">
        <v>832</v>
      </c>
      <c r="C17" s="605"/>
      <c r="D17" s="1909"/>
      <c r="E17" s="605"/>
      <c r="F17" s="605"/>
      <c r="G17" s="595" t="s">
        <v>831</v>
      </c>
    </row>
    <row r="18" spans="1:7" s="590" customFormat="1" ht="13.5" hidden="1" customHeight="1">
      <c r="A18" s="603" t="s">
        <v>49</v>
      </c>
      <c r="B18" s="591" t="s">
        <v>833</v>
      </c>
      <c r="C18" s="596">
        <v>0</v>
      </c>
      <c r="D18" s="1908"/>
      <c r="E18" s="594"/>
      <c r="F18" s="597">
        <v>3.0499999999999999E-2</v>
      </c>
      <c r="G18" s="595" t="s">
        <v>834</v>
      </c>
    </row>
    <row r="19" spans="1:7" s="599" customFormat="1" ht="13.5" customHeight="1">
      <c r="A19" s="1800" t="s">
        <v>2505</v>
      </c>
      <c r="B19" s="586" t="s">
        <v>842</v>
      </c>
      <c r="C19" s="587">
        <f>IF(G19="已包含在土地取得成本中","0",ROUND(D19*E19/10000,0))</f>
        <v>1339</v>
      </c>
      <c r="D19" s="1910">
        <f>'数据-汇总表'!E3</f>
        <v>66965.320000000065</v>
      </c>
      <c r="E19" s="587">
        <f>'数据-取费表'!B31</f>
        <v>200</v>
      </c>
      <c r="F19" s="607"/>
      <c r="G19" s="84" t="s">
        <v>2527</v>
      </c>
    </row>
    <row r="20" spans="1:7" s="590" customFormat="1" ht="13.5" customHeight="1">
      <c r="A20" s="1800" t="s">
        <v>2507</v>
      </c>
      <c r="B20" s="586" t="s">
        <v>835</v>
      </c>
      <c r="C20" s="608">
        <f>ROUND((C5+C19)*F20,0)</f>
        <v>439</v>
      </c>
      <c r="D20" s="608"/>
      <c r="E20" s="608"/>
      <c r="F20" s="609">
        <f>'数据-取费表'!B37</f>
        <v>0.02</v>
      </c>
      <c r="G20" s="2617" t="s">
        <v>2518</v>
      </c>
    </row>
    <row r="21" spans="1:7" s="590" customFormat="1" ht="13.5" customHeight="1">
      <c r="A21" s="1800" t="s">
        <v>2509</v>
      </c>
      <c r="B21" s="586" t="s">
        <v>836</v>
      </c>
      <c r="C21" s="611">
        <f>F21</f>
        <v>0.02</v>
      </c>
      <c r="D21" s="612" t="s">
        <v>857</v>
      </c>
      <c r="E21" s="608"/>
      <c r="F21" s="609">
        <f>'数据-取费表'!B38</f>
        <v>0.02</v>
      </c>
      <c r="G21" s="610" t="s">
        <v>837</v>
      </c>
    </row>
    <row r="22" spans="1:7" s="590" customFormat="1" ht="13.5" customHeight="1">
      <c r="A22" s="1800" t="s">
        <v>1910</v>
      </c>
      <c r="B22" s="586" t="s">
        <v>838</v>
      </c>
      <c r="C22" s="2696">
        <f ca="1">ROUND(SUM(C23:C25),0)</f>
        <v>2155</v>
      </c>
      <c r="D22" s="611">
        <f ca="1">C26</f>
        <v>1E-3</v>
      </c>
      <c r="E22" s="612" t="s">
        <v>857</v>
      </c>
      <c r="F22" s="613">
        <f ca="1">'数据-取费表'!B40</f>
        <v>4.7500000000000001E-2</v>
      </c>
      <c r="G22" s="2617" t="str">
        <f>IF('数据-取费表'!B22&lt;=1,"单利计息","复利计息")</f>
        <v>复利计息</v>
      </c>
    </row>
    <row r="23" spans="1:7" s="590" customFormat="1" ht="13.5" customHeight="1">
      <c r="A23" s="1803" t="s">
        <v>1918</v>
      </c>
      <c r="B23" s="591" t="s">
        <v>2511</v>
      </c>
      <c r="C23" s="2697">
        <f ca="1">ROUND(IF('数据-取费表'!B22&lt;=1,C5*F22*'数据-取费表'!B23,C5*(POWER((1+F22),'数据-取费表'!B23)-1)),0)</f>
        <v>2004</v>
      </c>
      <c r="D23" s="614"/>
      <c r="E23" s="614"/>
      <c r="F23" s="615"/>
      <c r="G23" s="616" t="s">
        <v>839</v>
      </c>
    </row>
    <row r="24" spans="1:7" s="590" customFormat="1" ht="13.5" customHeight="1">
      <c r="A24" s="1803" t="s">
        <v>1916</v>
      </c>
      <c r="B24" s="591" t="s">
        <v>2506</v>
      </c>
      <c r="C24" s="2697">
        <f ca="1">ROUND(IF('数据-取费表'!B22&lt;=1,C19*F22*('数据-取费表'!B19/2+'数据-取费表'!B21),C19*(POWER((1+F22),('数据-取费表'!B19/2+'数据-取费表'!B21))-1)),0)</f>
        <v>130</v>
      </c>
      <c r="D24" s="614"/>
      <c r="E24" s="614"/>
      <c r="F24" s="615"/>
      <c r="G24" s="616" t="s">
        <v>840</v>
      </c>
    </row>
    <row r="25" spans="1:7" s="590" customFormat="1" ht="24">
      <c r="A25" s="1803" t="s">
        <v>1917</v>
      </c>
      <c r="B25" s="591" t="s">
        <v>2508</v>
      </c>
      <c r="C25" s="2697">
        <f ca="1">ROUND(IF('数据-取费表'!B22&lt;=1,C20*F22*'数据-取费表'!B23/2,C20*(POWER((1+F22),'数据-取费表'!B23/2)-1)),0)</f>
        <v>21</v>
      </c>
      <c r="D25" s="614"/>
      <c r="E25" s="617"/>
      <c r="F25" s="615"/>
      <c r="G25" s="618" t="s">
        <v>841</v>
      </c>
    </row>
    <row r="26" spans="1:7" s="590" customFormat="1">
      <c r="A26" s="1803" t="s">
        <v>1919</v>
      </c>
      <c r="B26" s="591" t="s">
        <v>2510</v>
      </c>
      <c r="C26" s="614">
        <f ca="1">ROUND(IF('数据-取费表'!B22&lt;=1,F21*F22*'数据-取费表'!B23/2,F21*(POWER((1+F22),'数据-取费表'!B23/2)-1)),4)</f>
        <v>1E-3</v>
      </c>
      <c r="D26" s="614"/>
      <c r="E26" s="617"/>
      <c r="F26" s="615"/>
      <c r="G26" s="619"/>
    </row>
    <row r="27" spans="1:7" s="590" customFormat="1" ht="24.75">
      <c r="A27" s="1800" t="s">
        <v>1911</v>
      </c>
      <c r="B27" s="620" t="s">
        <v>843</v>
      </c>
      <c r="C27" s="621">
        <f>C28</f>
        <v>3582</v>
      </c>
      <c r="D27" s="611">
        <f>C29</f>
        <v>3.2000000000000002E-3</v>
      </c>
      <c r="E27" s="612" t="s">
        <v>857</v>
      </c>
      <c r="F27" s="622">
        <f>'数据-取费表'!Q16</f>
        <v>0.16</v>
      </c>
      <c r="G27" s="623" t="s">
        <v>2519</v>
      </c>
    </row>
    <row r="28" spans="1:7" s="590" customFormat="1" ht="13.5" customHeight="1">
      <c r="A28" s="1803" t="s">
        <v>1918</v>
      </c>
      <c r="B28" s="624" t="s">
        <v>2512</v>
      </c>
      <c r="C28" s="625">
        <f>ROUND((C5+C19+C20)*F27*'数据-取费表'!B21/'数据-取费表'!B20,0)</f>
        <v>3582</v>
      </c>
      <c r="D28" s="611"/>
      <c r="E28" s="612"/>
      <c r="F28" s="622"/>
      <c r="G28" s="623"/>
    </row>
    <row r="29" spans="1:7" s="590" customFormat="1" ht="13.5" customHeight="1">
      <c r="A29" s="1803" t="s">
        <v>1916</v>
      </c>
      <c r="B29" s="624" t="s">
        <v>2513</v>
      </c>
      <c r="C29" s="614">
        <f>ROUND(C21*F27*'数据-取费表'!B21/'数据-取费表'!B20,4)</f>
        <v>3.2000000000000002E-3</v>
      </c>
      <c r="D29" s="611"/>
      <c r="E29" s="612"/>
      <c r="F29" s="622"/>
      <c r="G29" s="623"/>
    </row>
    <row r="30" spans="1:7" s="590" customFormat="1" ht="13.5" customHeight="1">
      <c r="A30" s="1800" t="s">
        <v>1912</v>
      </c>
      <c r="B30" s="586" t="s">
        <v>344</v>
      </c>
      <c r="C30" s="611">
        <f>F30</f>
        <v>5.6000000000000001E-2</v>
      </c>
      <c r="D30" s="612" t="s">
        <v>858</v>
      </c>
      <c r="E30" s="617"/>
      <c r="F30" s="613">
        <f>'数据-取费表'!B41</f>
        <v>5.6000000000000001E-2</v>
      </c>
      <c r="G30" s="610" t="s">
        <v>844</v>
      </c>
    </row>
    <row r="31" spans="1:7" ht="16.5" customHeight="1">
      <c r="A31" s="585">
        <v>1</v>
      </c>
      <c r="B31" s="586" t="s">
        <v>859</v>
      </c>
      <c r="C31" s="587">
        <f ca="1">ROUND((C5+C19+C20+C22+C27)/(1-C21-D22-D27-C30/(1+'数据-取费表'!B42)),0)</f>
        <v>30489</v>
      </c>
      <c r="D31" s="606"/>
      <c r="E31" s="587"/>
      <c r="F31" s="626"/>
      <c r="G31" s="610" t="s">
        <v>2520</v>
      </c>
    </row>
    <row r="32" spans="1:7" s="584" customFormat="1" ht="15.75">
      <c r="A32" s="628" t="s">
        <v>845</v>
      </c>
      <c r="B32" s="629"/>
      <c r="C32" s="629"/>
      <c r="D32" s="629"/>
      <c r="E32" s="629"/>
      <c r="F32" s="629"/>
      <c r="G32" s="630"/>
    </row>
    <row r="33" spans="1:7" s="590" customFormat="1" ht="13.5" customHeight="1">
      <c r="A33" s="631" t="s">
        <v>1906</v>
      </c>
      <c r="B33" s="586" t="s">
        <v>846</v>
      </c>
      <c r="C33" s="632">
        <f>SUM(C34:C38)</f>
        <v>22332</v>
      </c>
      <c r="D33" s="608"/>
      <c r="E33" s="588"/>
      <c r="F33" s="617"/>
      <c r="G33" s="610"/>
    </row>
    <row r="34" spans="1:7" s="634" customFormat="1" ht="13.5" customHeight="1">
      <c r="A34" s="1803" t="s">
        <v>1918</v>
      </c>
      <c r="B34" s="591" t="s">
        <v>345</v>
      </c>
      <c r="C34" s="596">
        <f>IF(F34=100%,'数据-取费表'!M16-SUMIF('数据-取费表'!C:C,"公共配套",'数据-取费表'!M:M),'数据-取费表'!O16-SUMIF('数据-取费表'!C:C,"公共配套",'数据-取费表'!O:O))</f>
        <v>20089</v>
      </c>
      <c r="D34" s="593"/>
      <c r="E34" s="596"/>
      <c r="F34" s="633">
        <f>IF('数据-取费表'!B24=0,1,'数据-取费表'!N16)</f>
        <v>1</v>
      </c>
      <c r="G34" s="595" t="s">
        <v>847</v>
      </c>
    </row>
    <row r="35" spans="1:7" ht="13.5" customHeight="1">
      <c r="A35" s="1803" t="s">
        <v>1920</v>
      </c>
      <c r="B35" s="591" t="s">
        <v>346</v>
      </c>
      <c r="C35" s="596">
        <f>ROUND(C34*F35,0)</f>
        <v>603</v>
      </c>
      <c r="D35" s="596"/>
      <c r="E35" s="596"/>
      <c r="F35" s="635">
        <f>'数据-取费表'!B33</f>
        <v>0.03</v>
      </c>
      <c r="G35" s="595" t="s">
        <v>848</v>
      </c>
    </row>
    <row r="36" spans="1:7" ht="24">
      <c r="A36" s="1803" t="s">
        <v>1921</v>
      </c>
      <c r="B36" s="591" t="s">
        <v>347</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348</v>
      </c>
    </row>
    <row r="37" spans="1:7" s="634" customFormat="1" ht="13.5" customHeight="1">
      <c r="A37" s="1803" t="s">
        <v>1922</v>
      </c>
      <c r="B37" s="591" t="s">
        <v>849</v>
      </c>
      <c r="C37" s="625">
        <f>ROUND(E37*D37*F34/10000,0)</f>
        <v>1339</v>
      </c>
      <c r="D37" s="593">
        <f>'数据-汇总表'!E3</f>
        <v>66965.320000000065</v>
      </c>
      <c r="E37" s="625">
        <f>'数据-取费表'!B35</f>
        <v>200</v>
      </c>
      <c r="F37" s="635"/>
      <c r="G37" s="637" t="s">
        <v>850</v>
      </c>
    </row>
    <row r="38" spans="1:7" ht="13.5" customHeight="1">
      <c r="A38" s="1803" t="s">
        <v>1923</v>
      </c>
      <c r="B38" s="591" t="s">
        <v>349</v>
      </c>
      <c r="C38" s="596">
        <f>ROUND(C34*F38,0)</f>
        <v>301</v>
      </c>
      <c r="D38" s="596"/>
      <c r="E38" s="596"/>
      <c r="F38" s="635">
        <f>'数据-取费表'!B36</f>
        <v>1.4999999999999999E-2</v>
      </c>
      <c r="G38" s="595" t="s">
        <v>848</v>
      </c>
    </row>
    <row r="39" spans="1:7" s="590" customFormat="1" ht="13.5" customHeight="1">
      <c r="A39" s="1800" t="s">
        <v>1907</v>
      </c>
      <c r="B39" s="586" t="s">
        <v>835</v>
      </c>
      <c r="C39" s="608">
        <f>ROUND(C33*F20,0)</f>
        <v>447</v>
      </c>
      <c r="D39" s="608"/>
      <c r="E39" s="608"/>
      <c r="F39" s="609"/>
      <c r="G39" s="2617" t="s">
        <v>2521</v>
      </c>
    </row>
    <row r="40" spans="1:7" s="590" customFormat="1" ht="13.5" customHeight="1">
      <c r="A40" s="1800" t="s">
        <v>1908</v>
      </c>
      <c r="B40" s="586" t="s">
        <v>836</v>
      </c>
      <c r="C40" s="638">
        <f>F21</f>
        <v>0.02</v>
      </c>
      <c r="D40" s="612" t="s">
        <v>860</v>
      </c>
      <c r="E40" s="608"/>
      <c r="F40" s="609"/>
      <c r="G40" s="610" t="s">
        <v>851</v>
      </c>
    </row>
    <row r="41" spans="1:7" s="590" customFormat="1" ht="13.5" customHeight="1">
      <c r="A41" s="1800" t="s">
        <v>1909</v>
      </c>
      <c r="B41" s="586" t="s">
        <v>838</v>
      </c>
      <c r="C41" s="608">
        <f ca="1">ROUND(SUM(C42:C43),0)</f>
        <v>1082</v>
      </c>
      <c r="D41" s="611">
        <f ca="1">C44</f>
        <v>1E-3</v>
      </c>
      <c r="E41" s="612" t="s">
        <v>860</v>
      </c>
      <c r="F41" s="613"/>
      <c r="G41" s="2617" t="str">
        <f>IF('数据-取费表'!B22&lt;=1,"单利计息","复利计息")</f>
        <v>复利计息</v>
      </c>
    </row>
    <row r="42" spans="1:7" ht="13.5" customHeight="1">
      <c r="A42" s="1803" t="s">
        <v>1918</v>
      </c>
      <c r="B42" s="591" t="s">
        <v>2511</v>
      </c>
      <c r="C42" s="614">
        <f ca="1">ROUND(IF('数据-取费表'!B22&lt;=1,C33*F22*'数据-取费表'!B21/2,C33*(POWER((1+F22),'数据-取费表'!B21/2)-1)),0)</f>
        <v>1061</v>
      </c>
      <c r="D42" s="614"/>
      <c r="E42" s="614"/>
      <c r="F42" s="615"/>
      <c r="G42" s="3563" t="s">
        <v>852</v>
      </c>
    </row>
    <row r="43" spans="1:7" ht="13.5" customHeight="1">
      <c r="A43" s="1803" t="s">
        <v>1916</v>
      </c>
      <c r="B43" s="591" t="s">
        <v>2514</v>
      </c>
      <c r="C43" s="614">
        <f ca="1">ROUND(IF('数据-取费表'!B22&lt;=1,C39*F22*'数据-取费表'!B21/2,C39*(POWER((1+F22),'数据-取费表'!B21/2)-1)),0)</f>
        <v>21</v>
      </c>
      <c r="D43" s="614"/>
      <c r="E43" s="614"/>
      <c r="F43" s="615"/>
      <c r="G43" s="3564"/>
    </row>
    <row r="44" spans="1:7" ht="13.5" customHeight="1">
      <c r="A44" s="1803" t="s">
        <v>1917</v>
      </c>
      <c r="B44" s="591" t="s">
        <v>2516</v>
      </c>
      <c r="C44" s="614">
        <f ca="1">ROUND(IF('数据-取费表'!B22&lt;=1,C40*F22*'数据-取费表'!B21/2,C40*(POWER((1+F22),'数据-取费表'!B21/2)-1)),4)</f>
        <v>1E-3</v>
      </c>
      <c r="D44" s="614"/>
      <c r="E44" s="614"/>
      <c r="F44" s="615"/>
      <c r="G44" s="3565"/>
    </row>
    <row r="45" spans="1:7" s="590" customFormat="1" ht="13.5" customHeight="1">
      <c r="A45" s="1800" t="s">
        <v>1910</v>
      </c>
      <c r="B45" s="620" t="s">
        <v>843</v>
      </c>
      <c r="C45" s="621">
        <f>C46</f>
        <v>3645</v>
      </c>
      <c r="D45" s="611">
        <f>C47</f>
        <v>3.2000000000000002E-3</v>
      </c>
      <c r="E45" s="612" t="s">
        <v>860</v>
      </c>
      <c r="F45" s="622"/>
      <c r="G45" s="623" t="s">
        <v>2522</v>
      </c>
    </row>
    <row r="46" spans="1:7" s="590" customFormat="1" ht="13.5" customHeight="1">
      <c r="A46" s="1803" t="s">
        <v>1918</v>
      </c>
      <c r="B46" s="624" t="s">
        <v>2515</v>
      </c>
      <c r="C46" s="625">
        <f>ROUND((C33+C39)*F27,0)</f>
        <v>3645</v>
      </c>
      <c r="D46" s="639"/>
      <c r="E46" s="612"/>
      <c r="F46" s="622"/>
      <c r="G46" s="623"/>
    </row>
    <row r="47" spans="1:7" s="590" customFormat="1" ht="13.5" customHeight="1">
      <c r="A47" s="1803" t="s">
        <v>1916</v>
      </c>
      <c r="B47" s="624" t="s">
        <v>2517</v>
      </c>
      <c r="C47" s="614">
        <f>ROUND(C40*F27,4)</f>
        <v>3.2000000000000002E-3</v>
      </c>
      <c r="D47" s="639"/>
      <c r="E47" s="612"/>
      <c r="F47" s="622"/>
      <c r="G47" s="623"/>
    </row>
    <row r="48" spans="1:7" s="590" customFormat="1" ht="13.5" customHeight="1">
      <c r="A48" s="1800" t="s">
        <v>1911</v>
      </c>
      <c r="B48" s="586" t="s">
        <v>853</v>
      </c>
      <c r="C48" s="638">
        <f>F30</f>
        <v>5.6000000000000001E-2</v>
      </c>
      <c r="D48" s="612" t="s">
        <v>861</v>
      </c>
      <c r="E48" s="608"/>
      <c r="F48" s="613"/>
      <c r="G48" s="610" t="s">
        <v>854</v>
      </c>
    </row>
    <row r="49" spans="1:7" ht="16.5" customHeight="1">
      <c r="A49" s="1800" t="s">
        <v>1912</v>
      </c>
      <c r="B49" s="586" t="s">
        <v>862</v>
      </c>
      <c r="C49" s="608">
        <f ca="1">ROUND((C33+C39+C41+C45)/(1-C40-D41-D45-C48/(1+'数据-取费表'!B42)),0)</f>
        <v>29818</v>
      </c>
      <c r="D49" s="608"/>
      <c r="E49" s="608"/>
      <c r="F49" s="640"/>
      <c r="G49" s="610" t="s">
        <v>2523</v>
      </c>
    </row>
    <row r="50" spans="1:7" s="634" customFormat="1" ht="24">
      <c r="A50" s="1800" t="s">
        <v>1913</v>
      </c>
      <c r="B50" s="586" t="s">
        <v>855</v>
      </c>
      <c r="C50" s="608"/>
      <c r="D50" s="608"/>
      <c r="E50" s="608"/>
      <c r="F50" s="640">
        <f>IF('数据-取费表'!B24=0,'数据-取费表'!N16,1)</f>
        <v>0.98</v>
      </c>
      <c r="G50" s="623" t="s">
        <v>856</v>
      </c>
    </row>
    <row r="51" spans="1:7" ht="16.5" customHeight="1">
      <c r="A51" s="1800" t="s">
        <v>1914</v>
      </c>
      <c r="B51" s="586" t="s">
        <v>863</v>
      </c>
      <c r="C51" s="608">
        <f ca="1">ROUND(C49*F50,0)</f>
        <v>29222</v>
      </c>
      <c r="D51" s="608"/>
      <c r="E51" s="608"/>
      <c r="F51" s="640"/>
      <c r="G51" s="610" t="s">
        <v>350</v>
      </c>
    </row>
    <row r="52" spans="1:7" s="584" customFormat="1" ht="16.5" thickBot="1">
      <c r="A52" s="641" t="s">
        <v>351</v>
      </c>
      <c r="B52" s="642"/>
      <c r="C52" s="643">
        <f ca="1">C31+C51</f>
        <v>59711</v>
      </c>
      <c r="D52" s="642"/>
      <c r="E52" s="642"/>
      <c r="F52" s="642"/>
      <c r="G52" s="644"/>
    </row>
    <row r="55" spans="1:7" ht="15">
      <c r="B55" s="646" t="s">
        <v>352</v>
      </c>
      <c r="C55" s="647"/>
    </row>
    <row r="56" spans="1:7">
      <c r="B56" s="649" t="s">
        <v>353</v>
      </c>
      <c r="C56" s="650">
        <f ca="1">ROUND(C51/C52,3)</f>
        <v>0.48899999999999999</v>
      </c>
    </row>
    <row r="57" spans="1:7">
      <c r="B57" s="649" t="s">
        <v>354</v>
      </c>
      <c r="C57" s="651">
        <f ca="1">1-C56</f>
        <v>0.51100000000000001</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742" t="s">
        <v>1164</v>
      </c>
      <c r="B1" s="3742"/>
      <c r="C1" s="3742"/>
      <c r="D1" s="3742"/>
      <c r="E1" s="3742"/>
      <c r="F1" s="3742"/>
      <c r="H1" s="1517" t="s">
        <v>1165</v>
      </c>
      <c r="I1" s="1518" t="s">
        <v>1166</v>
      </c>
      <c r="J1" s="1518" t="s">
        <v>1167</v>
      </c>
      <c r="K1" s="1518" t="s">
        <v>1168</v>
      </c>
      <c r="L1" s="1518" t="s">
        <v>1169</v>
      </c>
      <c r="M1" s="1518" t="s">
        <v>1170</v>
      </c>
      <c r="N1" s="1518" t="s">
        <v>1171</v>
      </c>
      <c r="O1" s="1518" t="s">
        <v>1172</v>
      </c>
      <c r="P1" s="1518" t="s">
        <v>1173</v>
      </c>
      <c r="Q1" s="1518" t="s">
        <v>1174</v>
      </c>
      <c r="R1" s="1518" t="s">
        <v>1175</v>
      </c>
      <c r="S1" s="1519" t="s">
        <v>1176</v>
      </c>
    </row>
    <row r="2" spans="1:19" ht="14.25" thickBot="1">
      <c r="A2" s="3743" t="s">
        <v>1177</v>
      </c>
      <c r="B2" s="3743"/>
      <c r="C2" s="3743"/>
      <c r="D2" s="3743"/>
      <c r="E2" s="3743"/>
      <c r="F2" s="3743"/>
      <c r="H2" s="1520" t="s">
        <v>1178</v>
      </c>
      <c r="I2" s="1521" t="s">
        <v>1179</v>
      </c>
      <c r="J2" s="1521" t="s">
        <v>1180</v>
      </c>
      <c r="K2" s="1521" t="s">
        <v>1181</v>
      </c>
      <c r="L2" s="1521" t="s">
        <v>1182</v>
      </c>
      <c r="M2" s="1521" t="s">
        <v>1183</v>
      </c>
      <c r="N2" s="1521" t="s">
        <v>1184</v>
      </c>
      <c r="O2" s="1521" t="s">
        <v>1185</v>
      </c>
      <c r="P2" s="1521" t="s">
        <v>1186</v>
      </c>
      <c r="Q2" s="1521" t="s">
        <v>1187</v>
      </c>
      <c r="R2" s="1521" t="s">
        <v>1188</v>
      </c>
      <c r="S2" s="1521" t="s">
        <v>1189</v>
      </c>
    </row>
    <row r="3" spans="1:19" s="1516" customFormat="1" ht="19.5" customHeight="1">
      <c r="A3" s="3744" t="s">
        <v>1190</v>
      </c>
      <c r="B3" s="1522"/>
      <c r="C3" s="1523" t="s">
        <v>1191</v>
      </c>
      <c r="D3" s="1523" t="s">
        <v>1192</v>
      </c>
      <c r="E3" s="1523" t="s">
        <v>1839</v>
      </c>
      <c r="F3" s="1523" t="s">
        <v>1194</v>
      </c>
      <c r="G3" s="1524"/>
      <c r="H3" s="1520" t="s">
        <v>1195</v>
      </c>
      <c r="I3" s="1521" t="s">
        <v>1196</v>
      </c>
      <c r="J3" s="1521" t="s">
        <v>1197</v>
      </c>
      <c r="K3" s="1521" t="s">
        <v>1198</v>
      </c>
      <c r="L3" s="1521" t="s">
        <v>1199</v>
      </c>
      <c r="M3" s="1521" t="s">
        <v>1200</v>
      </c>
      <c r="N3" s="1521" t="s">
        <v>1201</v>
      </c>
      <c r="O3" s="1521" t="s">
        <v>1202</v>
      </c>
      <c r="P3" s="1521" t="s">
        <v>1203</v>
      </c>
      <c r="Q3" s="1521" t="s">
        <v>1204</v>
      </c>
      <c r="R3" s="1521" t="s">
        <v>1205</v>
      </c>
      <c r="S3" s="1521" t="s">
        <v>1206</v>
      </c>
    </row>
    <row r="4" spans="1:19" s="1516" customFormat="1" ht="19.5" customHeight="1" thickBot="1">
      <c r="A4" s="3745"/>
      <c r="B4" s="1525" t="s">
        <v>1207</v>
      </c>
      <c r="C4" s="1525" t="s">
        <v>1208</v>
      </c>
      <c r="D4" s="1525" t="s">
        <v>1208</v>
      </c>
      <c r="E4" s="1525" t="s">
        <v>1208</v>
      </c>
      <c r="F4" s="1526" t="s">
        <v>1208</v>
      </c>
      <c r="G4" s="1524"/>
      <c r="H4" s="1520" t="s">
        <v>1209</v>
      </c>
      <c r="I4" s="1521" t="s">
        <v>1132</v>
      </c>
      <c r="J4" s="1521" t="s">
        <v>1210</v>
      </c>
      <c r="K4" s="1521" t="s">
        <v>1211</v>
      </c>
      <c r="L4" s="1521" t="s">
        <v>1212</v>
      </c>
      <c r="M4" s="1521" t="s">
        <v>1213</v>
      </c>
      <c r="N4" s="1521" t="s">
        <v>1214</v>
      </c>
      <c r="O4" s="1521" t="s">
        <v>1215</v>
      </c>
      <c r="P4" s="1521" t="s">
        <v>1216</v>
      </c>
      <c r="Q4" s="1521" t="s">
        <v>1217</v>
      </c>
      <c r="R4" s="1521" t="s">
        <v>1218</v>
      </c>
      <c r="S4" s="1521" t="s">
        <v>1219</v>
      </c>
    </row>
    <row r="5" spans="1:19" ht="14.25" customHeight="1" thickBot="1">
      <c r="A5" s="1527" t="s">
        <v>1946</v>
      </c>
      <c r="B5" s="1528" t="s">
        <v>1947</v>
      </c>
      <c r="C5" s="1528">
        <v>29530</v>
      </c>
      <c r="D5" s="1528">
        <v>28130</v>
      </c>
      <c r="E5" s="1528">
        <v>27930</v>
      </c>
      <c r="F5" s="1529">
        <v>11300</v>
      </c>
      <c r="G5" s="1524"/>
      <c r="H5" s="1520" t="s">
        <v>1221</v>
      </c>
      <c r="I5" s="1521" t="s">
        <v>1222</v>
      </c>
      <c r="J5" s="1521" t="s">
        <v>1223</v>
      </c>
      <c r="K5" s="1521" t="s">
        <v>1224</v>
      </c>
      <c r="L5" s="1521" t="s">
        <v>1225</v>
      </c>
      <c r="M5" s="1521" t="s">
        <v>1226</v>
      </c>
      <c r="N5" s="1521" t="s">
        <v>1227</v>
      </c>
      <c r="O5" s="1521" t="s">
        <v>1228</v>
      </c>
      <c r="P5" s="1521" t="s">
        <v>1229</v>
      </c>
      <c r="Q5" s="1521" t="s">
        <v>1230</v>
      </c>
      <c r="R5" s="1521" t="s">
        <v>1231</v>
      </c>
      <c r="S5" s="1521" t="s">
        <v>1232</v>
      </c>
    </row>
    <row r="6" spans="1:19" ht="14.25" customHeight="1" thickBot="1">
      <c r="A6" s="1527" t="s">
        <v>1220</v>
      </c>
      <c r="B6" s="1521" t="s">
        <v>1195</v>
      </c>
      <c r="C6" s="1521">
        <v>30290</v>
      </c>
      <c r="D6" s="1521">
        <v>29210</v>
      </c>
      <c r="E6" s="1521">
        <v>28860</v>
      </c>
      <c r="F6" s="1530">
        <v>12600</v>
      </c>
      <c r="G6" s="1524"/>
      <c r="H6" s="1520" t="s">
        <v>1233</v>
      </c>
      <c r="I6" s="1521" t="s">
        <v>1234</v>
      </c>
      <c r="J6" s="1521" t="s">
        <v>1235</v>
      </c>
      <c r="K6" s="1521" t="s">
        <v>1236</v>
      </c>
      <c r="L6" s="1521" t="s">
        <v>1237</v>
      </c>
      <c r="M6" s="1521" t="s">
        <v>1238</v>
      </c>
      <c r="N6" s="1521" t="s">
        <v>1239</v>
      </c>
      <c r="O6" s="1521" t="s">
        <v>1240</v>
      </c>
      <c r="P6" s="1521" t="s">
        <v>1241</v>
      </c>
      <c r="Q6" s="1521" t="s">
        <v>1242</v>
      </c>
      <c r="R6" s="1521" t="s">
        <v>1243</v>
      </c>
      <c r="S6" s="1521" t="s">
        <v>1244</v>
      </c>
    </row>
    <row r="7" spans="1:19" ht="14.25" customHeight="1" thickBot="1">
      <c r="A7" s="1527" t="s">
        <v>1220</v>
      </c>
      <c r="B7" s="1531" t="s">
        <v>1209</v>
      </c>
      <c r="C7" s="1521">
        <v>29350</v>
      </c>
      <c r="D7" s="1521">
        <v>28410</v>
      </c>
      <c r="E7" s="1521">
        <v>27990</v>
      </c>
      <c r="F7" s="1530">
        <v>12300</v>
      </c>
      <c r="G7" s="1524"/>
      <c r="I7" s="1521" t="s">
        <v>1245</v>
      </c>
      <c r="J7" s="1521" t="s">
        <v>1246</v>
      </c>
      <c r="K7" s="1521" t="s">
        <v>1247</v>
      </c>
      <c r="L7" s="1521" t="s">
        <v>1248</v>
      </c>
      <c r="M7" s="1521" t="s">
        <v>1249</v>
      </c>
      <c r="N7" s="1521" t="s">
        <v>1250</v>
      </c>
      <c r="O7" s="1521" t="s">
        <v>1251</v>
      </c>
      <c r="P7" s="1521" t="s">
        <v>1252</v>
      </c>
      <c r="Q7" s="1521" t="s">
        <v>1253</v>
      </c>
      <c r="R7" s="1521" t="s">
        <v>1254</v>
      </c>
      <c r="S7" s="1531" t="s">
        <v>1255</v>
      </c>
    </row>
    <row r="8" spans="1:19" ht="14.25" customHeight="1" thickBot="1">
      <c r="A8" s="1527" t="s">
        <v>1220</v>
      </c>
      <c r="B8" s="1521" t="s">
        <v>1221</v>
      </c>
      <c r="C8" s="1521">
        <v>30890</v>
      </c>
      <c r="D8" s="1521">
        <v>29780</v>
      </c>
      <c r="E8" s="1521">
        <v>29270</v>
      </c>
      <c r="F8" s="1530">
        <v>11600</v>
      </c>
      <c r="G8" s="1524"/>
      <c r="I8" s="1521" t="s">
        <v>1256</v>
      </c>
      <c r="J8" s="1521" t="s">
        <v>1257</v>
      </c>
      <c r="K8" s="1521" t="s">
        <v>1258</v>
      </c>
      <c r="L8" s="1521" t="s">
        <v>1259</v>
      </c>
      <c r="M8" s="1521" t="s">
        <v>1260</v>
      </c>
      <c r="N8" s="1521" t="s">
        <v>1261</v>
      </c>
      <c r="O8" s="1521" t="s">
        <v>1262</v>
      </c>
      <c r="P8" s="1521" t="s">
        <v>1263</v>
      </c>
      <c r="Q8" s="1521" t="s">
        <v>1264</v>
      </c>
      <c r="R8" s="1521" t="s">
        <v>1265</v>
      </c>
      <c r="S8" s="1521" t="s">
        <v>1266</v>
      </c>
    </row>
    <row r="9" spans="1:19" ht="14.25" customHeight="1" thickBot="1">
      <c r="A9" s="1527" t="s">
        <v>1220</v>
      </c>
      <c r="B9" s="1532" t="s">
        <v>1233</v>
      </c>
      <c r="C9" s="1533">
        <v>28140</v>
      </c>
      <c r="D9" s="1533"/>
      <c r="E9" s="1533"/>
      <c r="F9" s="1534"/>
      <c r="G9" s="1524"/>
      <c r="I9" s="1521" t="s">
        <v>1267</v>
      </c>
      <c r="J9" s="1521" t="s">
        <v>1268</v>
      </c>
      <c r="K9" s="1521" t="s">
        <v>1269</v>
      </c>
      <c r="L9" s="1521" t="s">
        <v>1270</v>
      </c>
      <c r="M9" s="1521" t="s">
        <v>1271</v>
      </c>
      <c r="N9" s="1521" t="s">
        <v>1272</v>
      </c>
      <c r="O9" s="1521" t="s">
        <v>1273</v>
      </c>
      <c r="P9" s="1521" t="s">
        <v>1274</v>
      </c>
      <c r="Q9" s="1521" t="s">
        <v>1275</v>
      </c>
      <c r="R9" s="1521" t="s">
        <v>1276</v>
      </c>
    </row>
    <row r="10" spans="1:19" ht="14.25" customHeight="1" thickBot="1">
      <c r="A10" s="1527" t="s">
        <v>1277</v>
      </c>
      <c r="B10" s="1528" t="s">
        <v>1278</v>
      </c>
      <c r="C10" s="1528">
        <v>27450</v>
      </c>
      <c r="D10" s="1528">
        <v>26180</v>
      </c>
      <c r="E10" s="1528">
        <v>25980</v>
      </c>
      <c r="F10" s="1529">
        <v>8910</v>
      </c>
      <c r="G10" s="1524"/>
      <c r="I10" s="1521" t="s">
        <v>1279</v>
      </c>
      <c r="J10" s="1521" t="s">
        <v>1280</v>
      </c>
      <c r="K10" s="1521" t="s">
        <v>1281</v>
      </c>
      <c r="L10" s="1521" t="s">
        <v>1282</v>
      </c>
      <c r="M10" s="1521" t="s">
        <v>1283</v>
      </c>
      <c r="N10" s="1521" t="s">
        <v>1284</v>
      </c>
      <c r="O10" s="1521" t="s">
        <v>1285</v>
      </c>
      <c r="P10" s="1521" t="s">
        <v>1286</v>
      </c>
      <c r="Q10" s="1521" t="s">
        <v>1287</v>
      </c>
      <c r="R10" s="1521" t="s">
        <v>1288</v>
      </c>
    </row>
    <row r="11" spans="1:19" ht="14.25" customHeight="1" thickBot="1">
      <c r="A11" s="1527" t="s">
        <v>1277</v>
      </c>
      <c r="B11" s="1531" t="s">
        <v>1196</v>
      </c>
      <c r="C11" s="1521">
        <v>22950</v>
      </c>
      <c r="D11" s="1521">
        <v>22630</v>
      </c>
      <c r="E11" s="1521">
        <v>22030</v>
      </c>
      <c r="F11" s="1535">
        <v>8330</v>
      </c>
      <c r="G11" s="1524"/>
      <c r="I11" s="1521" t="s">
        <v>1289</v>
      </c>
      <c r="J11" s="1521" t="s">
        <v>1290</v>
      </c>
      <c r="K11" s="1521" t="s">
        <v>1291</v>
      </c>
      <c r="L11" s="1521" t="s">
        <v>1292</v>
      </c>
      <c r="M11" s="1521" t="s">
        <v>1293</v>
      </c>
      <c r="N11" s="1521" t="s">
        <v>1294</v>
      </c>
      <c r="O11" s="1521" t="s">
        <v>1295</v>
      </c>
      <c r="P11" s="1521" t="s">
        <v>1296</v>
      </c>
      <c r="Q11" s="1521" t="s">
        <v>1297</v>
      </c>
      <c r="R11" s="1521" t="s">
        <v>1298</v>
      </c>
    </row>
    <row r="12" spans="1:19" ht="14.25" customHeight="1" thickBot="1">
      <c r="A12" s="1527" t="s">
        <v>1277</v>
      </c>
      <c r="B12" s="1531" t="s">
        <v>1132</v>
      </c>
      <c r="C12" s="1521">
        <v>24940</v>
      </c>
      <c r="D12" s="1521">
        <v>23180</v>
      </c>
      <c r="E12" s="1521">
        <v>22910</v>
      </c>
      <c r="F12" s="1535">
        <v>7180</v>
      </c>
      <c r="G12" s="1524"/>
      <c r="I12" s="1521" t="s">
        <v>1299</v>
      </c>
      <c r="J12" s="1521" t="s">
        <v>1300</v>
      </c>
      <c r="K12" s="1521" t="s">
        <v>1301</v>
      </c>
      <c r="L12" s="1521" t="s">
        <v>1302</v>
      </c>
      <c r="M12" s="1521" t="s">
        <v>1303</v>
      </c>
      <c r="N12" s="1521" t="s">
        <v>1304</v>
      </c>
      <c r="O12" s="1521" t="s">
        <v>1305</v>
      </c>
      <c r="P12" s="1521" t="s">
        <v>1306</v>
      </c>
      <c r="Q12" s="1521" t="s">
        <v>1307</v>
      </c>
      <c r="R12" s="1521" t="s">
        <v>1308</v>
      </c>
    </row>
    <row r="13" spans="1:19" ht="14.25" customHeight="1" thickBot="1">
      <c r="A13" s="1527" t="s">
        <v>1277</v>
      </c>
      <c r="B13" s="1531" t="s">
        <v>1222</v>
      </c>
      <c r="C13" s="1521">
        <v>24140</v>
      </c>
      <c r="D13" s="1521">
        <v>22270</v>
      </c>
      <c r="E13" s="1521">
        <v>21950</v>
      </c>
      <c r="F13" s="1535">
        <v>7600</v>
      </c>
      <c r="G13" s="1524"/>
      <c r="I13" s="1521" t="s">
        <v>1309</v>
      </c>
      <c r="J13" s="1521" t="s">
        <v>1310</v>
      </c>
      <c r="K13" s="1521" t="s">
        <v>1311</v>
      </c>
      <c r="L13" s="1521" t="s">
        <v>1312</v>
      </c>
      <c r="M13" s="1521" t="s">
        <v>1313</v>
      </c>
      <c r="N13" s="1521" t="s">
        <v>1314</v>
      </c>
      <c r="O13" s="1521" t="s">
        <v>1315</v>
      </c>
      <c r="P13" s="1521" t="s">
        <v>1316</v>
      </c>
      <c r="Q13" s="1521" t="s">
        <v>1317</v>
      </c>
      <c r="R13" s="1521" t="s">
        <v>1318</v>
      </c>
    </row>
    <row r="14" spans="1:19" ht="14.25" customHeight="1" thickBot="1">
      <c r="A14" s="1527" t="s">
        <v>1277</v>
      </c>
      <c r="B14" s="1531" t="s">
        <v>1234</v>
      </c>
      <c r="C14" s="1521">
        <v>25600</v>
      </c>
      <c r="D14" s="1521">
        <v>22260</v>
      </c>
      <c r="E14" s="1521">
        <v>22110</v>
      </c>
      <c r="F14" s="1535">
        <v>7630</v>
      </c>
      <c r="G14" s="1524"/>
      <c r="I14" s="1521" t="s">
        <v>1319</v>
      </c>
      <c r="J14" s="1521" t="s">
        <v>1320</v>
      </c>
      <c r="K14" s="1521" t="s">
        <v>1321</v>
      </c>
      <c r="L14" s="1521" t="s">
        <v>1322</v>
      </c>
      <c r="M14" s="1521" t="s">
        <v>1323</v>
      </c>
      <c r="N14" s="1521" t="s">
        <v>1324</v>
      </c>
      <c r="O14" s="1521" t="s">
        <v>1325</v>
      </c>
      <c r="P14" s="1521" t="s">
        <v>1326</v>
      </c>
      <c r="Q14" s="1521" t="s">
        <v>1327</v>
      </c>
      <c r="R14" s="1521" t="s">
        <v>1328</v>
      </c>
    </row>
    <row r="15" spans="1:19" ht="14.25" customHeight="1" thickBot="1">
      <c r="A15" s="1527" t="s">
        <v>1277</v>
      </c>
      <c r="B15" s="1531" t="s">
        <v>1245</v>
      </c>
      <c r="C15" s="1521">
        <v>24760</v>
      </c>
      <c r="D15" s="1521">
        <v>24440</v>
      </c>
      <c r="E15" s="1521">
        <v>24130</v>
      </c>
      <c r="F15" s="1535">
        <v>9480</v>
      </c>
      <c r="G15" s="1524"/>
      <c r="I15" s="1521" t="s">
        <v>1330</v>
      </c>
      <c r="J15" s="1521" t="s">
        <v>1331</v>
      </c>
      <c r="K15" s="1521" t="s">
        <v>1332</v>
      </c>
      <c r="L15" s="1521" t="s">
        <v>1333</v>
      </c>
      <c r="M15" s="1521" t="s">
        <v>1334</v>
      </c>
      <c r="N15" s="1521" t="s">
        <v>1335</v>
      </c>
      <c r="O15" s="1521" t="s">
        <v>1336</v>
      </c>
      <c r="P15" s="1521" t="s">
        <v>1337</v>
      </c>
      <c r="Q15" s="1521" t="s">
        <v>1338</v>
      </c>
      <c r="R15" s="1521" t="s">
        <v>1339</v>
      </c>
    </row>
    <row r="16" spans="1:19" ht="14.25" customHeight="1" thickBot="1">
      <c r="A16" s="1527" t="s">
        <v>1277</v>
      </c>
      <c r="B16" s="1531" t="s">
        <v>1256</v>
      </c>
      <c r="C16" s="1521">
        <v>22220</v>
      </c>
      <c r="D16" s="1521">
        <v>22310</v>
      </c>
      <c r="E16" s="1521">
        <v>22000</v>
      </c>
      <c r="F16" s="1535">
        <v>8900</v>
      </c>
      <c r="G16" s="1524"/>
      <c r="I16" s="1521" t="s">
        <v>1341</v>
      </c>
      <c r="J16" s="1521" t="s">
        <v>1342</v>
      </c>
      <c r="K16" s="1521" t="s">
        <v>1343</v>
      </c>
      <c r="L16" s="1521" t="s">
        <v>1344</v>
      </c>
      <c r="M16" s="1521" t="s">
        <v>1345</v>
      </c>
      <c r="N16" s="1521" t="s">
        <v>1346</v>
      </c>
      <c r="O16" s="1521" t="s">
        <v>1347</v>
      </c>
      <c r="P16" s="1521" t="s">
        <v>1348</v>
      </c>
      <c r="Q16" s="1521" t="s">
        <v>1349</v>
      </c>
      <c r="R16" s="1521" t="s">
        <v>1350</v>
      </c>
    </row>
    <row r="17" spans="1:18" ht="14.25" customHeight="1" thickBot="1">
      <c r="A17" s="1527" t="s">
        <v>1277</v>
      </c>
      <c r="B17" s="1531" t="s">
        <v>1267</v>
      </c>
      <c r="C17" s="1521">
        <v>24700</v>
      </c>
      <c r="D17" s="1521">
        <v>25150</v>
      </c>
      <c r="E17" s="1521">
        <v>24700</v>
      </c>
      <c r="F17" s="1536"/>
      <c r="G17" s="1524"/>
      <c r="I17" s="1521" t="s">
        <v>1351</v>
      </c>
      <c r="J17" s="1521" t="s">
        <v>1352</v>
      </c>
      <c r="K17" s="1521" t="s">
        <v>1353</v>
      </c>
      <c r="L17" s="1521" t="s">
        <v>1354</v>
      </c>
      <c r="M17" s="1521" t="s">
        <v>1355</v>
      </c>
      <c r="N17" s="1521" t="s">
        <v>1356</v>
      </c>
      <c r="O17" s="1521" t="s">
        <v>1357</v>
      </c>
      <c r="P17" s="1521" t="s">
        <v>1358</v>
      </c>
      <c r="Q17" s="1521" t="s">
        <v>1359</v>
      </c>
      <c r="R17" s="1521" t="s">
        <v>1360</v>
      </c>
    </row>
    <row r="18" spans="1:18" ht="14.25" customHeight="1" thickBot="1">
      <c r="A18" s="1527" t="s">
        <v>1277</v>
      </c>
      <c r="B18" s="1531" t="s">
        <v>1279</v>
      </c>
      <c r="C18" s="1521">
        <v>22350</v>
      </c>
      <c r="D18" s="1521">
        <v>24340</v>
      </c>
      <c r="E18" s="1521">
        <v>24100</v>
      </c>
      <c r="F18" s="1536"/>
      <c r="G18" s="1524"/>
      <c r="I18" s="1521" t="s">
        <v>1361</v>
      </c>
      <c r="J18" s="1521" t="s">
        <v>1362</v>
      </c>
      <c r="K18" s="1521" t="s">
        <v>1363</v>
      </c>
      <c r="L18" s="1521" t="s">
        <v>1364</v>
      </c>
      <c r="M18" s="1521" t="s">
        <v>1365</v>
      </c>
      <c r="N18" s="1521" t="s">
        <v>1366</v>
      </c>
      <c r="O18" s="1521" t="s">
        <v>1367</v>
      </c>
      <c r="P18" s="1521" t="s">
        <v>1368</v>
      </c>
      <c r="Q18" s="1521" t="s">
        <v>1369</v>
      </c>
      <c r="R18" s="1521" t="s">
        <v>1370</v>
      </c>
    </row>
    <row r="19" spans="1:18" ht="14.25" customHeight="1" thickBot="1">
      <c r="A19" s="1527" t="s">
        <v>1277</v>
      </c>
      <c r="B19" s="1531" t="s">
        <v>1289</v>
      </c>
      <c r="C19" s="1521">
        <v>23430</v>
      </c>
      <c r="D19" s="1521">
        <v>21580</v>
      </c>
      <c r="E19" s="1521">
        <v>21350</v>
      </c>
      <c r="F19" s="1536"/>
      <c r="G19" s="1524"/>
      <c r="I19" s="1521" t="s">
        <v>1371</v>
      </c>
      <c r="J19" s="1521" t="s">
        <v>1372</v>
      </c>
      <c r="K19" s="1521" t="s">
        <v>1373</v>
      </c>
      <c r="L19" s="1521" t="s">
        <v>1374</v>
      </c>
      <c r="M19" s="1521" t="s">
        <v>1375</v>
      </c>
      <c r="N19" s="1521" t="s">
        <v>1376</v>
      </c>
      <c r="O19" s="1521" t="s">
        <v>1377</v>
      </c>
      <c r="P19" s="1521" t="s">
        <v>1378</v>
      </c>
      <c r="Q19" s="1521" t="s">
        <v>1379</v>
      </c>
      <c r="R19" s="1521" t="s">
        <v>1380</v>
      </c>
    </row>
    <row r="20" spans="1:18" ht="14.25" customHeight="1" thickBot="1">
      <c r="A20" s="1527" t="s">
        <v>1277</v>
      </c>
      <c r="B20" s="1531" t="s">
        <v>1299</v>
      </c>
      <c r="C20" s="1521">
        <v>27660</v>
      </c>
      <c r="D20" s="1521">
        <v>24240</v>
      </c>
      <c r="E20" s="1521">
        <v>24020</v>
      </c>
      <c r="F20" s="1536"/>
      <c r="I20" s="1521" t="s">
        <v>1381</v>
      </c>
      <c r="J20" s="1521" t="s">
        <v>1382</v>
      </c>
      <c r="K20" s="1521" t="s">
        <v>1383</v>
      </c>
      <c r="L20" s="1521" t="s">
        <v>1384</v>
      </c>
      <c r="M20" s="1521" t="s">
        <v>1385</v>
      </c>
      <c r="N20" s="1521" t="s">
        <v>1386</v>
      </c>
      <c r="O20" s="1521" t="s">
        <v>1387</v>
      </c>
      <c r="P20" s="1521" t="s">
        <v>1388</v>
      </c>
      <c r="Q20" s="1521" t="s">
        <v>1389</v>
      </c>
      <c r="R20" s="1521" t="s">
        <v>1390</v>
      </c>
    </row>
    <row r="21" spans="1:18" ht="14.25" customHeight="1" thickBot="1">
      <c r="A21" s="1527" t="s">
        <v>1277</v>
      </c>
      <c r="B21" s="1531" t="s">
        <v>1309</v>
      </c>
      <c r="C21" s="1521">
        <v>24720</v>
      </c>
      <c r="D21" s="1521">
        <v>21670</v>
      </c>
      <c r="E21" s="1521">
        <v>21510</v>
      </c>
      <c r="F21" s="1536"/>
      <c r="J21" s="1521" t="s">
        <v>1391</v>
      </c>
      <c r="K21" s="1521" t="s">
        <v>1392</v>
      </c>
      <c r="L21" s="1521" t="s">
        <v>1393</v>
      </c>
      <c r="M21" s="1521" t="s">
        <v>1394</v>
      </c>
      <c r="N21" s="1521" t="s">
        <v>1395</v>
      </c>
      <c r="O21" s="1521" t="s">
        <v>1396</v>
      </c>
      <c r="P21" s="1521" t="s">
        <v>1397</v>
      </c>
      <c r="Q21" s="1521" t="s">
        <v>1398</v>
      </c>
      <c r="R21" s="1521" t="s">
        <v>1399</v>
      </c>
    </row>
    <row r="22" spans="1:18" ht="14.25" customHeight="1" thickBot="1">
      <c r="A22" s="1527" t="s">
        <v>1277</v>
      </c>
      <c r="B22" s="1531" t="s">
        <v>1400</v>
      </c>
      <c r="C22" s="1521">
        <v>26530</v>
      </c>
      <c r="D22" s="1521">
        <v>22980</v>
      </c>
      <c r="E22" s="1521">
        <v>22650</v>
      </c>
      <c r="F22" s="1536"/>
      <c r="K22" s="1521" t="s">
        <v>1401</v>
      </c>
      <c r="L22" s="1521" t="s">
        <v>1402</v>
      </c>
      <c r="M22" s="1521" t="s">
        <v>1403</v>
      </c>
      <c r="N22" s="1521" t="s">
        <v>1404</v>
      </c>
      <c r="O22" s="1521" t="s">
        <v>1405</v>
      </c>
      <c r="P22" s="1521" t="s">
        <v>1406</v>
      </c>
      <c r="Q22" s="1521" t="s">
        <v>1407</v>
      </c>
      <c r="R22" s="1531" t="s">
        <v>1408</v>
      </c>
    </row>
    <row r="23" spans="1:18" ht="14.25" customHeight="1" thickBot="1">
      <c r="A23" s="1527" t="s">
        <v>1277</v>
      </c>
      <c r="B23" s="1531" t="s">
        <v>1330</v>
      </c>
      <c r="C23" s="1521">
        <v>24700</v>
      </c>
      <c r="D23" s="1521">
        <v>27290</v>
      </c>
      <c r="E23" s="1521">
        <v>26710</v>
      </c>
      <c r="F23" s="1536"/>
      <c r="K23" s="1521" t="s">
        <v>1409</v>
      </c>
      <c r="L23" s="1521" t="s">
        <v>1410</v>
      </c>
      <c r="M23" s="1521" t="s">
        <v>1411</v>
      </c>
      <c r="N23" s="1521" t="s">
        <v>1412</v>
      </c>
      <c r="O23" s="1521" t="s">
        <v>1413</v>
      </c>
      <c r="P23" s="1521" t="s">
        <v>1414</v>
      </c>
      <c r="Q23" s="1521" t="s">
        <v>1415</v>
      </c>
    </row>
    <row r="24" spans="1:18" ht="14.25" customHeight="1" thickBot="1">
      <c r="A24" s="1527" t="s">
        <v>1277</v>
      </c>
      <c r="B24" s="1531" t="s">
        <v>1341</v>
      </c>
      <c r="C24" s="1521">
        <v>23070</v>
      </c>
      <c r="D24" s="1521">
        <v>24130</v>
      </c>
      <c r="E24" s="1521">
        <v>23860</v>
      </c>
      <c r="F24" s="1536"/>
      <c r="K24" s="1521" t="s">
        <v>1416</v>
      </c>
      <c r="L24" s="1521" t="s">
        <v>1417</v>
      </c>
      <c r="M24" s="1521" t="s">
        <v>1418</v>
      </c>
      <c r="N24" s="1521" t="s">
        <v>1419</v>
      </c>
      <c r="O24" s="1521" t="s">
        <v>1420</v>
      </c>
      <c r="P24" s="1521" t="s">
        <v>1421</v>
      </c>
      <c r="Q24" s="1521" t="s">
        <v>1422</v>
      </c>
    </row>
    <row r="25" spans="1:18" ht="14.25" customHeight="1" thickBot="1">
      <c r="A25" s="1527" t="s">
        <v>1277</v>
      </c>
      <c r="B25" s="1531" t="s">
        <v>1351</v>
      </c>
      <c r="C25" s="1521">
        <v>27550</v>
      </c>
      <c r="D25" s="1521">
        <v>25850</v>
      </c>
      <c r="E25" s="1521">
        <v>25340</v>
      </c>
      <c r="F25" s="1536"/>
      <c r="K25" s="1521" t="s">
        <v>1423</v>
      </c>
      <c r="L25" s="1521" t="s">
        <v>1424</v>
      </c>
      <c r="M25" s="1521" t="s">
        <v>1425</v>
      </c>
      <c r="N25" s="1521" t="s">
        <v>1426</v>
      </c>
      <c r="O25" s="1521" t="s">
        <v>1427</v>
      </c>
      <c r="P25" s="1521" t="s">
        <v>1428</v>
      </c>
      <c r="Q25" s="1521" t="s">
        <v>1429</v>
      </c>
    </row>
    <row r="26" spans="1:18" ht="14.25" customHeight="1" thickBot="1">
      <c r="A26" s="1527" t="s">
        <v>1277</v>
      </c>
      <c r="B26" s="1531" t="s">
        <v>1361</v>
      </c>
      <c r="C26" s="1521"/>
      <c r="D26" s="1521">
        <v>23900</v>
      </c>
      <c r="E26" s="1521">
        <v>23590</v>
      </c>
      <c r="F26" s="1536"/>
      <c r="K26" s="1521" t="s">
        <v>1430</v>
      </c>
      <c r="L26" s="1521" t="s">
        <v>1431</v>
      </c>
      <c r="M26" s="1521" t="s">
        <v>1432</v>
      </c>
      <c r="N26" s="1521" t="s">
        <v>1433</v>
      </c>
      <c r="O26" s="1521" t="s">
        <v>1434</v>
      </c>
      <c r="P26" s="1521" t="s">
        <v>1435</v>
      </c>
      <c r="Q26" s="1521" t="s">
        <v>1436</v>
      </c>
    </row>
    <row r="27" spans="1:18" ht="14.25" customHeight="1" thickBot="1">
      <c r="A27" s="1527" t="s">
        <v>1277</v>
      </c>
      <c r="B27" s="1531" t="s">
        <v>1371</v>
      </c>
      <c r="C27" s="1521"/>
      <c r="D27" s="1521">
        <v>22850</v>
      </c>
      <c r="E27" s="1521">
        <v>21920</v>
      </c>
      <c r="F27" s="1536"/>
      <c r="K27" s="1521" t="s">
        <v>1437</v>
      </c>
      <c r="L27" s="1521" t="s">
        <v>1438</v>
      </c>
      <c r="M27" s="1521" t="s">
        <v>1439</v>
      </c>
      <c r="N27" s="1521" t="s">
        <v>1440</v>
      </c>
      <c r="O27" s="1521" t="s">
        <v>1441</v>
      </c>
      <c r="P27" s="1521" t="s">
        <v>1442</v>
      </c>
      <c r="Q27" s="1521" t="s">
        <v>1443</v>
      </c>
    </row>
    <row r="28" spans="1:18" ht="14.25" customHeight="1" thickBot="1">
      <c r="A28" s="1537" t="s">
        <v>1277</v>
      </c>
      <c r="B28" s="1532" t="s">
        <v>1381</v>
      </c>
      <c r="C28" s="1533"/>
      <c r="D28" s="1533">
        <v>26610</v>
      </c>
      <c r="E28" s="1533">
        <v>26370</v>
      </c>
      <c r="F28" s="1534"/>
      <c r="K28" s="1521" t="s">
        <v>1444</v>
      </c>
      <c r="L28" s="1521" t="s">
        <v>1445</v>
      </c>
      <c r="M28" s="1521" t="s">
        <v>1446</v>
      </c>
      <c r="N28" s="1521" t="s">
        <v>1447</v>
      </c>
      <c r="O28" s="1521" t="s">
        <v>1448</v>
      </c>
      <c r="P28" s="1521" t="s">
        <v>1449</v>
      </c>
    </row>
    <row r="29" spans="1:18" ht="14.25" customHeight="1" thickBot="1">
      <c r="A29" s="1527" t="s">
        <v>1450</v>
      </c>
      <c r="B29" s="1528" t="s">
        <v>1451</v>
      </c>
      <c r="C29" s="1528">
        <v>22090</v>
      </c>
      <c r="D29" s="1528">
        <v>21860</v>
      </c>
      <c r="E29" s="1528">
        <v>19380</v>
      </c>
      <c r="F29" s="1529">
        <v>6610</v>
      </c>
      <c r="L29" s="1521" t="s">
        <v>1452</v>
      </c>
      <c r="M29" s="1521" t="s">
        <v>1453</v>
      </c>
      <c r="N29" s="1521" t="s">
        <v>1454</v>
      </c>
      <c r="O29" s="1521" t="s">
        <v>1455</v>
      </c>
      <c r="P29" s="1521" t="s">
        <v>1456</v>
      </c>
    </row>
    <row r="30" spans="1:18" ht="14.25" customHeight="1" thickBot="1">
      <c r="A30" s="1527" t="s">
        <v>1450</v>
      </c>
      <c r="B30" s="1531" t="s">
        <v>1197</v>
      </c>
      <c r="C30" s="1521">
        <v>21380</v>
      </c>
      <c r="D30" s="1521">
        <v>19930</v>
      </c>
      <c r="E30" s="1521">
        <v>19860</v>
      </c>
      <c r="F30" s="1535">
        <v>6010</v>
      </c>
      <c r="L30" s="1521" t="s">
        <v>1457</v>
      </c>
      <c r="M30" s="1521" t="s">
        <v>1458</v>
      </c>
      <c r="N30" s="1521" t="s">
        <v>1459</v>
      </c>
      <c r="O30" s="1521" t="s">
        <v>2496</v>
      </c>
      <c r="P30" s="1521" t="s">
        <v>1460</v>
      </c>
    </row>
    <row r="31" spans="1:18" ht="14.25" customHeight="1" thickBot="1">
      <c r="A31" s="1527" t="s">
        <v>1450</v>
      </c>
      <c r="B31" s="1531" t="s">
        <v>1210</v>
      </c>
      <c r="C31" s="1521">
        <v>21670</v>
      </c>
      <c r="D31" s="1521">
        <v>20660</v>
      </c>
      <c r="E31" s="1521">
        <v>20290</v>
      </c>
      <c r="F31" s="1535">
        <v>5840</v>
      </c>
      <c r="L31" s="1521" t="s">
        <v>1461</v>
      </c>
      <c r="M31" s="1521" t="s">
        <v>1462</v>
      </c>
      <c r="N31" s="1521" t="s">
        <v>1463</v>
      </c>
      <c r="O31" s="1521" t="s">
        <v>1464</v>
      </c>
      <c r="P31" s="1521" t="s">
        <v>1465</v>
      </c>
    </row>
    <row r="32" spans="1:18" ht="14.25" customHeight="1" thickBot="1">
      <c r="A32" s="1527" t="s">
        <v>1450</v>
      </c>
      <c r="B32" s="1531" t="s">
        <v>1223</v>
      </c>
      <c r="C32" s="1521">
        <v>22280</v>
      </c>
      <c r="D32" s="1521">
        <v>21800</v>
      </c>
      <c r="E32" s="1521">
        <v>17650</v>
      </c>
      <c r="F32" s="1535">
        <v>4690</v>
      </c>
      <c r="L32" s="1521" t="s">
        <v>1466</v>
      </c>
      <c r="M32" s="1521" t="s">
        <v>1467</v>
      </c>
      <c r="N32" s="1521" t="s">
        <v>1468</v>
      </c>
      <c r="O32" s="1521" t="s">
        <v>1469</v>
      </c>
      <c r="P32" s="1521" t="s">
        <v>1470</v>
      </c>
    </row>
    <row r="33" spans="1:16" ht="14.25" customHeight="1" thickBot="1">
      <c r="A33" s="1527" t="s">
        <v>1450</v>
      </c>
      <c r="B33" s="1531" t="s">
        <v>1235</v>
      </c>
      <c r="C33" s="1521">
        <v>22130</v>
      </c>
      <c r="D33" s="1521">
        <v>20460</v>
      </c>
      <c r="E33" s="1521">
        <v>18500</v>
      </c>
      <c r="F33" s="1535">
        <v>5340</v>
      </c>
      <c r="L33" s="1521" t="s">
        <v>1471</v>
      </c>
      <c r="M33" s="1521" t="s">
        <v>1472</v>
      </c>
      <c r="N33" s="1521" t="s">
        <v>1473</v>
      </c>
      <c r="O33" s="1521" t="s">
        <v>1474</v>
      </c>
      <c r="P33" s="1521" t="s">
        <v>1475</v>
      </c>
    </row>
    <row r="34" spans="1:16" ht="14.25" customHeight="1" thickBot="1">
      <c r="A34" s="1527" t="s">
        <v>1450</v>
      </c>
      <c r="B34" s="1531" t="s">
        <v>1246</v>
      </c>
      <c r="C34" s="1521">
        <v>22070</v>
      </c>
      <c r="D34" s="1521">
        <v>20110</v>
      </c>
      <c r="E34" s="1521">
        <v>18830</v>
      </c>
      <c r="F34" s="1535">
        <v>5190</v>
      </c>
      <c r="L34" s="1521" t="s">
        <v>1476</v>
      </c>
      <c r="M34" s="1521" t="s">
        <v>1477</v>
      </c>
      <c r="N34" s="1521" t="s">
        <v>1478</v>
      </c>
      <c r="O34" s="1521" t="s">
        <v>1479</v>
      </c>
      <c r="P34" s="1521" t="s">
        <v>1480</v>
      </c>
    </row>
    <row r="35" spans="1:16" ht="14.25" customHeight="1" thickBot="1">
      <c r="A35" s="1527" t="s">
        <v>1450</v>
      </c>
      <c r="B35" s="1531" t="s">
        <v>1257</v>
      </c>
      <c r="C35" s="1521">
        <v>22240</v>
      </c>
      <c r="D35" s="1521">
        <v>19550</v>
      </c>
      <c r="E35" s="1521">
        <v>19220</v>
      </c>
      <c r="F35" s="1535">
        <v>5800</v>
      </c>
      <c r="L35" s="1521" t="s">
        <v>1481</v>
      </c>
      <c r="M35" s="1521" t="s">
        <v>1482</v>
      </c>
      <c r="N35" s="1521" t="s">
        <v>1483</v>
      </c>
      <c r="O35" s="1521" t="s">
        <v>1484</v>
      </c>
      <c r="P35" s="1521" t="s">
        <v>1485</v>
      </c>
    </row>
    <row r="36" spans="1:16" ht="14.25" customHeight="1" thickBot="1">
      <c r="A36" s="1527" t="s">
        <v>1450</v>
      </c>
      <c r="B36" s="1531" t="s">
        <v>1268</v>
      </c>
      <c r="C36" s="1521">
        <v>19750</v>
      </c>
      <c r="D36" s="1521">
        <v>19790</v>
      </c>
      <c r="E36" s="1521">
        <v>18510</v>
      </c>
      <c r="F36" s="1535">
        <v>6520</v>
      </c>
      <c r="M36" s="1521" t="s">
        <v>1486</v>
      </c>
      <c r="N36" s="1521" t="s">
        <v>1487</v>
      </c>
      <c r="O36" s="1521" t="s">
        <v>1488</v>
      </c>
      <c r="P36" s="1521" t="s">
        <v>1489</v>
      </c>
    </row>
    <row r="37" spans="1:16" ht="14.25" customHeight="1" thickBot="1">
      <c r="A37" s="1527" t="s">
        <v>1450</v>
      </c>
      <c r="B37" s="1531" t="s">
        <v>1280</v>
      </c>
      <c r="C37" s="1521">
        <v>22380</v>
      </c>
      <c r="D37" s="1521">
        <v>18530</v>
      </c>
      <c r="E37" s="1521">
        <v>17930</v>
      </c>
      <c r="F37" s="1535">
        <v>6270</v>
      </c>
      <c r="M37" s="1521" t="s">
        <v>1490</v>
      </c>
      <c r="N37" s="1521" t="s">
        <v>1491</v>
      </c>
      <c r="O37" s="1521" t="s">
        <v>1492</v>
      </c>
      <c r="P37" s="1521" t="s">
        <v>1493</v>
      </c>
    </row>
    <row r="38" spans="1:16" ht="14.25" customHeight="1" thickBot="1">
      <c r="A38" s="1527" t="s">
        <v>1450</v>
      </c>
      <c r="B38" s="1531" t="s">
        <v>1290</v>
      </c>
      <c r="C38" s="1521">
        <v>20200</v>
      </c>
      <c r="D38" s="1521">
        <v>20070</v>
      </c>
      <c r="E38" s="1521">
        <v>19950</v>
      </c>
      <c r="F38" s="1535"/>
      <c r="M38" s="1521" t="s">
        <v>1494</v>
      </c>
      <c r="N38" s="1521" t="s">
        <v>1495</v>
      </c>
      <c r="O38" s="1521" t="s">
        <v>1496</v>
      </c>
      <c r="P38" s="1521" t="s">
        <v>1497</v>
      </c>
    </row>
    <row r="39" spans="1:16" ht="14.25" customHeight="1" thickBot="1">
      <c r="A39" s="1527" t="s">
        <v>1450</v>
      </c>
      <c r="B39" s="1531" t="s">
        <v>1300</v>
      </c>
      <c r="C39" s="1521">
        <v>19300</v>
      </c>
      <c r="D39" s="1521">
        <v>20360</v>
      </c>
      <c r="E39" s="1521">
        <v>20230</v>
      </c>
      <c r="F39" s="1535"/>
      <c r="M39" s="1521" t="s">
        <v>1498</v>
      </c>
      <c r="N39" s="1521" t="s">
        <v>1499</v>
      </c>
      <c r="O39" s="1521" t="s">
        <v>1500</v>
      </c>
      <c r="P39" s="1521" t="s">
        <v>1501</v>
      </c>
    </row>
    <row r="40" spans="1:16" ht="14.25" customHeight="1" thickBot="1">
      <c r="A40" s="1527" t="s">
        <v>1450</v>
      </c>
      <c r="B40" s="1531" t="s">
        <v>1310</v>
      </c>
      <c r="C40" s="1521">
        <v>20210</v>
      </c>
      <c r="D40" s="1521">
        <v>19060</v>
      </c>
      <c r="E40" s="1521">
        <v>18890</v>
      </c>
      <c r="F40" s="1535"/>
      <c r="M40" s="1521" t="s">
        <v>1502</v>
      </c>
      <c r="N40" s="1521" t="s">
        <v>1503</v>
      </c>
      <c r="O40" s="1521" t="s">
        <v>1504</v>
      </c>
      <c r="P40" s="1521" t="s">
        <v>1505</v>
      </c>
    </row>
    <row r="41" spans="1:16" ht="14.25" customHeight="1" thickBot="1">
      <c r="A41" s="1527" t="s">
        <v>1450</v>
      </c>
      <c r="B41" s="1531" t="s">
        <v>1320</v>
      </c>
      <c r="C41" s="1521">
        <v>20560</v>
      </c>
      <c r="D41" s="1521">
        <v>21040</v>
      </c>
      <c r="E41" s="1521">
        <v>20740</v>
      </c>
      <c r="F41" s="1535"/>
      <c r="M41" s="1531" t="s">
        <v>1506</v>
      </c>
      <c r="N41" s="1531" t="s">
        <v>1507</v>
      </c>
      <c r="P41" s="1531" t="s">
        <v>1508</v>
      </c>
    </row>
    <row r="42" spans="1:16" ht="14.25" customHeight="1" thickBot="1">
      <c r="A42" s="1527" t="s">
        <v>1450</v>
      </c>
      <c r="B42" s="1531" t="s">
        <v>1331</v>
      </c>
      <c r="C42" s="1521">
        <v>19280</v>
      </c>
      <c r="D42" s="1521">
        <v>22940</v>
      </c>
      <c r="E42" s="1521">
        <v>22500</v>
      </c>
      <c r="F42" s="1535"/>
      <c r="M42" s="1521" t="s">
        <v>1509</v>
      </c>
      <c r="N42" s="1521" t="s">
        <v>1510</v>
      </c>
      <c r="P42" s="1521" t="s">
        <v>1511</v>
      </c>
    </row>
    <row r="43" spans="1:16" ht="14.25" customHeight="1" thickBot="1">
      <c r="A43" s="1527" t="s">
        <v>1450</v>
      </c>
      <c r="B43" s="1531" t="s">
        <v>1342</v>
      </c>
      <c r="C43" s="1521">
        <v>21520</v>
      </c>
      <c r="D43" s="1521">
        <v>19230</v>
      </c>
      <c r="E43" s="1521">
        <v>18540</v>
      </c>
      <c r="F43" s="1535"/>
      <c r="M43" s="1521" t="s">
        <v>1512</v>
      </c>
      <c r="N43" s="1521" t="s">
        <v>1513</v>
      </c>
      <c r="P43" s="1521" t="s">
        <v>1514</v>
      </c>
    </row>
    <row r="44" spans="1:16" ht="14.25" customHeight="1" thickBot="1">
      <c r="A44" s="1527" t="s">
        <v>1450</v>
      </c>
      <c r="B44" s="1531" t="s">
        <v>1352</v>
      </c>
      <c r="C44" s="1521">
        <v>23260</v>
      </c>
      <c r="D44" s="1521">
        <v>21180</v>
      </c>
      <c r="E44" s="1521">
        <v>20730</v>
      </c>
      <c r="F44" s="1535"/>
      <c r="M44" s="1521" t="s">
        <v>1515</v>
      </c>
      <c r="N44" s="1521" t="s">
        <v>1516</v>
      </c>
      <c r="P44" s="1521" t="s">
        <v>1517</v>
      </c>
    </row>
    <row r="45" spans="1:16" ht="14.25" customHeight="1" thickBot="1">
      <c r="A45" s="1527" t="s">
        <v>1450</v>
      </c>
      <c r="B45" s="1531" t="s">
        <v>1362</v>
      </c>
      <c r="C45" s="1521">
        <v>19610</v>
      </c>
      <c r="D45" s="1521">
        <v>18090</v>
      </c>
      <c r="E45" s="1521">
        <v>17970</v>
      </c>
      <c r="F45" s="1535"/>
      <c r="M45" s="1521" t="s">
        <v>1518</v>
      </c>
      <c r="N45" s="1521" t="s">
        <v>1519</v>
      </c>
      <c r="P45" s="1521" t="s">
        <v>1520</v>
      </c>
    </row>
    <row r="46" spans="1:16" ht="14.25" customHeight="1" thickBot="1">
      <c r="A46" s="1527" t="s">
        <v>1450</v>
      </c>
      <c r="B46" s="1531" t="s">
        <v>1372</v>
      </c>
      <c r="C46" s="1521">
        <v>21660</v>
      </c>
      <c r="D46" s="1521">
        <v>19190</v>
      </c>
      <c r="E46" s="1521">
        <v>19790</v>
      </c>
      <c r="F46" s="1535"/>
      <c r="M46" s="1521" t="s">
        <v>1521</v>
      </c>
      <c r="N46" s="1521" t="s">
        <v>1522</v>
      </c>
      <c r="P46" s="1521" t="s">
        <v>1523</v>
      </c>
    </row>
    <row r="47" spans="1:16" ht="14.25" customHeight="1" thickBot="1">
      <c r="A47" s="1527" t="s">
        <v>1450</v>
      </c>
      <c r="B47" s="1531" t="s">
        <v>1382</v>
      </c>
      <c r="C47" s="1521">
        <v>18220</v>
      </c>
      <c r="D47" s="1521"/>
      <c r="E47" s="1521">
        <v>17220</v>
      </c>
      <c r="F47" s="1535"/>
      <c r="M47" s="1521" t="s">
        <v>1524</v>
      </c>
      <c r="N47" s="1521" t="s">
        <v>1525</v>
      </c>
    </row>
    <row r="48" spans="1:16" ht="14.25" customHeight="1" thickBot="1">
      <c r="A48" s="1527" t="s">
        <v>1450</v>
      </c>
      <c r="B48" s="1532" t="s">
        <v>1391</v>
      </c>
      <c r="C48" s="1533">
        <v>19430</v>
      </c>
      <c r="D48" s="1533"/>
      <c r="E48" s="1533">
        <v>17830</v>
      </c>
      <c r="F48" s="1538"/>
      <c r="M48" s="1521" t="s">
        <v>1526</v>
      </c>
      <c r="N48" s="1521" t="s">
        <v>1527</v>
      </c>
    </row>
    <row r="49" spans="1:14" ht="14.25" customHeight="1" thickBot="1">
      <c r="A49" s="1527" t="s">
        <v>1131</v>
      </c>
      <c r="B49" s="1528" t="s">
        <v>1528</v>
      </c>
      <c r="C49" s="1528">
        <v>17090</v>
      </c>
      <c r="D49" s="1528">
        <v>16950</v>
      </c>
      <c r="E49" s="1528">
        <v>16310</v>
      </c>
      <c r="F49" s="1529">
        <v>4540</v>
      </c>
      <c r="M49" s="1521" t="s">
        <v>1529</v>
      </c>
      <c r="N49" s="1521" t="s">
        <v>1530</v>
      </c>
    </row>
    <row r="50" spans="1:14" ht="14.25" customHeight="1" thickBot="1">
      <c r="A50" s="1527" t="s">
        <v>1131</v>
      </c>
      <c r="B50" s="1521" t="s">
        <v>1198</v>
      </c>
      <c r="C50" s="1521">
        <v>19040</v>
      </c>
      <c r="D50" s="1521">
        <v>16960</v>
      </c>
      <c r="E50" s="1521">
        <v>14800</v>
      </c>
      <c r="F50" s="1535">
        <v>3940</v>
      </c>
    </row>
    <row r="51" spans="1:14" ht="14.25" customHeight="1" thickBot="1">
      <c r="A51" s="1527" t="s">
        <v>1131</v>
      </c>
      <c r="B51" s="1521" t="s">
        <v>1211</v>
      </c>
      <c r="C51" s="1521">
        <v>17040</v>
      </c>
      <c r="D51" s="1521">
        <v>16930</v>
      </c>
      <c r="E51" s="1521">
        <v>15030</v>
      </c>
      <c r="F51" s="1535">
        <v>4120</v>
      </c>
    </row>
    <row r="52" spans="1:14" ht="14.25" customHeight="1" thickBot="1">
      <c r="A52" s="1527" t="s">
        <v>1131</v>
      </c>
      <c r="B52" s="1521" t="s">
        <v>1224</v>
      </c>
      <c r="C52" s="1521">
        <v>17110</v>
      </c>
      <c r="D52" s="1521">
        <v>17750</v>
      </c>
      <c r="E52" s="1521">
        <v>17310</v>
      </c>
      <c r="F52" s="1535">
        <v>3220</v>
      </c>
    </row>
    <row r="53" spans="1:14" ht="14.25" customHeight="1" thickBot="1">
      <c r="A53" s="1527" t="s">
        <v>1131</v>
      </c>
      <c r="B53" s="1521" t="s">
        <v>1236</v>
      </c>
      <c r="C53" s="1521">
        <v>17810</v>
      </c>
      <c r="D53" s="1521">
        <v>17260</v>
      </c>
      <c r="E53" s="1521">
        <v>17090</v>
      </c>
      <c r="F53" s="1535">
        <v>3520</v>
      </c>
    </row>
    <row r="54" spans="1:14" ht="14.25" customHeight="1" thickBot="1">
      <c r="A54" s="1527" t="s">
        <v>1131</v>
      </c>
      <c r="B54" s="1521" t="s">
        <v>1247</v>
      </c>
      <c r="C54" s="1521">
        <v>17410</v>
      </c>
      <c r="D54" s="1521">
        <v>16780</v>
      </c>
      <c r="E54" s="1521">
        <v>16370</v>
      </c>
      <c r="F54" s="1535">
        <v>3410</v>
      </c>
    </row>
    <row r="55" spans="1:14" ht="14.25" customHeight="1" thickBot="1">
      <c r="A55" s="1527" t="s">
        <v>1131</v>
      </c>
      <c r="B55" s="1521" t="s">
        <v>1258</v>
      </c>
      <c r="C55" s="1521">
        <v>16930</v>
      </c>
      <c r="D55" s="1521">
        <v>14720</v>
      </c>
      <c r="E55" s="1521">
        <v>15000</v>
      </c>
      <c r="F55" s="1535">
        <v>3710</v>
      </c>
    </row>
    <row r="56" spans="1:14" ht="14.25" customHeight="1" thickBot="1">
      <c r="A56" s="1527" t="s">
        <v>1131</v>
      </c>
      <c r="B56" s="1521" t="s">
        <v>1269</v>
      </c>
      <c r="C56" s="1521">
        <v>14930</v>
      </c>
      <c r="D56" s="1521">
        <v>15850</v>
      </c>
      <c r="E56" s="1521">
        <v>14320</v>
      </c>
      <c r="F56" s="1535">
        <v>3960</v>
      </c>
    </row>
    <row r="57" spans="1:14" ht="14.25" customHeight="1" thickBot="1">
      <c r="A57" s="1527" t="s">
        <v>1131</v>
      </c>
      <c r="B57" s="1521" t="s">
        <v>1281</v>
      </c>
      <c r="C57" s="1521">
        <v>16160</v>
      </c>
      <c r="D57" s="1521">
        <v>16190</v>
      </c>
      <c r="E57" s="1521">
        <v>15650</v>
      </c>
      <c r="F57" s="1535">
        <v>4200</v>
      </c>
    </row>
    <row r="58" spans="1:14" ht="14.25" customHeight="1" thickBot="1">
      <c r="A58" s="1527" t="s">
        <v>1131</v>
      </c>
      <c r="B58" s="1521" t="s">
        <v>1291</v>
      </c>
      <c r="C58" s="1521">
        <v>16360</v>
      </c>
      <c r="D58" s="1521">
        <v>14050</v>
      </c>
      <c r="E58" s="1521">
        <v>16070</v>
      </c>
      <c r="F58" s="1535">
        <v>3990</v>
      </c>
    </row>
    <row r="59" spans="1:14" ht="14.25" customHeight="1" thickBot="1">
      <c r="A59" s="1527" t="s">
        <v>1131</v>
      </c>
      <c r="B59" s="1521" t="s">
        <v>1301</v>
      </c>
      <c r="C59" s="1521">
        <v>14160</v>
      </c>
      <c r="D59" s="1521">
        <v>16620</v>
      </c>
      <c r="E59" s="1521">
        <v>13940</v>
      </c>
      <c r="F59" s="1535">
        <v>4260</v>
      </c>
    </row>
    <row r="60" spans="1:14" ht="14.25" customHeight="1" thickBot="1">
      <c r="A60" s="1527" t="s">
        <v>1131</v>
      </c>
      <c r="B60" s="1521" t="s">
        <v>1311</v>
      </c>
      <c r="C60" s="1521">
        <v>16750</v>
      </c>
      <c r="D60" s="1521">
        <v>13910</v>
      </c>
      <c r="E60" s="1521">
        <v>16550</v>
      </c>
      <c r="F60" s="1535">
        <v>4550</v>
      </c>
    </row>
    <row r="61" spans="1:14" ht="14.25" customHeight="1" thickBot="1">
      <c r="A61" s="1527" t="s">
        <v>1131</v>
      </c>
      <c r="B61" s="1521" t="s">
        <v>1321</v>
      </c>
      <c r="C61" s="1521">
        <v>14000</v>
      </c>
      <c r="D61" s="1521">
        <v>14550</v>
      </c>
      <c r="E61" s="1521">
        <v>13860</v>
      </c>
      <c r="F61" s="1539"/>
    </row>
    <row r="62" spans="1:14" ht="14.25" customHeight="1" thickBot="1">
      <c r="A62" s="1527" t="s">
        <v>1131</v>
      </c>
      <c r="B62" s="1521" t="s">
        <v>1332</v>
      </c>
      <c r="C62" s="1521">
        <v>14660</v>
      </c>
      <c r="D62" s="1521">
        <v>17450</v>
      </c>
      <c r="E62" s="1521">
        <v>14470</v>
      </c>
      <c r="F62" s="1539"/>
    </row>
    <row r="63" spans="1:14" ht="14.25" customHeight="1" thickBot="1">
      <c r="A63" s="1527" t="s">
        <v>1131</v>
      </c>
      <c r="B63" s="1521" t="s">
        <v>1343</v>
      </c>
      <c r="C63" s="1521">
        <v>17610</v>
      </c>
      <c r="D63" s="1521">
        <v>16500</v>
      </c>
      <c r="E63" s="1521">
        <v>17330</v>
      </c>
      <c r="F63" s="1539"/>
    </row>
    <row r="64" spans="1:14" ht="14.25" customHeight="1" thickBot="1">
      <c r="A64" s="1527" t="s">
        <v>1131</v>
      </c>
      <c r="B64" s="1521" t="s">
        <v>1353</v>
      </c>
      <c r="C64" s="1521">
        <v>16590</v>
      </c>
      <c r="D64" s="1521">
        <v>15130</v>
      </c>
      <c r="E64" s="1521">
        <v>16420</v>
      </c>
      <c r="F64" s="1539"/>
    </row>
    <row r="65" spans="1:6" s="1515" customFormat="1" ht="14.25" customHeight="1" thickBot="1">
      <c r="A65" s="1527" t="s">
        <v>1131</v>
      </c>
      <c r="B65" s="1521" t="s">
        <v>1363</v>
      </c>
      <c r="C65" s="1521">
        <v>15220</v>
      </c>
      <c r="D65" s="1521">
        <v>14660</v>
      </c>
      <c r="E65" s="1521">
        <v>15060</v>
      </c>
      <c r="F65" s="1535"/>
    </row>
    <row r="66" spans="1:6" s="1515" customFormat="1" ht="14.25" customHeight="1" thickBot="1">
      <c r="A66" s="1527" t="s">
        <v>1131</v>
      </c>
      <c r="B66" s="1521" t="s">
        <v>1373</v>
      </c>
      <c r="C66" s="1521">
        <v>14720</v>
      </c>
      <c r="D66" s="1521">
        <v>15970</v>
      </c>
      <c r="E66" s="1521">
        <v>14610</v>
      </c>
      <c r="F66" s="1535"/>
    </row>
    <row r="67" spans="1:6" s="1515" customFormat="1" ht="14.25" customHeight="1" thickBot="1">
      <c r="A67" s="1527" t="s">
        <v>1131</v>
      </c>
      <c r="B67" s="1521" t="s">
        <v>1383</v>
      </c>
      <c r="C67" s="1521">
        <v>16080</v>
      </c>
      <c r="D67" s="1521">
        <v>14840</v>
      </c>
      <c r="E67" s="1521">
        <v>15630</v>
      </c>
      <c r="F67" s="1535"/>
    </row>
    <row r="68" spans="1:6" s="1515" customFormat="1" ht="14.25" customHeight="1" thickBot="1">
      <c r="A68" s="1527" t="s">
        <v>1131</v>
      </c>
      <c r="B68" s="1521" t="s">
        <v>1392</v>
      </c>
      <c r="C68" s="1521">
        <v>14940</v>
      </c>
      <c r="D68" s="1521">
        <v>18000</v>
      </c>
      <c r="E68" s="1521">
        <v>14040</v>
      </c>
      <c r="F68" s="1535"/>
    </row>
    <row r="69" spans="1:6" s="1515" customFormat="1" ht="14.25" customHeight="1" thickBot="1">
      <c r="A69" s="1527" t="s">
        <v>1131</v>
      </c>
      <c r="B69" s="1521" t="s">
        <v>1401</v>
      </c>
      <c r="C69" s="1521">
        <v>18810</v>
      </c>
      <c r="D69" s="1521">
        <v>15100</v>
      </c>
      <c r="E69" s="1521">
        <v>14710</v>
      </c>
      <c r="F69" s="1535"/>
    </row>
    <row r="70" spans="1:6" s="1515" customFormat="1" ht="14.25" customHeight="1" thickBot="1">
      <c r="A70" s="1527" t="s">
        <v>1131</v>
      </c>
      <c r="B70" s="1521" t="s">
        <v>1409</v>
      </c>
      <c r="C70" s="1521">
        <v>18270</v>
      </c>
      <c r="D70" s="1521"/>
      <c r="E70" s="1521"/>
      <c r="F70" s="1535"/>
    </row>
    <row r="71" spans="1:6" s="1515" customFormat="1" ht="14.25" customHeight="1" thickBot="1">
      <c r="A71" s="1527" t="s">
        <v>1131</v>
      </c>
      <c r="B71" s="1521" t="s">
        <v>1416</v>
      </c>
      <c r="C71" s="1521">
        <v>15230</v>
      </c>
      <c r="D71" s="1521"/>
      <c r="E71" s="1521"/>
      <c r="F71" s="1535"/>
    </row>
    <row r="72" spans="1:6" s="1515" customFormat="1" ht="14.25" customHeight="1" thickBot="1">
      <c r="A72" s="1527" t="s">
        <v>1131</v>
      </c>
      <c r="B72" s="1521" t="s">
        <v>1423</v>
      </c>
      <c r="C72" s="1521"/>
      <c r="D72" s="1521"/>
      <c r="E72" s="1521"/>
      <c r="F72" s="1535">
        <v>4120</v>
      </c>
    </row>
    <row r="73" spans="1:6" s="1515" customFormat="1" ht="14.25" customHeight="1" thickBot="1">
      <c r="A73" s="1527" t="s">
        <v>1131</v>
      </c>
      <c r="B73" s="1521" t="s">
        <v>1430</v>
      </c>
      <c r="C73" s="1521"/>
      <c r="D73" s="1521"/>
      <c r="E73" s="1521"/>
      <c r="F73" s="1535">
        <v>3930</v>
      </c>
    </row>
    <row r="74" spans="1:6" s="1515" customFormat="1" ht="14.25" customHeight="1" thickBot="1">
      <c r="A74" s="1527" t="s">
        <v>1131</v>
      </c>
      <c r="B74" s="1521" t="s">
        <v>1437</v>
      </c>
      <c r="C74" s="1521"/>
      <c r="D74" s="1521"/>
      <c r="E74" s="1521"/>
      <c r="F74" s="1535">
        <v>4060</v>
      </c>
    </row>
    <row r="75" spans="1:6" s="1515" customFormat="1" ht="14.25" customHeight="1" thickBot="1">
      <c r="A75" s="1527" t="s">
        <v>1131</v>
      </c>
      <c r="B75" s="1533" t="s">
        <v>1444</v>
      </c>
      <c r="C75" s="1533"/>
      <c r="D75" s="1533"/>
      <c r="E75" s="1533"/>
      <c r="F75" s="1538">
        <v>3750</v>
      </c>
    </row>
    <row r="76" spans="1:6" s="1515" customFormat="1" ht="14.25" customHeight="1" thickBot="1">
      <c r="A76" s="1527" t="s">
        <v>1531</v>
      </c>
      <c r="B76" s="1528" t="s">
        <v>1532</v>
      </c>
      <c r="C76" s="1528">
        <v>14690</v>
      </c>
      <c r="D76" s="1528">
        <v>14640</v>
      </c>
      <c r="E76" s="1528">
        <v>14590</v>
      </c>
      <c r="F76" s="1529">
        <v>3060</v>
      </c>
    </row>
    <row r="77" spans="1:6" s="1515" customFormat="1" ht="14.25" customHeight="1" thickBot="1">
      <c r="A77" s="1527" t="s">
        <v>1531</v>
      </c>
      <c r="B77" s="1521" t="s">
        <v>1199</v>
      </c>
      <c r="C77" s="1521">
        <v>12550</v>
      </c>
      <c r="D77" s="1521">
        <v>12480</v>
      </c>
      <c r="E77" s="1521">
        <v>12450</v>
      </c>
      <c r="F77" s="1535">
        <v>2590</v>
      </c>
    </row>
    <row r="78" spans="1:6" s="1515" customFormat="1" ht="14.25" customHeight="1" thickBot="1">
      <c r="A78" s="1527" t="s">
        <v>1531</v>
      </c>
      <c r="B78" s="1521" t="s">
        <v>1212</v>
      </c>
      <c r="C78" s="1521">
        <v>14360</v>
      </c>
      <c r="D78" s="1521">
        <v>14320</v>
      </c>
      <c r="E78" s="1521">
        <v>12510</v>
      </c>
      <c r="F78" s="1535">
        <v>2700</v>
      </c>
    </row>
    <row r="79" spans="1:6" s="1515" customFormat="1" ht="14.25" customHeight="1" thickBot="1">
      <c r="A79" s="1527" t="s">
        <v>1531</v>
      </c>
      <c r="B79" s="1521" t="s">
        <v>1225</v>
      </c>
      <c r="C79" s="1521">
        <v>12590</v>
      </c>
      <c r="D79" s="1521">
        <v>12540</v>
      </c>
      <c r="E79" s="1521">
        <v>12350</v>
      </c>
      <c r="F79" s="1535">
        <v>2740</v>
      </c>
    </row>
    <row r="80" spans="1:6" s="1515" customFormat="1" ht="14.25" customHeight="1" thickBot="1">
      <c r="A80" s="1527" t="s">
        <v>1531</v>
      </c>
      <c r="B80" s="1521" t="s">
        <v>1237</v>
      </c>
      <c r="C80" s="1521">
        <v>12450</v>
      </c>
      <c r="D80" s="1521">
        <v>12370</v>
      </c>
      <c r="E80" s="1521">
        <v>10790</v>
      </c>
      <c r="F80" s="1535">
        <v>2290</v>
      </c>
    </row>
    <row r="81" spans="1:6" s="1515" customFormat="1" ht="14.25" customHeight="1" thickBot="1">
      <c r="A81" s="1527" t="s">
        <v>1531</v>
      </c>
      <c r="B81" s="1521" t="s">
        <v>1248</v>
      </c>
      <c r="C81" s="1521">
        <v>14210</v>
      </c>
      <c r="D81" s="1521">
        <v>14150</v>
      </c>
      <c r="E81" s="1521">
        <v>12730</v>
      </c>
      <c r="F81" s="1535">
        <v>2240</v>
      </c>
    </row>
    <row r="82" spans="1:6" s="1515" customFormat="1" ht="14.25" customHeight="1" thickBot="1">
      <c r="A82" s="1527" t="s">
        <v>1531</v>
      </c>
      <c r="B82" s="1521" t="s">
        <v>1259</v>
      </c>
      <c r="C82" s="1521">
        <v>10860</v>
      </c>
      <c r="D82" s="1521">
        <v>10820</v>
      </c>
      <c r="E82" s="1521">
        <v>14720</v>
      </c>
      <c r="F82" s="1535">
        <v>2490</v>
      </c>
    </row>
    <row r="83" spans="1:6" s="1515" customFormat="1" ht="14.25" customHeight="1" thickBot="1">
      <c r="A83" s="1527" t="s">
        <v>1531</v>
      </c>
      <c r="B83" s="1521" t="s">
        <v>1270</v>
      </c>
      <c r="C83" s="1521">
        <v>12810</v>
      </c>
      <c r="D83" s="1521">
        <v>12760</v>
      </c>
      <c r="E83" s="1521">
        <v>14830</v>
      </c>
      <c r="F83" s="1535">
        <v>2450</v>
      </c>
    </row>
    <row r="84" spans="1:6" s="1515" customFormat="1" ht="14.25" customHeight="1" thickBot="1">
      <c r="A84" s="1527" t="s">
        <v>1531</v>
      </c>
      <c r="B84" s="1521" t="s">
        <v>1282</v>
      </c>
      <c r="C84" s="1521">
        <v>14950</v>
      </c>
      <c r="D84" s="1521">
        <v>14810</v>
      </c>
      <c r="E84" s="1521">
        <v>12590</v>
      </c>
      <c r="F84" s="1535">
        <v>2540</v>
      </c>
    </row>
    <row r="85" spans="1:6" s="1515" customFormat="1" ht="14.25" customHeight="1" thickBot="1">
      <c r="A85" s="1527" t="s">
        <v>1531</v>
      </c>
      <c r="B85" s="1521" t="s">
        <v>1292</v>
      </c>
      <c r="C85" s="1521">
        <v>14960</v>
      </c>
      <c r="D85" s="1521">
        <v>14890</v>
      </c>
      <c r="E85" s="1521">
        <v>12840</v>
      </c>
      <c r="F85" s="1535">
        <v>2840</v>
      </c>
    </row>
    <row r="86" spans="1:6" s="1515" customFormat="1" ht="14.25" customHeight="1" thickBot="1">
      <c r="A86" s="1527" t="s">
        <v>1531</v>
      </c>
      <c r="B86" s="1521" t="s">
        <v>1302</v>
      </c>
      <c r="C86" s="1521">
        <v>12730</v>
      </c>
      <c r="D86" s="1521">
        <v>12660</v>
      </c>
      <c r="E86" s="1521">
        <v>13310</v>
      </c>
      <c r="F86" s="1535">
        <v>3140</v>
      </c>
    </row>
    <row r="87" spans="1:6" s="1515" customFormat="1" ht="14.25" customHeight="1" thickBot="1">
      <c r="A87" s="1527" t="s">
        <v>1531</v>
      </c>
      <c r="B87" s="1521" t="s">
        <v>1312</v>
      </c>
      <c r="C87" s="1521">
        <v>12940</v>
      </c>
      <c r="D87" s="1521">
        <v>12890</v>
      </c>
      <c r="E87" s="1521">
        <v>11580</v>
      </c>
      <c r="F87" s="1539"/>
    </row>
    <row r="88" spans="1:6" s="1515" customFormat="1" ht="14.25" customHeight="1" thickBot="1">
      <c r="A88" s="1527" t="s">
        <v>1531</v>
      </c>
      <c r="B88" s="1521" t="s">
        <v>1322</v>
      </c>
      <c r="C88" s="1521">
        <v>13430</v>
      </c>
      <c r="D88" s="1521">
        <v>13360</v>
      </c>
      <c r="E88" s="1521">
        <v>12790</v>
      </c>
      <c r="F88" s="1539"/>
    </row>
    <row r="89" spans="1:6" s="1515" customFormat="1" ht="14.25" customHeight="1" thickBot="1">
      <c r="A89" s="1527" t="s">
        <v>1531</v>
      </c>
      <c r="B89" s="1521" t="s">
        <v>1333</v>
      </c>
      <c r="C89" s="1521">
        <v>11680</v>
      </c>
      <c r="D89" s="1521">
        <v>11630</v>
      </c>
      <c r="E89" s="1521">
        <v>11320</v>
      </c>
      <c r="F89" s="1539"/>
    </row>
    <row r="90" spans="1:6" s="1515" customFormat="1" ht="14.25" customHeight="1" thickBot="1">
      <c r="A90" s="1527" t="s">
        <v>1531</v>
      </c>
      <c r="B90" s="1521" t="s">
        <v>1344</v>
      </c>
      <c r="C90" s="1521">
        <v>12890</v>
      </c>
      <c r="D90" s="1521">
        <v>12820</v>
      </c>
      <c r="E90" s="1521">
        <v>12710</v>
      </c>
      <c r="F90" s="1539"/>
    </row>
    <row r="91" spans="1:6" s="1515" customFormat="1" ht="14.25" customHeight="1" thickBot="1">
      <c r="A91" s="1527" t="s">
        <v>1531</v>
      </c>
      <c r="B91" s="1521" t="s">
        <v>1354</v>
      </c>
      <c r="C91" s="1521">
        <v>11410</v>
      </c>
      <c r="D91" s="1521">
        <v>11360</v>
      </c>
      <c r="E91" s="1521">
        <v>12670</v>
      </c>
      <c r="F91" s="1539"/>
    </row>
    <row r="92" spans="1:6" s="1515" customFormat="1" ht="14.25" customHeight="1" thickBot="1">
      <c r="A92" s="1527" t="s">
        <v>1531</v>
      </c>
      <c r="B92" s="1521" t="s">
        <v>1364</v>
      </c>
      <c r="C92" s="1521">
        <v>12770</v>
      </c>
      <c r="D92" s="1521">
        <v>12740</v>
      </c>
      <c r="E92" s="1521">
        <v>11970</v>
      </c>
      <c r="F92" s="1539"/>
    </row>
    <row r="93" spans="1:6" s="1515" customFormat="1" ht="14.25" customHeight="1" thickBot="1">
      <c r="A93" s="1527" t="s">
        <v>1531</v>
      </c>
      <c r="B93" s="1521" t="s">
        <v>1374</v>
      </c>
      <c r="C93" s="1521">
        <v>12740</v>
      </c>
      <c r="D93" s="1521">
        <v>12700</v>
      </c>
      <c r="E93" s="1521">
        <v>12540</v>
      </c>
      <c r="F93" s="1539"/>
    </row>
    <row r="94" spans="1:6" s="1515" customFormat="1" ht="14.25" customHeight="1" thickBot="1">
      <c r="A94" s="1527" t="s">
        <v>1531</v>
      </c>
      <c r="B94" s="1521" t="s">
        <v>1384</v>
      </c>
      <c r="C94" s="1521">
        <v>12020</v>
      </c>
      <c r="D94" s="1521">
        <v>11990</v>
      </c>
      <c r="E94" s="1521">
        <v>13110</v>
      </c>
      <c r="F94" s="1539"/>
    </row>
    <row r="95" spans="1:6" s="1515" customFormat="1" ht="14.25" customHeight="1" thickBot="1">
      <c r="A95" s="1527" t="s">
        <v>1531</v>
      </c>
      <c r="B95" s="1521" t="s">
        <v>1393</v>
      </c>
      <c r="C95" s="1521">
        <v>12620</v>
      </c>
      <c r="D95" s="1521">
        <v>12580</v>
      </c>
      <c r="E95" s="1521">
        <v>13160</v>
      </c>
      <c r="F95" s="1535"/>
    </row>
    <row r="96" spans="1:6" s="1515" customFormat="1" ht="14.25" customHeight="1" thickBot="1">
      <c r="A96" s="1527" t="s">
        <v>1531</v>
      </c>
      <c r="B96" s="1521" t="s">
        <v>1402</v>
      </c>
      <c r="C96" s="1521">
        <v>13200</v>
      </c>
      <c r="D96" s="1521">
        <v>13150</v>
      </c>
      <c r="E96" s="1521">
        <v>12900</v>
      </c>
      <c r="F96" s="1535"/>
    </row>
    <row r="97" spans="1:6" s="1515" customFormat="1" ht="14.25" customHeight="1" thickBot="1">
      <c r="A97" s="1527" t="s">
        <v>1531</v>
      </c>
      <c r="B97" s="1521" t="s">
        <v>1410</v>
      </c>
      <c r="C97" s="1521">
        <v>13270</v>
      </c>
      <c r="D97" s="1521">
        <v>13210</v>
      </c>
      <c r="E97" s="1521">
        <v>11080</v>
      </c>
      <c r="F97" s="1535"/>
    </row>
    <row r="98" spans="1:6" s="1515" customFormat="1" ht="14.25" customHeight="1" thickBot="1">
      <c r="A98" s="1527" t="s">
        <v>1531</v>
      </c>
      <c r="B98" s="1521" t="s">
        <v>1417</v>
      </c>
      <c r="C98" s="1521">
        <v>13010</v>
      </c>
      <c r="D98" s="1521">
        <v>12930</v>
      </c>
      <c r="E98" s="1521">
        <v>12840</v>
      </c>
      <c r="F98" s="1535"/>
    </row>
    <row r="99" spans="1:6" s="1515" customFormat="1" ht="14.25" customHeight="1" thickBot="1">
      <c r="A99" s="1527" t="s">
        <v>1531</v>
      </c>
      <c r="B99" s="1521" t="s">
        <v>1424</v>
      </c>
      <c r="C99" s="1521">
        <v>11190</v>
      </c>
      <c r="D99" s="1521">
        <v>11130</v>
      </c>
      <c r="E99" s="1521"/>
      <c r="F99" s="1535"/>
    </row>
    <row r="100" spans="1:6" s="1515" customFormat="1" ht="14.25" customHeight="1" thickBot="1">
      <c r="A100" s="1527" t="s">
        <v>1531</v>
      </c>
      <c r="B100" s="1521" t="s">
        <v>1431</v>
      </c>
      <c r="C100" s="1521">
        <v>14280</v>
      </c>
      <c r="D100" s="1521">
        <v>14180</v>
      </c>
      <c r="E100" s="1521"/>
      <c r="F100" s="1535"/>
    </row>
    <row r="101" spans="1:6" s="1515" customFormat="1" ht="14.25" customHeight="1" thickBot="1">
      <c r="A101" s="1527" t="s">
        <v>1531</v>
      </c>
      <c r="B101" s="1521" t="s">
        <v>1438</v>
      </c>
      <c r="C101" s="1521">
        <v>12960</v>
      </c>
      <c r="D101" s="1521">
        <v>12890</v>
      </c>
      <c r="E101" s="1521"/>
      <c r="F101" s="1535"/>
    </row>
    <row r="102" spans="1:6" s="1515" customFormat="1" ht="14.25" customHeight="1" thickBot="1">
      <c r="A102" s="1527" t="s">
        <v>1531</v>
      </c>
      <c r="B102" s="1521" t="s">
        <v>1445</v>
      </c>
      <c r="C102" s="1521"/>
      <c r="D102" s="1521"/>
      <c r="E102" s="1521"/>
      <c r="F102" s="1535">
        <v>3100</v>
      </c>
    </row>
    <row r="103" spans="1:6" s="1515" customFormat="1" ht="14.25" customHeight="1" thickBot="1">
      <c r="A103" s="1527" t="s">
        <v>1531</v>
      </c>
      <c r="B103" s="1521" t="s">
        <v>1452</v>
      </c>
      <c r="C103" s="1521"/>
      <c r="D103" s="1521"/>
      <c r="E103" s="1521"/>
      <c r="F103" s="1535">
        <v>2320</v>
      </c>
    </row>
    <row r="104" spans="1:6" s="1515" customFormat="1" ht="14.25" customHeight="1" thickBot="1">
      <c r="A104" s="1527" t="s">
        <v>1531</v>
      </c>
      <c r="B104" s="1521" t="s">
        <v>1457</v>
      </c>
      <c r="C104" s="1521"/>
      <c r="D104" s="1521"/>
      <c r="E104" s="1521"/>
      <c r="F104" s="1535">
        <v>2320</v>
      </c>
    </row>
    <row r="105" spans="1:6" s="1515" customFormat="1" ht="14.25" customHeight="1" thickBot="1">
      <c r="A105" s="1527" t="s">
        <v>1531</v>
      </c>
      <c r="B105" s="1521" t="s">
        <v>1461</v>
      </c>
      <c r="C105" s="1521"/>
      <c r="D105" s="1521"/>
      <c r="E105" s="1521"/>
      <c r="F105" s="1535">
        <v>2320</v>
      </c>
    </row>
    <row r="106" spans="1:6" s="1515" customFormat="1" ht="14.25" customHeight="1" thickBot="1">
      <c r="A106" s="1527" t="s">
        <v>1531</v>
      </c>
      <c r="B106" s="1521" t="s">
        <v>1466</v>
      </c>
      <c r="C106" s="1521"/>
      <c r="D106" s="1521"/>
      <c r="E106" s="1521"/>
      <c r="F106" s="1535">
        <v>2320</v>
      </c>
    </row>
    <row r="107" spans="1:6" s="1515" customFormat="1" ht="14.25" customHeight="1" thickBot="1">
      <c r="A107" s="1527" t="s">
        <v>1531</v>
      </c>
      <c r="B107" s="1521" t="s">
        <v>1471</v>
      </c>
      <c r="C107" s="1521"/>
      <c r="D107" s="1521"/>
      <c r="E107" s="1521"/>
      <c r="F107" s="1535">
        <v>2280</v>
      </c>
    </row>
    <row r="108" spans="1:6" s="1515" customFormat="1" ht="14.25" customHeight="1" thickBot="1">
      <c r="A108" s="1527" t="s">
        <v>1531</v>
      </c>
      <c r="B108" s="1521" t="s">
        <v>1476</v>
      </c>
      <c r="C108" s="1521"/>
      <c r="D108" s="1521"/>
      <c r="E108" s="1521"/>
      <c r="F108" s="1535">
        <v>2280</v>
      </c>
    </row>
    <row r="109" spans="1:6" s="1515" customFormat="1" ht="14.25" customHeight="1" thickBot="1">
      <c r="A109" s="1527" t="s">
        <v>1531</v>
      </c>
      <c r="B109" s="1533" t="s">
        <v>1481</v>
      </c>
      <c r="C109" s="1533"/>
      <c r="D109" s="1533"/>
      <c r="E109" s="1533"/>
      <c r="F109" s="1538">
        <v>2280</v>
      </c>
    </row>
    <row r="110" spans="1:6" s="1515" customFormat="1" ht="14.25" customHeight="1" thickBot="1">
      <c r="A110" s="1527" t="s">
        <v>199</v>
      </c>
      <c r="B110" s="1528" t="s">
        <v>1533</v>
      </c>
      <c r="C110" s="1528">
        <v>10520</v>
      </c>
      <c r="D110" s="1528">
        <v>10490</v>
      </c>
      <c r="E110" s="1528">
        <v>10760</v>
      </c>
      <c r="F110" s="1529">
        <v>2160</v>
      </c>
    </row>
    <row r="111" spans="1:6" s="1515" customFormat="1" ht="14.25" customHeight="1" thickBot="1">
      <c r="A111" s="1527" t="s">
        <v>199</v>
      </c>
      <c r="B111" s="1521" t="s">
        <v>1200</v>
      </c>
      <c r="C111" s="1521">
        <v>10090</v>
      </c>
      <c r="D111" s="1521">
        <v>10060</v>
      </c>
      <c r="E111" s="1521">
        <v>10300</v>
      </c>
      <c r="F111" s="1535">
        <v>2010</v>
      </c>
    </row>
    <row r="112" spans="1:6" s="1515" customFormat="1" ht="14.25" customHeight="1" thickBot="1">
      <c r="A112" s="1527" t="s">
        <v>199</v>
      </c>
      <c r="B112" s="1521" t="s">
        <v>1213</v>
      </c>
      <c r="C112" s="1521">
        <v>9910</v>
      </c>
      <c r="D112" s="1521">
        <v>9850</v>
      </c>
      <c r="E112" s="1521">
        <v>9960</v>
      </c>
      <c r="F112" s="1535">
        <v>2090</v>
      </c>
    </row>
    <row r="113" spans="1:6" s="1515" customFormat="1" ht="14.25" customHeight="1" thickBot="1">
      <c r="A113" s="1527" t="s">
        <v>199</v>
      </c>
      <c r="B113" s="1521" t="s">
        <v>1226</v>
      </c>
      <c r="C113" s="1521">
        <v>11430</v>
      </c>
      <c r="D113" s="1521">
        <v>11400</v>
      </c>
      <c r="E113" s="1521">
        <v>11710</v>
      </c>
      <c r="F113" s="1535">
        <v>2050</v>
      </c>
    </row>
    <row r="114" spans="1:6" s="1515" customFormat="1" ht="14.25" customHeight="1" thickBot="1">
      <c r="A114" s="1527" t="s">
        <v>199</v>
      </c>
      <c r="B114" s="1521" t="s">
        <v>1238</v>
      </c>
      <c r="C114" s="1521">
        <v>11390</v>
      </c>
      <c r="D114" s="1521">
        <v>11350</v>
      </c>
      <c r="E114" s="1521">
        <v>11640</v>
      </c>
      <c r="F114" s="1535">
        <v>1620</v>
      </c>
    </row>
    <row r="115" spans="1:6" s="1515" customFormat="1" ht="14.25" customHeight="1" thickBot="1">
      <c r="A115" s="1527" t="s">
        <v>199</v>
      </c>
      <c r="B115" s="1521" t="s">
        <v>1249</v>
      </c>
      <c r="C115" s="1521">
        <v>9930</v>
      </c>
      <c r="D115" s="1521">
        <v>9900</v>
      </c>
      <c r="E115" s="1521">
        <v>10160</v>
      </c>
      <c r="F115" s="1535">
        <v>1580</v>
      </c>
    </row>
    <row r="116" spans="1:6" s="1515" customFormat="1" ht="14.25" customHeight="1" thickBot="1">
      <c r="A116" s="1527" t="s">
        <v>199</v>
      </c>
      <c r="B116" s="1521" t="s">
        <v>1260</v>
      </c>
      <c r="C116" s="1521">
        <v>9150</v>
      </c>
      <c r="D116" s="1521">
        <v>9120</v>
      </c>
      <c r="E116" s="1521">
        <v>9380</v>
      </c>
      <c r="F116" s="1535">
        <v>1750</v>
      </c>
    </row>
    <row r="117" spans="1:6" s="1515" customFormat="1" ht="14.25" customHeight="1" thickBot="1">
      <c r="A117" s="1527" t="s">
        <v>199</v>
      </c>
      <c r="B117" s="1521" t="s">
        <v>1271</v>
      </c>
      <c r="C117" s="1521">
        <v>10680</v>
      </c>
      <c r="D117" s="1521">
        <v>10650</v>
      </c>
      <c r="E117" s="1521">
        <v>10970</v>
      </c>
      <c r="F117" s="1535">
        <v>1730</v>
      </c>
    </row>
    <row r="118" spans="1:6" s="1515" customFormat="1" ht="14.25" customHeight="1" thickBot="1">
      <c r="A118" s="1527" t="s">
        <v>199</v>
      </c>
      <c r="B118" s="1521" t="s">
        <v>1283</v>
      </c>
      <c r="C118" s="1521">
        <v>10080</v>
      </c>
      <c r="D118" s="1521">
        <v>10050</v>
      </c>
      <c r="E118" s="1521">
        <v>10350</v>
      </c>
      <c r="F118" s="1535">
        <v>1920</v>
      </c>
    </row>
    <row r="119" spans="1:6" s="1515" customFormat="1" ht="14.25" customHeight="1" thickBot="1">
      <c r="A119" s="1527" t="s">
        <v>199</v>
      </c>
      <c r="B119" s="1521" t="s">
        <v>1293</v>
      </c>
      <c r="C119" s="1521">
        <v>9450</v>
      </c>
      <c r="D119" s="1521">
        <v>9410</v>
      </c>
      <c r="E119" s="1521">
        <v>9680</v>
      </c>
      <c r="F119" s="1535">
        <v>1880</v>
      </c>
    </row>
    <row r="120" spans="1:6" s="1515" customFormat="1" ht="14.25" customHeight="1" thickBot="1">
      <c r="A120" s="1527" t="s">
        <v>199</v>
      </c>
      <c r="B120" s="1521" t="s">
        <v>1303</v>
      </c>
      <c r="C120" s="1521">
        <v>8730</v>
      </c>
      <c r="D120" s="1521">
        <v>8700</v>
      </c>
      <c r="E120" s="1521">
        <v>8950</v>
      </c>
      <c r="F120" s="1535">
        <v>1830</v>
      </c>
    </row>
    <row r="121" spans="1:6" s="1515" customFormat="1" ht="14.25" customHeight="1" thickBot="1">
      <c r="A121" s="1527" t="s">
        <v>199</v>
      </c>
      <c r="B121" s="1521" t="s">
        <v>1313</v>
      </c>
      <c r="C121" s="1521">
        <v>10070</v>
      </c>
      <c r="D121" s="1521">
        <v>10040</v>
      </c>
      <c r="E121" s="1521">
        <v>10270</v>
      </c>
      <c r="F121" s="1535">
        <v>1960</v>
      </c>
    </row>
    <row r="122" spans="1:6" s="1515" customFormat="1" ht="14.25" customHeight="1" thickBot="1">
      <c r="A122" s="1527" t="s">
        <v>199</v>
      </c>
      <c r="B122" s="1521" t="s">
        <v>1323</v>
      </c>
      <c r="C122" s="1521">
        <v>10500</v>
      </c>
      <c r="D122" s="1521">
        <v>10470</v>
      </c>
      <c r="E122" s="1521">
        <v>10780</v>
      </c>
      <c r="F122" s="1535">
        <v>2180</v>
      </c>
    </row>
    <row r="123" spans="1:6" s="1515" customFormat="1" ht="14.25" customHeight="1" thickBot="1">
      <c r="A123" s="1527" t="s">
        <v>199</v>
      </c>
      <c r="B123" s="1521" t="s">
        <v>1334</v>
      </c>
      <c r="C123" s="1521">
        <v>10390</v>
      </c>
      <c r="D123" s="1521">
        <v>10360</v>
      </c>
      <c r="E123" s="1521">
        <v>10660</v>
      </c>
      <c r="F123" s="1535">
        <v>2040</v>
      </c>
    </row>
    <row r="124" spans="1:6" s="1515" customFormat="1" ht="14.25" customHeight="1" thickBot="1">
      <c r="A124" s="1527" t="s">
        <v>199</v>
      </c>
      <c r="B124" s="1521" t="s">
        <v>1345</v>
      </c>
      <c r="C124" s="1521">
        <v>10390</v>
      </c>
      <c r="D124" s="1521">
        <v>10360</v>
      </c>
      <c r="E124" s="1521">
        <v>10680</v>
      </c>
      <c r="F124" s="1539"/>
    </row>
    <row r="125" spans="1:6" s="1515" customFormat="1" ht="14.25" customHeight="1" thickBot="1">
      <c r="A125" s="1527" t="s">
        <v>199</v>
      </c>
      <c r="B125" s="1521" t="s">
        <v>1355</v>
      </c>
      <c r="C125" s="1521">
        <v>10440</v>
      </c>
      <c r="D125" s="1521">
        <v>10410</v>
      </c>
      <c r="E125" s="1521">
        <v>10710</v>
      </c>
      <c r="F125" s="1539"/>
    </row>
    <row r="126" spans="1:6" s="1515" customFormat="1" ht="14.25" customHeight="1" thickBot="1">
      <c r="A126" s="1527" t="s">
        <v>199</v>
      </c>
      <c r="B126" s="1521" t="s">
        <v>1365</v>
      </c>
      <c r="C126" s="1521">
        <v>10780</v>
      </c>
      <c r="D126" s="1521">
        <v>10750</v>
      </c>
      <c r="E126" s="1521">
        <v>11080</v>
      </c>
      <c r="F126" s="1539"/>
    </row>
    <row r="127" spans="1:6" s="1515" customFormat="1" ht="14.25" customHeight="1" thickBot="1">
      <c r="A127" s="1527" t="s">
        <v>199</v>
      </c>
      <c r="B127" s="1521" t="s">
        <v>1375</v>
      </c>
      <c r="C127" s="1521">
        <v>10100</v>
      </c>
      <c r="D127" s="1521">
        <v>10070</v>
      </c>
      <c r="E127" s="1521">
        <v>10350</v>
      </c>
      <c r="F127" s="1539"/>
    </row>
    <row r="128" spans="1:6" s="1515" customFormat="1" ht="14.25" customHeight="1" thickBot="1">
      <c r="A128" s="1527" t="s">
        <v>199</v>
      </c>
      <c r="B128" s="1521" t="s">
        <v>1385</v>
      </c>
      <c r="C128" s="1521">
        <v>9200</v>
      </c>
      <c r="D128" s="1521">
        <v>9160</v>
      </c>
      <c r="E128" s="1521">
        <v>9660</v>
      </c>
      <c r="F128" s="1539"/>
    </row>
    <row r="129" spans="1:6" s="1515" customFormat="1" ht="14.25" customHeight="1" thickBot="1">
      <c r="A129" s="1527" t="s">
        <v>199</v>
      </c>
      <c r="B129" s="1521" t="s">
        <v>1394</v>
      </c>
      <c r="C129" s="1521">
        <v>10340</v>
      </c>
      <c r="D129" s="1521">
        <v>10310</v>
      </c>
      <c r="E129" s="1521">
        <v>10580</v>
      </c>
      <c r="F129" s="1539"/>
    </row>
    <row r="130" spans="1:6" s="1515" customFormat="1" ht="14.25" customHeight="1" thickBot="1">
      <c r="A130" s="1527" t="s">
        <v>199</v>
      </c>
      <c r="B130" s="1521" t="s">
        <v>1403</v>
      </c>
      <c r="C130" s="1521">
        <v>9680</v>
      </c>
      <c r="D130" s="1521">
        <v>9660</v>
      </c>
      <c r="E130" s="1521">
        <v>9950</v>
      </c>
      <c r="F130" s="1539"/>
    </row>
    <row r="131" spans="1:6" s="1515" customFormat="1" ht="14.25" customHeight="1" thickBot="1">
      <c r="A131" s="1527" t="s">
        <v>199</v>
      </c>
      <c r="B131" s="1521" t="s">
        <v>1411</v>
      </c>
      <c r="C131" s="1521">
        <v>9540</v>
      </c>
      <c r="D131" s="1521">
        <v>9510</v>
      </c>
      <c r="E131" s="1521">
        <v>9790</v>
      </c>
      <c r="F131" s="1539"/>
    </row>
    <row r="132" spans="1:6" s="1515" customFormat="1" ht="14.25" customHeight="1" thickBot="1">
      <c r="A132" s="1527" t="s">
        <v>199</v>
      </c>
      <c r="B132" s="1521" t="s">
        <v>1418</v>
      </c>
      <c r="C132" s="1521">
        <v>9320</v>
      </c>
      <c r="D132" s="1521">
        <v>9290</v>
      </c>
      <c r="E132" s="1521">
        <v>9570</v>
      </c>
      <c r="F132" s="1539"/>
    </row>
    <row r="133" spans="1:6" s="1515" customFormat="1" ht="14.25" customHeight="1" thickBot="1">
      <c r="A133" s="1527" t="s">
        <v>199</v>
      </c>
      <c r="B133" s="1521" t="s">
        <v>1425</v>
      </c>
      <c r="C133" s="1521">
        <v>10310</v>
      </c>
      <c r="D133" s="1521">
        <v>10280</v>
      </c>
      <c r="E133" s="1521">
        <v>10530</v>
      </c>
      <c r="F133" s="1539"/>
    </row>
    <row r="134" spans="1:6" s="1515" customFormat="1" ht="14.25" customHeight="1" thickBot="1">
      <c r="A134" s="1527" t="s">
        <v>199</v>
      </c>
      <c r="B134" s="1521" t="s">
        <v>1432</v>
      </c>
      <c r="C134" s="1521">
        <v>10370</v>
      </c>
      <c r="D134" s="1521">
        <v>10310</v>
      </c>
      <c r="E134" s="1521">
        <v>10240</v>
      </c>
      <c r="F134" s="1535">
        <v>2060</v>
      </c>
    </row>
    <row r="135" spans="1:6" s="1515" customFormat="1" ht="14.25" customHeight="1" thickBot="1">
      <c r="A135" s="1527" t="s">
        <v>199</v>
      </c>
      <c r="B135" s="1521" t="s">
        <v>1439</v>
      </c>
      <c r="C135" s="1521">
        <v>9300</v>
      </c>
      <c r="D135" s="1521">
        <v>9270</v>
      </c>
      <c r="E135" s="1521">
        <v>9350</v>
      </c>
      <c r="F135" s="1539"/>
    </row>
    <row r="136" spans="1:6" s="1515" customFormat="1" ht="14.25" customHeight="1" thickBot="1">
      <c r="A136" s="1527" t="s">
        <v>199</v>
      </c>
      <c r="B136" s="1521" t="s">
        <v>1446</v>
      </c>
      <c r="C136" s="1521">
        <v>10160</v>
      </c>
      <c r="D136" s="1521">
        <v>10110</v>
      </c>
      <c r="E136" s="1521">
        <v>10080</v>
      </c>
      <c r="F136" s="1539"/>
    </row>
    <row r="137" spans="1:6" s="1515" customFormat="1" ht="14.25" customHeight="1" thickBot="1">
      <c r="A137" s="1527" t="s">
        <v>199</v>
      </c>
      <c r="B137" s="1521" t="s">
        <v>1453</v>
      </c>
      <c r="C137" s="1521">
        <v>9200</v>
      </c>
      <c r="D137" s="1521">
        <v>9170</v>
      </c>
      <c r="E137" s="1521">
        <v>9450</v>
      </c>
      <c r="F137" s="1539"/>
    </row>
    <row r="138" spans="1:6" s="1515" customFormat="1" ht="14.25" customHeight="1" thickBot="1">
      <c r="A138" s="1527" t="s">
        <v>199</v>
      </c>
      <c r="B138" s="1521" t="s">
        <v>1458</v>
      </c>
      <c r="C138" s="1521">
        <v>9690</v>
      </c>
      <c r="D138" s="1521">
        <v>9660</v>
      </c>
      <c r="E138" s="1521">
        <v>9840</v>
      </c>
      <c r="F138" s="1539"/>
    </row>
    <row r="139" spans="1:6" s="1515" customFormat="1" ht="14.25" customHeight="1" thickBot="1">
      <c r="A139" s="1527" t="s">
        <v>199</v>
      </c>
      <c r="B139" s="1521" t="s">
        <v>1462</v>
      </c>
      <c r="C139" s="1521">
        <v>10290</v>
      </c>
      <c r="D139" s="1521">
        <v>10260</v>
      </c>
      <c r="E139" s="1521">
        <v>10550</v>
      </c>
      <c r="F139" s="1535">
        <v>1700</v>
      </c>
    </row>
    <row r="140" spans="1:6" s="1515" customFormat="1" ht="14.25" customHeight="1" thickBot="1">
      <c r="A140" s="1527" t="s">
        <v>199</v>
      </c>
      <c r="B140" s="1521" t="s">
        <v>1467</v>
      </c>
      <c r="C140" s="1521">
        <v>9740</v>
      </c>
      <c r="D140" s="1521">
        <v>9710</v>
      </c>
      <c r="E140" s="1521">
        <v>10000</v>
      </c>
      <c r="F140" s="1535">
        <v>2000</v>
      </c>
    </row>
    <row r="141" spans="1:6" s="1515" customFormat="1" ht="14.25" customHeight="1" thickBot="1">
      <c r="A141" s="1527" t="s">
        <v>199</v>
      </c>
      <c r="B141" s="1521" t="s">
        <v>1472</v>
      </c>
      <c r="C141" s="1521">
        <v>9810</v>
      </c>
      <c r="D141" s="1521">
        <v>9770</v>
      </c>
      <c r="E141" s="1521">
        <v>10060</v>
      </c>
      <c r="F141" s="1539"/>
    </row>
    <row r="142" spans="1:6" s="1515" customFormat="1" ht="14.25" customHeight="1" thickBot="1">
      <c r="A142" s="1527" t="s">
        <v>199</v>
      </c>
      <c r="B142" s="1521" t="s">
        <v>1477</v>
      </c>
      <c r="C142" s="1521">
        <v>9300</v>
      </c>
      <c r="D142" s="1521">
        <v>9270</v>
      </c>
      <c r="E142" s="1521">
        <v>9530</v>
      </c>
      <c r="F142" s="1539"/>
    </row>
    <row r="143" spans="1:6" s="1515" customFormat="1" ht="14.25" customHeight="1" thickBot="1">
      <c r="A143" s="1527" t="s">
        <v>199</v>
      </c>
      <c r="B143" s="1521" t="s">
        <v>1482</v>
      </c>
      <c r="C143" s="1521">
        <v>10080</v>
      </c>
      <c r="D143" s="1521">
        <v>10050</v>
      </c>
      <c r="E143" s="1521">
        <v>10340</v>
      </c>
      <c r="F143" s="1539"/>
    </row>
    <row r="144" spans="1:6" s="1515" customFormat="1" ht="14.25" customHeight="1" thickBot="1">
      <c r="A144" s="1527" t="s">
        <v>199</v>
      </c>
      <c r="B144" s="1521" t="s">
        <v>1486</v>
      </c>
      <c r="C144" s="1521">
        <v>9820</v>
      </c>
      <c r="D144" s="1521">
        <v>9750</v>
      </c>
      <c r="E144" s="1521">
        <v>9900</v>
      </c>
      <c r="F144" s="1539"/>
    </row>
    <row r="145" spans="1:6" s="1515" customFormat="1" ht="14.25" customHeight="1" thickBot="1">
      <c r="A145" s="1527" t="s">
        <v>199</v>
      </c>
      <c r="B145" s="1521" t="s">
        <v>1490</v>
      </c>
      <c r="C145" s="1521"/>
      <c r="D145" s="1521"/>
      <c r="E145" s="1521"/>
      <c r="F145" s="1535">
        <v>1740</v>
      </c>
    </row>
    <row r="146" spans="1:6" s="1515" customFormat="1" ht="14.25" customHeight="1" thickBot="1">
      <c r="A146" s="1527" t="s">
        <v>199</v>
      </c>
      <c r="B146" s="1521" t="s">
        <v>1494</v>
      </c>
      <c r="C146" s="1521"/>
      <c r="D146" s="1521"/>
      <c r="E146" s="1521"/>
      <c r="F146" s="1535">
        <v>1740</v>
      </c>
    </row>
    <row r="147" spans="1:6" s="1515" customFormat="1" ht="14.25" customHeight="1" thickBot="1">
      <c r="A147" s="1527" t="s">
        <v>199</v>
      </c>
      <c r="B147" s="1521" t="s">
        <v>1498</v>
      </c>
      <c r="C147" s="1521"/>
      <c r="D147" s="1521"/>
      <c r="E147" s="1521"/>
      <c r="F147" s="1535">
        <v>1740</v>
      </c>
    </row>
    <row r="148" spans="1:6" s="1515" customFormat="1" ht="14.25" customHeight="1" thickBot="1">
      <c r="A148" s="1527" t="s">
        <v>199</v>
      </c>
      <c r="B148" s="1521" t="s">
        <v>1502</v>
      </c>
      <c r="C148" s="1521"/>
      <c r="D148" s="1521"/>
      <c r="E148" s="1521"/>
      <c r="F148" s="1535">
        <v>1740</v>
      </c>
    </row>
    <row r="149" spans="1:6" s="1515" customFormat="1" ht="14.25" customHeight="1" thickBot="1">
      <c r="A149" s="1527" t="s">
        <v>199</v>
      </c>
      <c r="B149" s="1521" t="s">
        <v>1506</v>
      </c>
      <c r="C149" s="1521"/>
      <c r="D149" s="1521"/>
      <c r="E149" s="1521"/>
      <c r="F149" s="1535">
        <v>1740</v>
      </c>
    </row>
    <row r="150" spans="1:6" s="1515" customFormat="1" ht="14.25" customHeight="1" thickBot="1">
      <c r="A150" s="1527" t="s">
        <v>199</v>
      </c>
      <c r="B150" s="1521" t="s">
        <v>1509</v>
      </c>
      <c r="C150" s="1521"/>
      <c r="D150" s="1521"/>
      <c r="E150" s="1521"/>
      <c r="F150" s="1535">
        <v>1610</v>
      </c>
    </row>
    <row r="151" spans="1:6" s="1515" customFormat="1" ht="14.25" customHeight="1" thickBot="1">
      <c r="A151" s="1527" t="s">
        <v>199</v>
      </c>
      <c r="B151" s="1521" t="s">
        <v>1512</v>
      </c>
      <c r="C151" s="1521"/>
      <c r="D151" s="1521"/>
      <c r="E151" s="1521"/>
      <c r="F151" s="1535">
        <v>1610</v>
      </c>
    </row>
    <row r="152" spans="1:6" s="1515" customFormat="1" ht="14.25" customHeight="1" thickBot="1">
      <c r="A152" s="1527" t="s">
        <v>199</v>
      </c>
      <c r="B152" s="1521" t="s">
        <v>1515</v>
      </c>
      <c r="C152" s="1521"/>
      <c r="D152" s="1521"/>
      <c r="E152" s="1521"/>
      <c r="F152" s="1535">
        <v>1610</v>
      </c>
    </row>
    <row r="153" spans="1:6" s="1515" customFormat="1" ht="14.25" customHeight="1" thickBot="1">
      <c r="A153" s="1527" t="s">
        <v>199</v>
      </c>
      <c r="B153" s="1521" t="s">
        <v>1518</v>
      </c>
      <c r="C153" s="1521"/>
      <c r="D153" s="1521"/>
      <c r="E153" s="1521"/>
      <c r="F153" s="1535">
        <v>1610</v>
      </c>
    </row>
    <row r="154" spans="1:6" s="1515" customFormat="1" ht="14.25" customHeight="1" thickBot="1">
      <c r="A154" s="1527" t="s">
        <v>199</v>
      </c>
      <c r="B154" s="1521" t="s">
        <v>1521</v>
      </c>
      <c r="C154" s="1521"/>
      <c r="D154" s="1521"/>
      <c r="E154" s="1521"/>
      <c r="F154" s="1535">
        <v>1610</v>
      </c>
    </row>
    <row r="155" spans="1:6" s="1515" customFormat="1" ht="14.25" customHeight="1" thickBot="1">
      <c r="A155" s="1527" t="s">
        <v>199</v>
      </c>
      <c r="B155" s="1521" t="s">
        <v>1524</v>
      </c>
      <c r="C155" s="1521"/>
      <c r="D155" s="1521"/>
      <c r="E155" s="1521"/>
      <c r="F155" s="1535">
        <v>1800</v>
      </c>
    </row>
    <row r="156" spans="1:6" s="1515" customFormat="1" ht="14.25" customHeight="1" thickBot="1">
      <c r="A156" s="1527" t="s">
        <v>199</v>
      </c>
      <c r="B156" s="1521" t="s">
        <v>1526</v>
      </c>
      <c r="C156" s="1521"/>
      <c r="D156" s="1521"/>
      <c r="E156" s="1521"/>
      <c r="F156" s="1535">
        <v>1910</v>
      </c>
    </row>
    <row r="157" spans="1:6" s="1515" customFormat="1" ht="14.25" customHeight="1" thickBot="1">
      <c r="A157" s="1527" t="s">
        <v>199</v>
      </c>
      <c r="B157" s="1533" t="s">
        <v>1529</v>
      </c>
      <c r="C157" s="1533"/>
      <c r="D157" s="1533"/>
      <c r="E157" s="1533"/>
      <c r="F157" s="1538">
        <v>1500</v>
      </c>
    </row>
    <row r="158" spans="1:6" s="1515" customFormat="1" ht="14.25" customHeight="1" thickBot="1">
      <c r="A158" s="1527" t="s">
        <v>1534</v>
      </c>
      <c r="B158" s="1528" t="s">
        <v>1535</v>
      </c>
      <c r="C158" s="1528">
        <v>8170</v>
      </c>
      <c r="D158" s="1528">
        <v>8140</v>
      </c>
      <c r="E158" s="1528">
        <v>8590</v>
      </c>
      <c r="F158" s="1529">
        <v>1450</v>
      </c>
    </row>
    <row r="159" spans="1:6" s="1515" customFormat="1" ht="14.25" customHeight="1" thickBot="1">
      <c r="A159" s="1527" t="s">
        <v>1534</v>
      </c>
      <c r="B159" s="1521" t="s">
        <v>1201</v>
      </c>
      <c r="C159" s="1521">
        <v>7410</v>
      </c>
      <c r="D159" s="1521">
        <v>7370</v>
      </c>
      <c r="E159" s="1521">
        <v>8030</v>
      </c>
      <c r="F159" s="1535">
        <v>1510</v>
      </c>
    </row>
    <row r="160" spans="1:6" s="1515" customFormat="1" ht="14.25" customHeight="1" thickBot="1">
      <c r="A160" s="1527" t="s">
        <v>1534</v>
      </c>
      <c r="B160" s="1521" t="s">
        <v>1214</v>
      </c>
      <c r="C160" s="1521">
        <v>7240</v>
      </c>
      <c r="D160" s="1521">
        <v>7210</v>
      </c>
      <c r="E160" s="1521">
        <v>7860</v>
      </c>
      <c r="F160" s="1535">
        <v>1370</v>
      </c>
    </row>
    <row r="161" spans="1:6" s="1515" customFormat="1" ht="14.25" customHeight="1" thickBot="1">
      <c r="A161" s="1527" t="s">
        <v>1534</v>
      </c>
      <c r="B161" s="1521" t="s">
        <v>1227</v>
      </c>
      <c r="C161" s="1521">
        <v>7720</v>
      </c>
      <c r="D161" s="1521">
        <v>7690</v>
      </c>
      <c r="E161" s="1521">
        <v>8200</v>
      </c>
      <c r="F161" s="1535">
        <v>1190</v>
      </c>
    </row>
    <row r="162" spans="1:6" s="1515" customFormat="1" ht="14.25" customHeight="1" thickBot="1">
      <c r="A162" s="1527" t="s">
        <v>1534</v>
      </c>
      <c r="B162" s="1521" t="s">
        <v>1239</v>
      </c>
      <c r="C162" s="1521">
        <v>6900</v>
      </c>
      <c r="D162" s="1521">
        <v>6870</v>
      </c>
      <c r="E162" s="1521">
        <v>7500</v>
      </c>
      <c r="F162" s="1535">
        <v>1390</v>
      </c>
    </row>
    <row r="163" spans="1:6" s="1515" customFormat="1" ht="14.25" customHeight="1" thickBot="1">
      <c r="A163" s="1527" t="s">
        <v>1534</v>
      </c>
      <c r="B163" s="1521" t="s">
        <v>1250</v>
      </c>
      <c r="C163" s="1521">
        <v>7120</v>
      </c>
      <c r="D163" s="1521">
        <v>7090</v>
      </c>
      <c r="E163" s="1521">
        <v>7690</v>
      </c>
      <c r="F163" s="1535">
        <v>1230</v>
      </c>
    </row>
    <row r="164" spans="1:6" s="1515" customFormat="1" ht="14.25" customHeight="1" thickBot="1">
      <c r="A164" s="1527" t="s">
        <v>1534</v>
      </c>
      <c r="B164" s="1521" t="s">
        <v>1261</v>
      </c>
      <c r="C164" s="1521">
        <v>6560</v>
      </c>
      <c r="D164" s="1521">
        <v>6530</v>
      </c>
      <c r="E164" s="1521">
        <v>7110</v>
      </c>
      <c r="F164" s="1535">
        <v>1340</v>
      </c>
    </row>
    <row r="165" spans="1:6" s="1515" customFormat="1" ht="14.25" customHeight="1" thickBot="1">
      <c r="A165" s="1527" t="s">
        <v>1534</v>
      </c>
      <c r="B165" s="1521" t="s">
        <v>1272</v>
      </c>
      <c r="C165" s="1521">
        <v>7450</v>
      </c>
      <c r="D165" s="1521">
        <v>7430</v>
      </c>
      <c r="E165" s="1521">
        <v>8110</v>
      </c>
      <c r="F165" s="1535">
        <v>1290</v>
      </c>
    </row>
    <row r="166" spans="1:6" s="1515" customFormat="1" ht="14.25" customHeight="1" thickBot="1">
      <c r="A166" s="1527" t="s">
        <v>1534</v>
      </c>
      <c r="B166" s="1521" t="s">
        <v>1284</v>
      </c>
      <c r="C166" s="1521">
        <v>7490</v>
      </c>
      <c r="D166" s="1521">
        <v>7460</v>
      </c>
      <c r="E166" s="1521">
        <v>8150</v>
      </c>
      <c r="F166" s="1535">
        <v>1350</v>
      </c>
    </row>
    <row r="167" spans="1:6" s="1515" customFormat="1" ht="14.25" customHeight="1" thickBot="1">
      <c r="A167" s="1527" t="s">
        <v>1534</v>
      </c>
      <c r="B167" s="1521" t="s">
        <v>1294</v>
      </c>
      <c r="C167" s="1521">
        <v>7540</v>
      </c>
      <c r="D167" s="1521">
        <v>7510</v>
      </c>
      <c r="E167" s="1521">
        <v>8030</v>
      </c>
      <c r="F167" s="1539"/>
    </row>
    <row r="168" spans="1:6" s="1515" customFormat="1" ht="14.25" customHeight="1" thickBot="1">
      <c r="A168" s="1527" t="s">
        <v>1534</v>
      </c>
      <c r="B168" s="1521" t="s">
        <v>1304</v>
      </c>
      <c r="C168" s="1521">
        <v>7210</v>
      </c>
      <c r="D168" s="1521">
        <v>7180</v>
      </c>
      <c r="E168" s="1521">
        <v>7830</v>
      </c>
      <c r="F168" s="1539"/>
    </row>
    <row r="169" spans="1:6" s="1515" customFormat="1" ht="14.25" customHeight="1" thickBot="1">
      <c r="A169" s="1527" t="s">
        <v>1534</v>
      </c>
      <c r="B169" s="1521" t="s">
        <v>1314</v>
      </c>
      <c r="C169" s="1521">
        <v>7040</v>
      </c>
      <c r="D169" s="1521">
        <v>7020</v>
      </c>
      <c r="E169" s="1521">
        <v>7670</v>
      </c>
      <c r="F169" s="1539"/>
    </row>
    <row r="170" spans="1:6" s="1515" customFormat="1" ht="14.25" customHeight="1" thickBot="1">
      <c r="A170" s="1527" t="s">
        <v>1534</v>
      </c>
      <c r="B170" s="1521" t="s">
        <v>1324</v>
      </c>
      <c r="C170" s="1521">
        <v>8040</v>
      </c>
      <c r="D170" s="1521">
        <v>7190</v>
      </c>
      <c r="E170" s="1521">
        <v>7850</v>
      </c>
      <c r="F170" s="1539"/>
    </row>
    <row r="171" spans="1:6" s="1515" customFormat="1" ht="14.25" customHeight="1" thickBot="1">
      <c r="A171" s="1527" t="s">
        <v>1534</v>
      </c>
      <c r="B171" s="1521" t="s">
        <v>1335</v>
      </c>
      <c r="C171" s="1521">
        <v>7860</v>
      </c>
      <c r="D171" s="1521">
        <v>7720</v>
      </c>
      <c r="E171" s="1521">
        <v>8150</v>
      </c>
      <c r="F171" s="1535">
        <v>1110</v>
      </c>
    </row>
    <row r="172" spans="1:6" s="1515" customFormat="1" ht="14.25" customHeight="1" thickBot="1">
      <c r="A172" s="1527" t="s">
        <v>1534</v>
      </c>
      <c r="B172" s="1521" t="s">
        <v>1346</v>
      </c>
      <c r="C172" s="1521">
        <v>7210</v>
      </c>
      <c r="D172" s="1521">
        <v>7170</v>
      </c>
      <c r="E172" s="1521">
        <v>7320</v>
      </c>
      <c r="F172" s="1539"/>
    </row>
    <row r="173" spans="1:6" s="1515" customFormat="1" ht="14.25" customHeight="1" thickBot="1">
      <c r="A173" s="1527" t="s">
        <v>1534</v>
      </c>
      <c r="B173" s="1521" t="s">
        <v>1356</v>
      </c>
      <c r="C173" s="1521">
        <v>6860</v>
      </c>
      <c r="D173" s="1521">
        <v>6810</v>
      </c>
      <c r="E173" s="1521">
        <v>7440</v>
      </c>
      <c r="F173" s="1539"/>
    </row>
    <row r="174" spans="1:6" s="1515" customFormat="1" ht="14.25" customHeight="1" thickBot="1">
      <c r="A174" s="1527" t="s">
        <v>1534</v>
      </c>
      <c r="B174" s="1521" t="s">
        <v>1366</v>
      </c>
      <c r="C174" s="1521">
        <v>7120</v>
      </c>
      <c r="D174" s="1521">
        <v>7090</v>
      </c>
      <c r="E174" s="1521">
        <v>7500</v>
      </c>
      <c r="F174" s="1535">
        <v>1490</v>
      </c>
    </row>
    <row r="175" spans="1:6" s="1515" customFormat="1" ht="14.25" customHeight="1" thickBot="1">
      <c r="A175" s="1527" t="s">
        <v>1534</v>
      </c>
      <c r="B175" s="1521" t="s">
        <v>1376</v>
      </c>
      <c r="C175" s="1521">
        <v>7850</v>
      </c>
      <c r="D175" s="1521">
        <v>7820</v>
      </c>
      <c r="E175" s="1521">
        <v>8120</v>
      </c>
      <c r="F175" s="1535">
        <v>1530</v>
      </c>
    </row>
    <row r="176" spans="1:6" s="1515" customFormat="1" ht="14.25" customHeight="1" thickBot="1">
      <c r="A176" s="1527" t="s">
        <v>1534</v>
      </c>
      <c r="B176" s="1521" t="s">
        <v>1386</v>
      </c>
      <c r="C176" s="1521">
        <v>7620</v>
      </c>
      <c r="D176" s="1521">
        <v>7570</v>
      </c>
      <c r="E176" s="1521">
        <v>7990</v>
      </c>
      <c r="F176" s="1535">
        <v>1480</v>
      </c>
    </row>
    <row r="177" spans="1:6" s="1515" customFormat="1" ht="14.25" customHeight="1" thickBot="1">
      <c r="A177" s="1527" t="s">
        <v>1534</v>
      </c>
      <c r="B177" s="1521" t="s">
        <v>1395</v>
      </c>
      <c r="C177" s="1521">
        <v>8590</v>
      </c>
      <c r="D177" s="1521">
        <v>8570</v>
      </c>
      <c r="E177" s="1521">
        <v>8740</v>
      </c>
      <c r="F177" s="1535">
        <v>1540</v>
      </c>
    </row>
    <row r="178" spans="1:6" s="1515" customFormat="1" ht="14.25" customHeight="1" thickBot="1">
      <c r="A178" s="1527" t="s">
        <v>1534</v>
      </c>
      <c r="B178" s="1521" t="s">
        <v>1404</v>
      </c>
      <c r="C178" s="1521">
        <v>7510</v>
      </c>
      <c r="D178" s="1521">
        <v>7470</v>
      </c>
      <c r="E178" s="1521">
        <v>8090</v>
      </c>
      <c r="F178" s="1535">
        <v>1320</v>
      </c>
    </row>
    <row r="179" spans="1:6" s="1515" customFormat="1" ht="14.25" customHeight="1" thickBot="1">
      <c r="A179" s="1527" t="s">
        <v>1534</v>
      </c>
      <c r="B179" s="1521" t="s">
        <v>1412</v>
      </c>
      <c r="C179" s="1521">
        <v>6380</v>
      </c>
      <c r="D179" s="1521">
        <v>6340</v>
      </c>
      <c r="E179" s="1521">
        <v>6810</v>
      </c>
      <c r="F179" s="1539"/>
    </row>
    <row r="180" spans="1:6" s="1515" customFormat="1" ht="14.25" customHeight="1" thickBot="1">
      <c r="A180" s="1527" t="s">
        <v>1534</v>
      </c>
      <c r="B180" s="1521" t="s">
        <v>1419</v>
      </c>
      <c r="C180" s="1521">
        <v>7830</v>
      </c>
      <c r="D180" s="1521">
        <v>7800</v>
      </c>
      <c r="E180" s="1521">
        <v>7780</v>
      </c>
      <c r="F180" s="1535">
        <v>1440</v>
      </c>
    </row>
    <row r="181" spans="1:6" s="1515" customFormat="1" ht="14.25" customHeight="1" thickBot="1">
      <c r="A181" s="1527" t="s">
        <v>1534</v>
      </c>
      <c r="B181" s="1521" t="s">
        <v>1426</v>
      </c>
      <c r="C181" s="1521">
        <v>7110</v>
      </c>
      <c r="D181" s="1521">
        <v>7080</v>
      </c>
      <c r="E181" s="1521">
        <v>7730</v>
      </c>
      <c r="F181" s="1535">
        <v>1350</v>
      </c>
    </row>
    <row r="182" spans="1:6" s="1515" customFormat="1" ht="14.25" customHeight="1" thickBot="1">
      <c r="A182" s="1527" t="s">
        <v>1534</v>
      </c>
      <c r="B182" s="1521" t="s">
        <v>1433</v>
      </c>
      <c r="C182" s="1521">
        <v>7310</v>
      </c>
      <c r="D182" s="1521">
        <v>7280</v>
      </c>
      <c r="E182" s="1521">
        <v>7950</v>
      </c>
      <c r="F182" s="1535">
        <v>1220</v>
      </c>
    </row>
    <row r="183" spans="1:6" s="1515" customFormat="1" ht="14.25" customHeight="1" thickBot="1">
      <c r="A183" s="1527" t="s">
        <v>1534</v>
      </c>
      <c r="B183" s="1521" t="s">
        <v>1440</v>
      </c>
      <c r="C183" s="1521">
        <v>7470</v>
      </c>
      <c r="D183" s="1521">
        <v>7440</v>
      </c>
      <c r="E183" s="1521">
        <v>7880</v>
      </c>
      <c r="F183" s="1539"/>
    </row>
    <row r="184" spans="1:6" s="1515" customFormat="1" ht="14.25" customHeight="1" thickBot="1">
      <c r="A184" s="1527" t="s">
        <v>1534</v>
      </c>
      <c r="B184" s="1521" t="s">
        <v>1447</v>
      </c>
      <c r="C184" s="1521">
        <v>6960</v>
      </c>
      <c r="D184" s="1521">
        <v>6930</v>
      </c>
      <c r="E184" s="1521">
        <v>7570</v>
      </c>
      <c r="F184" s="1539"/>
    </row>
    <row r="185" spans="1:6" s="1515" customFormat="1" ht="14.25" customHeight="1" thickBot="1">
      <c r="A185" s="1527" t="s">
        <v>1534</v>
      </c>
      <c r="B185" s="1521" t="s">
        <v>1454</v>
      </c>
      <c r="C185" s="1521">
        <v>7260</v>
      </c>
      <c r="D185" s="1521">
        <v>7230</v>
      </c>
      <c r="E185" s="1521">
        <v>7710</v>
      </c>
      <c r="F185" s="1535">
        <v>1360</v>
      </c>
    </row>
    <row r="186" spans="1:6" s="1515" customFormat="1" ht="14.25" customHeight="1" thickBot="1">
      <c r="A186" s="1527" t="s">
        <v>1534</v>
      </c>
      <c r="B186" s="1521" t="s">
        <v>1459</v>
      </c>
      <c r="C186" s="1521"/>
      <c r="D186" s="1521"/>
      <c r="E186" s="1521"/>
      <c r="F186" s="1535">
        <v>1560</v>
      </c>
    </row>
    <row r="187" spans="1:6" s="1515" customFormat="1" ht="14.25" customHeight="1" thickBot="1">
      <c r="A187" s="1527" t="s">
        <v>1534</v>
      </c>
      <c r="B187" s="1521" t="s">
        <v>1463</v>
      </c>
      <c r="C187" s="1521"/>
      <c r="D187" s="1521"/>
      <c r="E187" s="1521"/>
      <c r="F187" s="1535">
        <v>1560</v>
      </c>
    </row>
    <row r="188" spans="1:6" s="1515" customFormat="1" ht="14.25" customHeight="1" thickBot="1">
      <c r="A188" s="1527" t="s">
        <v>1534</v>
      </c>
      <c r="B188" s="1521" t="s">
        <v>1468</v>
      </c>
      <c r="C188" s="1521"/>
      <c r="D188" s="1521"/>
      <c r="E188" s="1521"/>
      <c r="F188" s="1535">
        <v>1560</v>
      </c>
    </row>
    <row r="189" spans="1:6" s="1515" customFormat="1" ht="14.25" customHeight="1" thickBot="1">
      <c r="A189" s="1527" t="s">
        <v>1534</v>
      </c>
      <c r="B189" s="1521" t="s">
        <v>1473</v>
      </c>
      <c r="C189" s="1521"/>
      <c r="D189" s="1521"/>
      <c r="E189" s="1521"/>
      <c r="F189" s="1535">
        <v>1320</v>
      </c>
    </row>
    <row r="190" spans="1:6" s="1515" customFormat="1" ht="14.25" customHeight="1" thickBot="1">
      <c r="A190" s="1527" t="s">
        <v>1534</v>
      </c>
      <c r="B190" s="1521" t="s">
        <v>1478</v>
      </c>
      <c r="C190" s="1521"/>
      <c r="D190" s="1521"/>
      <c r="E190" s="1521"/>
      <c r="F190" s="1535">
        <v>1320</v>
      </c>
    </row>
    <row r="191" spans="1:6" s="1515" customFormat="1" ht="14.25" customHeight="1" thickBot="1">
      <c r="A191" s="1527" t="s">
        <v>1534</v>
      </c>
      <c r="B191" s="1521" t="s">
        <v>1483</v>
      </c>
      <c r="C191" s="1521"/>
      <c r="D191" s="1521"/>
      <c r="E191" s="1521"/>
      <c r="F191" s="1535">
        <v>1320</v>
      </c>
    </row>
    <row r="192" spans="1:6" s="1515" customFormat="1" ht="14.25" customHeight="1" thickBot="1">
      <c r="A192" s="1527" t="s">
        <v>1534</v>
      </c>
      <c r="B192" s="1521" t="s">
        <v>1487</v>
      </c>
      <c r="C192" s="1521"/>
      <c r="D192" s="1521"/>
      <c r="E192" s="1521"/>
      <c r="F192" s="1535">
        <v>1100</v>
      </c>
    </row>
    <row r="193" spans="1:6" s="1515" customFormat="1" ht="14.25" customHeight="1" thickBot="1">
      <c r="A193" s="1527" t="s">
        <v>1534</v>
      </c>
      <c r="B193" s="1521" t="s">
        <v>1491</v>
      </c>
      <c r="C193" s="1521"/>
      <c r="D193" s="1521"/>
      <c r="E193" s="1521"/>
      <c r="F193" s="1535">
        <v>1100</v>
      </c>
    </row>
    <row r="194" spans="1:6" s="1515" customFormat="1" ht="14.25" customHeight="1" thickBot="1">
      <c r="A194" s="1527" t="s">
        <v>1534</v>
      </c>
      <c r="B194" s="1521" t="s">
        <v>1495</v>
      </c>
      <c r="C194" s="1521"/>
      <c r="D194" s="1521"/>
      <c r="E194" s="1521"/>
      <c r="F194" s="1535">
        <v>1080</v>
      </c>
    </row>
    <row r="195" spans="1:6" s="1515" customFormat="1" ht="14.25" customHeight="1" thickBot="1">
      <c r="A195" s="1527" t="s">
        <v>1534</v>
      </c>
      <c r="B195" s="1521" t="s">
        <v>1499</v>
      </c>
      <c r="C195" s="1521"/>
      <c r="D195" s="1521"/>
      <c r="E195" s="1521"/>
      <c r="F195" s="1535">
        <v>1270</v>
      </c>
    </row>
    <row r="196" spans="1:6" s="1515" customFormat="1" ht="14.25" customHeight="1" thickBot="1">
      <c r="A196" s="1527" t="s">
        <v>1534</v>
      </c>
      <c r="B196" s="1521" t="s">
        <v>1503</v>
      </c>
      <c r="C196" s="1521"/>
      <c r="D196" s="1521"/>
      <c r="E196" s="1521"/>
      <c r="F196" s="1535">
        <v>1150</v>
      </c>
    </row>
    <row r="197" spans="1:6" s="1515" customFormat="1" ht="14.25" customHeight="1" thickBot="1">
      <c r="A197" s="1527" t="s">
        <v>1534</v>
      </c>
      <c r="B197" s="1521" t="s">
        <v>1507</v>
      </c>
      <c r="C197" s="1521"/>
      <c r="D197" s="1521"/>
      <c r="E197" s="1521"/>
      <c r="F197" s="1535">
        <v>1330</v>
      </c>
    </row>
    <row r="198" spans="1:6" s="1515" customFormat="1" ht="14.25" customHeight="1" thickBot="1">
      <c r="A198" s="1527" t="s">
        <v>1534</v>
      </c>
      <c r="B198" s="1521" t="s">
        <v>1510</v>
      </c>
      <c r="C198" s="1521"/>
      <c r="D198" s="1521"/>
      <c r="E198" s="1521"/>
      <c r="F198" s="1535">
        <v>1170</v>
      </c>
    </row>
    <row r="199" spans="1:6" s="1515" customFormat="1" ht="14.25" customHeight="1" thickBot="1">
      <c r="A199" s="1527" t="s">
        <v>1534</v>
      </c>
      <c r="B199" s="1521" t="s">
        <v>1513</v>
      </c>
      <c r="C199" s="1521"/>
      <c r="D199" s="1521"/>
      <c r="E199" s="1521"/>
      <c r="F199" s="1535">
        <v>1120</v>
      </c>
    </row>
    <row r="200" spans="1:6" s="1515" customFormat="1" ht="14.25" customHeight="1" thickBot="1">
      <c r="A200" s="1527" t="s">
        <v>1534</v>
      </c>
      <c r="B200" s="1521" t="s">
        <v>1516</v>
      </c>
      <c r="C200" s="1521"/>
      <c r="D200" s="1521"/>
      <c r="E200" s="1521"/>
      <c r="F200" s="1535">
        <v>1120</v>
      </c>
    </row>
    <row r="201" spans="1:6" s="1515" customFormat="1" ht="14.25" customHeight="1" thickBot="1">
      <c r="A201" s="1527" t="s">
        <v>1534</v>
      </c>
      <c r="B201" s="1521" t="s">
        <v>1519</v>
      </c>
      <c r="C201" s="1521"/>
      <c r="D201" s="1521"/>
      <c r="E201" s="1521"/>
      <c r="F201" s="1535">
        <v>1540</v>
      </c>
    </row>
    <row r="202" spans="1:6" s="1515" customFormat="1" ht="14.25" customHeight="1" thickBot="1">
      <c r="A202" s="1527" t="s">
        <v>1534</v>
      </c>
      <c r="B202" s="1521" t="s">
        <v>1522</v>
      </c>
      <c r="C202" s="1521"/>
      <c r="D202" s="1521"/>
      <c r="E202" s="1521"/>
      <c r="F202" s="1535">
        <v>1310</v>
      </c>
    </row>
    <row r="203" spans="1:6" s="1515" customFormat="1" ht="14.25" customHeight="1" thickBot="1">
      <c r="A203" s="1527" t="s">
        <v>1534</v>
      </c>
      <c r="B203" s="1521" t="s">
        <v>1525</v>
      </c>
      <c r="C203" s="1521"/>
      <c r="D203" s="1521"/>
      <c r="E203" s="1521"/>
      <c r="F203" s="1535">
        <v>1310</v>
      </c>
    </row>
    <row r="204" spans="1:6" s="1515" customFormat="1" ht="14.25" customHeight="1" thickBot="1">
      <c r="A204" s="1527" t="s">
        <v>1534</v>
      </c>
      <c r="B204" s="1521" t="s">
        <v>1527</v>
      </c>
      <c r="C204" s="1521"/>
      <c r="D204" s="1521"/>
      <c r="E204" s="1521"/>
      <c r="F204" s="1535">
        <v>1080</v>
      </c>
    </row>
    <row r="205" spans="1:6" s="1515" customFormat="1" ht="14.25" customHeight="1" thickBot="1">
      <c r="A205" s="1527" t="s">
        <v>1534</v>
      </c>
      <c r="B205" s="1521" t="s">
        <v>1530</v>
      </c>
      <c r="C205" s="1521"/>
      <c r="D205" s="1521"/>
      <c r="E205" s="1521"/>
      <c r="F205" s="1535">
        <v>1080</v>
      </c>
    </row>
    <row r="206" spans="1:6" s="1515" customFormat="1" ht="14.25" customHeight="1" thickBot="1">
      <c r="A206" s="1527" t="s">
        <v>1536</v>
      </c>
      <c r="B206" s="1528" t="s">
        <v>1537</v>
      </c>
      <c r="C206" s="1528">
        <v>5450</v>
      </c>
      <c r="D206" s="1528">
        <v>5430</v>
      </c>
      <c r="E206" s="1528">
        <v>5700</v>
      </c>
      <c r="F206" s="1529">
        <v>1020</v>
      </c>
    </row>
    <row r="207" spans="1:6" s="1515" customFormat="1" ht="14.25" customHeight="1" thickBot="1">
      <c r="A207" s="1527" t="s">
        <v>1536</v>
      </c>
      <c r="B207" s="1521" t="s">
        <v>1202</v>
      </c>
      <c r="C207" s="1521">
        <v>5860</v>
      </c>
      <c r="D207" s="1521">
        <v>5820</v>
      </c>
      <c r="E207" s="1521">
        <v>6050</v>
      </c>
      <c r="F207" s="1535">
        <v>1080</v>
      </c>
    </row>
    <row r="208" spans="1:6" s="1515" customFormat="1" ht="14.25" customHeight="1" thickBot="1">
      <c r="A208" s="1527" t="s">
        <v>1536</v>
      </c>
      <c r="B208" s="1521" t="s">
        <v>1215</v>
      </c>
      <c r="C208" s="1521">
        <v>4630</v>
      </c>
      <c r="D208" s="1521">
        <v>4600</v>
      </c>
      <c r="E208" s="1521">
        <v>4840</v>
      </c>
      <c r="F208" s="1535">
        <v>900</v>
      </c>
    </row>
    <row r="209" spans="1:6" s="1515" customFormat="1" ht="14.25" customHeight="1" thickBot="1">
      <c r="A209" s="1527" t="s">
        <v>1536</v>
      </c>
      <c r="B209" s="1521" t="s">
        <v>1228</v>
      </c>
      <c r="C209" s="1521">
        <v>5320</v>
      </c>
      <c r="D209" s="1521">
        <v>5270</v>
      </c>
      <c r="E209" s="1521">
        <v>5540</v>
      </c>
      <c r="F209" s="1535">
        <v>980</v>
      </c>
    </row>
    <row r="210" spans="1:6" s="1515" customFormat="1" ht="14.25" customHeight="1" thickBot="1">
      <c r="A210" s="1527" t="s">
        <v>1536</v>
      </c>
      <c r="B210" s="1521" t="s">
        <v>1240</v>
      </c>
      <c r="C210" s="1521">
        <v>5760</v>
      </c>
      <c r="D210" s="1521">
        <v>5710</v>
      </c>
      <c r="E210" s="1521">
        <v>6010</v>
      </c>
      <c r="F210" s="1535">
        <v>870</v>
      </c>
    </row>
    <row r="211" spans="1:6" s="1515" customFormat="1" ht="14.25" customHeight="1" thickBot="1">
      <c r="A211" s="1527" t="s">
        <v>1536</v>
      </c>
      <c r="B211" s="1521" t="s">
        <v>1251</v>
      </c>
      <c r="C211" s="1521">
        <v>4160</v>
      </c>
      <c r="D211" s="1521">
        <v>4100</v>
      </c>
      <c r="E211" s="1521">
        <v>4270</v>
      </c>
      <c r="F211" s="1535">
        <v>790</v>
      </c>
    </row>
    <row r="212" spans="1:6" s="1515" customFormat="1" ht="14.25" customHeight="1" thickBot="1">
      <c r="A212" s="1527" t="s">
        <v>1536</v>
      </c>
      <c r="B212" s="1521" t="s">
        <v>1262</v>
      </c>
      <c r="C212" s="1521">
        <v>4880</v>
      </c>
      <c r="D212" s="1521">
        <v>4850</v>
      </c>
      <c r="E212" s="1521">
        <v>5110</v>
      </c>
      <c r="F212" s="1535">
        <v>940</v>
      </c>
    </row>
    <row r="213" spans="1:6" s="1515" customFormat="1" ht="14.25" customHeight="1" thickBot="1">
      <c r="A213" s="1527" t="s">
        <v>1536</v>
      </c>
      <c r="B213" s="1521" t="s">
        <v>1273</v>
      </c>
      <c r="C213" s="1521">
        <v>4640</v>
      </c>
      <c r="D213" s="1521">
        <v>4590</v>
      </c>
      <c r="E213" s="1521">
        <v>4700</v>
      </c>
      <c r="F213" s="1535">
        <v>1030</v>
      </c>
    </row>
    <row r="214" spans="1:6" s="1515" customFormat="1" ht="14.25" customHeight="1" thickBot="1">
      <c r="A214" s="1527" t="s">
        <v>1536</v>
      </c>
      <c r="B214" s="1521" t="s">
        <v>1285</v>
      </c>
      <c r="C214" s="1521">
        <v>4540</v>
      </c>
      <c r="D214" s="1521">
        <v>4490</v>
      </c>
      <c r="E214" s="1521">
        <v>4610</v>
      </c>
      <c r="F214" s="1539"/>
    </row>
    <row r="215" spans="1:6" s="1515" customFormat="1" ht="14.25" customHeight="1" thickBot="1">
      <c r="A215" s="1527" t="s">
        <v>1536</v>
      </c>
      <c r="B215" s="1521" t="s">
        <v>1295</v>
      </c>
      <c r="C215" s="1521">
        <v>5280</v>
      </c>
      <c r="D215" s="1521">
        <v>5250</v>
      </c>
      <c r="E215" s="1521">
        <v>5520</v>
      </c>
      <c r="F215" s="1535">
        <v>1000</v>
      </c>
    </row>
    <row r="216" spans="1:6" s="1515" customFormat="1" ht="14.25" customHeight="1" thickBot="1">
      <c r="A216" s="1527" t="s">
        <v>1536</v>
      </c>
      <c r="B216" s="1521" t="s">
        <v>1305</v>
      </c>
      <c r="C216" s="1521">
        <v>5100</v>
      </c>
      <c r="D216" s="1521">
        <v>5050</v>
      </c>
      <c r="E216" s="1521">
        <v>5300</v>
      </c>
      <c r="F216" s="1535">
        <v>950</v>
      </c>
    </row>
    <row r="217" spans="1:6" s="1515" customFormat="1" ht="14.25" customHeight="1" thickBot="1">
      <c r="A217" s="1527" t="s">
        <v>1536</v>
      </c>
      <c r="B217" s="1521" t="s">
        <v>1315</v>
      </c>
      <c r="C217" s="1521">
        <v>5370</v>
      </c>
      <c r="D217" s="1521">
        <v>5320</v>
      </c>
      <c r="E217" s="1521">
        <v>5410</v>
      </c>
      <c r="F217" s="1535">
        <v>950</v>
      </c>
    </row>
    <row r="218" spans="1:6" s="1515" customFormat="1" ht="14.25" customHeight="1" thickBot="1">
      <c r="A218" s="1527" t="s">
        <v>1536</v>
      </c>
      <c r="B218" s="1521" t="s">
        <v>1325</v>
      </c>
      <c r="C218" s="1521">
        <v>5540</v>
      </c>
      <c r="D218" s="1521">
        <v>5480</v>
      </c>
      <c r="E218" s="1521">
        <v>5740</v>
      </c>
      <c r="F218" s="1535">
        <v>1020</v>
      </c>
    </row>
    <row r="219" spans="1:6" s="1515" customFormat="1" ht="14.25" customHeight="1" thickBot="1">
      <c r="A219" s="1527" t="s">
        <v>1536</v>
      </c>
      <c r="B219" s="1521" t="s">
        <v>1336</v>
      </c>
      <c r="C219" s="1521">
        <v>5140</v>
      </c>
      <c r="D219" s="1521">
        <v>5100</v>
      </c>
      <c r="E219" s="1521">
        <v>5350</v>
      </c>
      <c r="F219" s="1535">
        <v>1120</v>
      </c>
    </row>
    <row r="220" spans="1:6" s="1515" customFormat="1" ht="14.25" customHeight="1" thickBot="1">
      <c r="A220" s="1527" t="s">
        <v>1536</v>
      </c>
      <c r="B220" s="1521" t="s">
        <v>1347</v>
      </c>
      <c r="C220" s="1521">
        <v>5040</v>
      </c>
      <c r="D220" s="1521">
        <v>5000</v>
      </c>
      <c r="E220" s="1521">
        <v>5240</v>
      </c>
      <c r="F220" s="1535">
        <v>980</v>
      </c>
    </row>
    <row r="221" spans="1:6" s="1515" customFormat="1" ht="14.25" customHeight="1" thickBot="1">
      <c r="A221" s="1527" t="s">
        <v>1536</v>
      </c>
      <c r="B221" s="1521" t="s">
        <v>1357</v>
      </c>
      <c r="C221" s="1540"/>
      <c r="D221" s="1540"/>
      <c r="E221" s="1540"/>
      <c r="F221" s="1535">
        <v>1070</v>
      </c>
    </row>
    <row r="222" spans="1:6" s="1515" customFormat="1" ht="14.25" customHeight="1" thickBot="1">
      <c r="A222" s="1527" t="s">
        <v>1536</v>
      </c>
      <c r="B222" s="1521" t="s">
        <v>1367</v>
      </c>
      <c r="C222" s="1540"/>
      <c r="D222" s="1540"/>
      <c r="E222" s="1540"/>
      <c r="F222" s="1535">
        <v>870</v>
      </c>
    </row>
    <row r="223" spans="1:6" s="1515" customFormat="1" ht="14.25" customHeight="1" thickBot="1">
      <c r="A223" s="1527" t="s">
        <v>1536</v>
      </c>
      <c r="B223" s="1521" t="s">
        <v>1377</v>
      </c>
      <c r="C223" s="1540"/>
      <c r="D223" s="1540"/>
      <c r="E223" s="1540"/>
      <c r="F223" s="1535">
        <v>940</v>
      </c>
    </row>
    <row r="224" spans="1:6" s="1515" customFormat="1" ht="14.25" customHeight="1" thickBot="1">
      <c r="A224" s="1527" t="s">
        <v>1536</v>
      </c>
      <c r="B224" s="1521" t="s">
        <v>1387</v>
      </c>
      <c r="C224" s="1540"/>
      <c r="D224" s="1540"/>
      <c r="E224" s="1540"/>
      <c r="F224" s="1535">
        <v>990</v>
      </c>
    </row>
    <row r="225" spans="1:6" s="1515" customFormat="1" ht="14.25" customHeight="1" thickBot="1">
      <c r="A225" s="1527" t="s">
        <v>1536</v>
      </c>
      <c r="B225" s="1521" t="s">
        <v>1396</v>
      </c>
      <c r="C225" s="1521">
        <v>5730</v>
      </c>
      <c r="D225" s="1521">
        <v>5680</v>
      </c>
      <c r="E225" s="1521">
        <v>6020</v>
      </c>
      <c r="F225" s="1535">
        <v>1000</v>
      </c>
    </row>
    <row r="226" spans="1:6" s="1515" customFormat="1" ht="14.25" customHeight="1" thickBot="1">
      <c r="A226" s="1527" t="s">
        <v>1536</v>
      </c>
      <c r="B226" s="1521" t="s">
        <v>1405</v>
      </c>
      <c r="C226" s="1521">
        <v>4970</v>
      </c>
      <c r="D226" s="1521">
        <v>4940</v>
      </c>
      <c r="E226" s="1521">
        <v>5180</v>
      </c>
      <c r="F226" s="1535">
        <v>960</v>
      </c>
    </row>
    <row r="227" spans="1:6" s="1515" customFormat="1" ht="14.25" customHeight="1" thickBot="1">
      <c r="A227" s="1527" t="s">
        <v>1536</v>
      </c>
      <c r="B227" s="1521" t="s">
        <v>1413</v>
      </c>
      <c r="C227" s="1521">
        <v>5550</v>
      </c>
      <c r="D227" s="1521">
        <v>5500</v>
      </c>
      <c r="E227" s="1521">
        <v>5780</v>
      </c>
      <c r="F227" s="1535">
        <v>940</v>
      </c>
    </row>
    <row r="228" spans="1:6" s="1515" customFormat="1" ht="14.25" customHeight="1" thickBot="1">
      <c r="A228" s="1527" t="s">
        <v>1536</v>
      </c>
      <c r="B228" s="1521" t="s">
        <v>1420</v>
      </c>
      <c r="C228" s="1521">
        <v>5460</v>
      </c>
      <c r="D228" s="1521">
        <v>5420</v>
      </c>
      <c r="E228" s="1521">
        <v>5690</v>
      </c>
      <c r="F228" s="1535">
        <v>910</v>
      </c>
    </row>
    <row r="229" spans="1:6" s="1515" customFormat="1" ht="14.25" customHeight="1" thickBot="1">
      <c r="A229" s="1527" t="s">
        <v>1536</v>
      </c>
      <c r="B229" s="1521" t="s">
        <v>1427</v>
      </c>
      <c r="C229" s="1521">
        <v>5310</v>
      </c>
      <c r="D229" s="1521">
        <v>5270</v>
      </c>
      <c r="E229" s="1521">
        <v>5510</v>
      </c>
      <c r="F229" s="1539"/>
    </row>
    <row r="230" spans="1:6" s="1515" customFormat="1" ht="14.25" customHeight="1" thickBot="1">
      <c r="A230" s="1527" t="s">
        <v>1536</v>
      </c>
      <c r="B230" s="1521" t="s">
        <v>1434</v>
      </c>
      <c r="C230" s="1521">
        <v>4540</v>
      </c>
      <c r="D230" s="1521">
        <v>4500</v>
      </c>
      <c r="E230" s="1521">
        <v>4730</v>
      </c>
      <c r="F230" s="1539"/>
    </row>
    <row r="231" spans="1:6" s="1515" customFormat="1" ht="14.25" customHeight="1" thickBot="1">
      <c r="A231" s="1527" t="s">
        <v>1536</v>
      </c>
      <c r="B231" s="1521" t="s">
        <v>1441</v>
      </c>
      <c r="C231" s="1521">
        <v>4480</v>
      </c>
      <c r="D231" s="1521">
        <v>4410</v>
      </c>
      <c r="E231" s="1521">
        <v>4640</v>
      </c>
      <c r="F231" s="1539"/>
    </row>
    <row r="232" spans="1:6" s="1515" customFormat="1" ht="14.25" customHeight="1" thickBot="1">
      <c r="A232" s="1527" t="s">
        <v>1536</v>
      </c>
      <c r="B232" s="1521" t="s">
        <v>1448</v>
      </c>
      <c r="C232" s="1521">
        <v>5670</v>
      </c>
      <c r="D232" s="1521">
        <v>5600</v>
      </c>
      <c r="E232" s="1521">
        <v>5890</v>
      </c>
      <c r="F232" s="1535">
        <v>1150</v>
      </c>
    </row>
    <row r="233" spans="1:6" s="1515" customFormat="1" ht="14.25" customHeight="1" thickBot="1">
      <c r="A233" s="1527" t="s">
        <v>1536</v>
      </c>
      <c r="B233" s="1521" t="s">
        <v>1455</v>
      </c>
      <c r="C233" s="1521">
        <v>4590</v>
      </c>
      <c r="D233" s="1521">
        <v>4500</v>
      </c>
      <c r="E233" s="1521">
        <v>4600</v>
      </c>
      <c r="F233" s="1539"/>
    </row>
    <row r="234" spans="1:6" s="1515" customFormat="1" ht="14.25" customHeight="1" thickBot="1">
      <c r="A234" s="1527" t="s">
        <v>1536</v>
      </c>
      <c r="B234" s="1521" t="s">
        <v>2496</v>
      </c>
      <c r="C234" s="1521">
        <v>3990</v>
      </c>
      <c r="D234" s="1521">
        <v>3950</v>
      </c>
      <c r="E234" s="1521">
        <v>4180</v>
      </c>
      <c r="F234" s="1539"/>
    </row>
    <row r="235" spans="1:6" s="1515" customFormat="1" ht="14.25" customHeight="1" thickBot="1">
      <c r="A235" s="1527" t="s">
        <v>1536</v>
      </c>
      <c r="B235" s="1521" t="s">
        <v>1464</v>
      </c>
      <c r="C235" s="1521">
        <v>5590</v>
      </c>
      <c r="D235" s="1521">
        <v>5540</v>
      </c>
      <c r="E235" s="1521">
        <v>5810</v>
      </c>
      <c r="F235" s="1535">
        <v>970</v>
      </c>
    </row>
    <row r="236" spans="1:6" s="1515" customFormat="1" ht="14.25" customHeight="1" thickBot="1">
      <c r="A236" s="1527" t="s">
        <v>1536</v>
      </c>
      <c r="B236" s="1521" t="s">
        <v>1469</v>
      </c>
      <c r="C236" s="1521"/>
      <c r="D236" s="1521"/>
      <c r="E236" s="1521"/>
      <c r="F236" s="1535">
        <v>1020</v>
      </c>
    </row>
    <row r="237" spans="1:6" s="1515" customFormat="1" ht="14.25" customHeight="1" thickBot="1">
      <c r="A237" s="1527" t="s">
        <v>1536</v>
      </c>
      <c r="B237" s="1521" t="s">
        <v>1474</v>
      </c>
      <c r="C237" s="1521"/>
      <c r="D237" s="1521"/>
      <c r="E237" s="1521"/>
      <c r="F237" s="1535">
        <v>960</v>
      </c>
    </row>
    <row r="238" spans="1:6" s="1515" customFormat="1" ht="14.25" customHeight="1" thickBot="1">
      <c r="A238" s="1527" t="s">
        <v>1536</v>
      </c>
      <c r="B238" s="1521" t="s">
        <v>1479</v>
      </c>
      <c r="C238" s="1521"/>
      <c r="D238" s="1521"/>
      <c r="E238" s="1521"/>
      <c r="F238" s="1535">
        <v>960</v>
      </c>
    </row>
    <row r="239" spans="1:6" s="1515" customFormat="1" ht="14.25" customHeight="1" thickBot="1">
      <c r="A239" s="1527" t="s">
        <v>1536</v>
      </c>
      <c r="B239" s="1521" t="s">
        <v>1484</v>
      </c>
      <c r="C239" s="1521"/>
      <c r="D239" s="1521"/>
      <c r="E239" s="1521"/>
      <c r="F239" s="1535">
        <v>960</v>
      </c>
    </row>
    <row r="240" spans="1:6" s="1515" customFormat="1" ht="14.25" customHeight="1" thickBot="1">
      <c r="A240" s="1527" t="s">
        <v>1536</v>
      </c>
      <c r="B240" s="1521" t="s">
        <v>1488</v>
      </c>
      <c r="C240" s="1521"/>
      <c r="D240" s="1521"/>
      <c r="E240" s="1521"/>
      <c r="F240" s="1535">
        <v>990</v>
      </c>
    </row>
    <row r="241" spans="1:6" s="1515" customFormat="1" ht="14.25" customHeight="1" thickBot="1">
      <c r="A241" s="1527" t="s">
        <v>1536</v>
      </c>
      <c r="B241" s="1521" t="s">
        <v>1492</v>
      </c>
      <c r="C241" s="1521"/>
      <c r="D241" s="1521"/>
      <c r="E241" s="1521"/>
      <c r="F241" s="1535">
        <v>1000</v>
      </c>
    </row>
    <row r="242" spans="1:6" s="1515" customFormat="1" ht="14.25" customHeight="1" thickBot="1">
      <c r="A242" s="1527" t="s">
        <v>1536</v>
      </c>
      <c r="B242" s="1521" t="s">
        <v>1496</v>
      </c>
      <c r="C242" s="1521"/>
      <c r="D242" s="1521"/>
      <c r="E242" s="1521"/>
      <c r="F242" s="1535">
        <v>980</v>
      </c>
    </row>
    <row r="243" spans="1:6" s="1515" customFormat="1" ht="14.25" customHeight="1" thickBot="1">
      <c r="A243" s="1527" t="s">
        <v>1536</v>
      </c>
      <c r="B243" s="1521" t="s">
        <v>1500</v>
      </c>
      <c r="C243" s="1521"/>
      <c r="D243" s="1521"/>
      <c r="E243" s="1521"/>
      <c r="F243" s="1535">
        <v>970</v>
      </c>
    </row>
    <row r="244" spans="1:6" s="1515" customFormat="1" ht="14.25" customHeight="1" thickBot="1">
      <c r="A244" s="1527" t="s">
        <v>1536</v>
      </c>
      <c r="B244" s="1533" t="s">
        <v>1504</v>
      </c>
      <c r="C244" s="1533"/>
      <c r="D244" s="1533"/>
      <c r="E244" s="1533"/>
      <c r="F244" s="1538">
        <v>970</v>
      </c>
    </row>
    <row r="245" spans="1:6" s="1515" customFormat="1" ht="14.25" customHeight="1" thickBot="1">
      <c r="A245" s="1527" t="s">
        <v>1538</v>
      </c>
      <c r="B245" s="1528" t="s">
        <v>1539</v>
      </c>
      <c r="C245" s="1528">
        <v>4050</v>
      </c>
      <c r="D245" s="1528">
        <v>4020</v>
      </c>
      <c r="E245" s="1528">
        <v>4160</v>
      </c>
      <c r="F245" s="1529">
        <v>840</v>
      </c>
    </row>
    <row r="246" spans="1:6" s="1515" customFormat="1" ht="14.25" customHeight="1" thickBot="1">
      <c r="A246" s="1527" t="s">
        <v>1538</v>
      </c>
      <c r="B246" s="1521" t="s">
        <v>1203</v>
      </c>
      <c r="C246" s="1521">
        <v>4010</v>
      </c>
      <c r="D246" s="1521">
        <v>3960</v>
      </c>
      <c r="E246" s="1521">
        <v>4130</v>
      </c>
      <c r="F246" s="1535">
        <v>840</v>
      </c>
    </row>
    <row r="247" spans="1:6" s="1515" customFormat="1" ht="14.25" customHeight="1" thickBot="1">
      <c r="A247" s="1527" t="s">
        <v>1538</v>
      </c>
      <c r="B247" s="1521" t="s">
        <v>1540</v>
      </c>
      <c r="C247" s="1521">
        <v>3170</v>
      </c>
      <c r="D247" s="1521">
        <v>3140</v>
      </c>
      <c r="E247" s="1521">
        <v>3270</v>
      </c>
      <c r="F247" s="1535">
        <v>640</v>
      </c>
    </row>
    <row r="248" spans="1:6" s="1515" customFormat="1" ht="14.25" customHeight="1" thickBot="1">
      <c r="A248" s="1527" t="s">
        <v>1538</v>
      </c>
      <c r="B248" s="1521" t="s">
        <v>1541</v>
      </c>
      <c r="C248" s="1521">
        <v>3140</v>
      </c>
      <c r="D248" s="1521">
        <v>3120</v>
      </c>
      <c r="E248" s="1521">
        <v>3240</v>
      </c>
      <c r="F248" s="1535">
        <v>620</v>
      </c>
    </row>
    <row r="249" spans="1:6" s="1515" customFormat="1" ht="14.25" customHeight="1" thickBot="1">
      <c r="A249" s="1527" t="s">
        <v>1538</v>
      </c>
      <c r="B249" s="1521" t="s">
        <v>1241</v>
      </c>
      <c r="C249" s="1521">
        <v>3200</v>
      </c>
      <c r="D249" s="1521">
        <v>3100</v>
      </c>
      <c r="E249" s="1521">
        <v>3230</v>
      </c>
      <c r="F249" s="1535">
        <v>750</v>
      </c>
    </row>
    <row r="250" spans="1:6" s="1515" customFormat="1" ht="14.25" customHeight="1" thickBot="1">
      <c r="A250" s="1527" t="s">
        <v>1538</v>
      </c>
      <c r="B250" s="1521" t="s">
        <v>1252</v>
      </c>
      <c r="C250" s="1521">
        <v>4060</v>
      </c>
      <c r="D250" s="1521">
        <v>4000</v>
      </c>
      <c r="E250" s="1521">
        <v>4140</v>
      </c>
      <c r="F250" s="1535">
        <v>790</v>
      </c>
    </row>
    <row r="251" spans="1:6" s="1515" customFormat="1" ht="14.25" customHeight="1" thickBot="1">
      <c r="A251" s="1527" t="s">
        <v>1538</v>
      </c>
      <c r="B251" s="1521" t="s">
        <v>1263</v>
      </c>
      <c r="C251" s="1521">
        <v>3990</v>
      </c>
      <c r="D251" s="1521">
        <v>3970</v>
      </c>
      <c r="E251" s="1521">
        <v>4110</v>
      </c>
      <c r="F251" s="1535">
        <v>730</v>
      </c>
    </row>
    <row r="252" spans="1:6" s="1515" customFormat="1" ht="14.25" customHeight="1" thickBot="1">
      <c r="A252" s="1527" t="s">
        <v>1538</v>
      </c>
      <c r="B252" s="1521" t="s">
        <v>1274</v>
      </c>
      <c r="C252" s="1521">
        <v>3560</v>
      </c>
      <c r="D252" s="1521">
        <v>3530</v>
      </c>
      <c r="E252" s="1521">
        <v>3650</v>
      </c>
      <c r="F252" s="1535">
        <v>750</v>
      </c>
    </row>
    <row r="253" spans="1:6" s="1515" customFormat="1" ht="14.25" customHeight="1" thickBot="1">
      <c r="A253" s="1527" t="s">
        <v>1538</v>
      </c>
      <c r="B253" s="1521" t="s">
        <v>1286</v>
      </c>
      <c r="C253" s="1521">
        <v>3780</v>
      </c>
      <c r="D253" s="1521">
        <v>3750</v>
      </c>
      <c r="E253" s="1521">
        <v>3870</v>
      </c>
      <c r="F253" s="1535">
        <v>770</v>
      </c>
    </row>
    <row r="254" spans="1:6" s="1515" customFormat="1" ht="14.25" customHeight="1" thickBot="1">
      <c r="A254" s="1527" t="s">
        <v>1538</v>
      </c>
      <c r="B254" s="1521" t="s">
        <v>1296</v>
      </c>
      <c r="C254" s="1540"/>
      <c r="D254" s="1540"/>
      <c r="E254" s="1540"/>
      <c r="F254" s="1535">
        <v>740</v>
      </c>
    </row>
    <row r="255" spans="1:6" s="1515" customFormat="1" ht="14.25" customHeight="1" thickBot="1">
      <c r="A255" s="1527" t="s">
        <v>1538</v>
      </c>
      <c r="B255" s="1521" t="s">
        <v>1306</v>
      </c>
      <c r="C255" s="1540"/>
      <c r="D255" s="1540"/>
      <c r="E255" s="1540"/>
      <c r="F255" s="1535">
        <v>760</v>
      </c>
    </row>
    <row r="256" spans="1:6" s="1515" customFormat="1" ht="14.25" customHeight="1" thickBot="1">
      <c r="A256" s="1527" t="s">
        <v>1538</v>
      </c>
      <c r="B256" s="1521" t="s">
        <v>1316</v>
      </c>
      <c r="C256" s="1521">
        <v>3760</v>
      </c>
      <c r="D256" s="1521">
        <v>3730</v>
      </c>
      <c r="E256" s="1521">
        <v>3870</v>
      </c>
      <c r="F256" s="1535">
        <v>830</v>
      </c>
    </row>
    <row r="257" spans="1:6" s="1515" customFormat="1" ht="14.25" customHeight="1" thickBot="1">
      <c r="A257" s="1527" t="s">
        <v>1538</v>
      </c>
      <c r="B257" s="1521" t="s">
        <v>1326</v>
      </c>
      <c r="C257" s="1521">
        <v>3570</v>
      </c>
      <c r="D257" s="1521">
        <v>3540</v>
      </c>
      <c r="E257" s="1521">
        <v>3650</v>
      </c>
      <c r="F257" s="1535">
        <v>790</v>
      </c>
    </row>
    <row r="258" spans="1:6" s="1515" customFormat="1" ht="14.25" customHeight="1" thickBot="1">
      <c r="A258" s="1527" t="s">
        <v>1538</v>
      </c>
      <c r="B258" s="1521" t="s">
        <v>1337</v>
      </c>
      <c r="C258" s="1521">
        <v>3410</v>
      </c>
      <c r="D258" s="1521">
        <v>3380</v>
      </c>
      <c r="E258" s="1521">
        <v>3500</v>
      </c>
      <c r="F258" s="1535">
        <v>830</v>
      </c>
    </row>
    <row r="259" spans="1:6" s="1515" customFormat="1" ht="14.25" customHeight="1" thickBot="1">
      <c r="A259" s="1527" t="s">
        <v>1538</v>
      </c>
      <c r="B259" s="1521" t="s">
        <v>1348</v>
      </c>
      <c r="C259" s="1521">
        <v>3870</v>
      </c>
      <c r="D259" s="1521">
        <v>3840</v>
      </c>
      <c r="E259" s="1521">
        <v>3970</v>
      </c>
      <c r="F259" s="1535">
        <v>830</v>
      </c>
    </row>
    <row r="260" spans="1:6" s="1515" customFormat="1" ht="14.25" customHeight="1" thickBot="1">
      <c r="A260" s="1527" t="s">
        <v>1538</v>
      </c>
      <c r="B260" s="1521" t="s">
        <v>1358</v>
      </c>
      <c r="C260" s="1521">
        <v>3700</v>
      </c>
      <c r="D260" s="1521">
        <v>3660</v>
      </c>
      <c r="E260" s="1521">
        <v>3810</v>
      </c>
      <c r="F260" s="1535">
        <v>790</v>
      </c>
    </row>
    <row r="261" spans="1:6" s="1515" customFormat="1" ht="14.25" customHeight="1" thickBot="1">
      <c r="A261" s="1527" t="s">
        <v>1538</v>
      </c>
      <c r="B261" s="1521" t="s">
        <v>1368</v>
      </c>
      <c r="C261" s="1521">
        <v>3470</v>
      </c>
      <c r="D261" s="1521">
        <v>3430</v>
      </c>
      <c r="E261" s="1521">
        <v>3640</v>
      </c>
      <c r="F261" s="1535">
        <v>760</v>
      </c>
    </row>
    <row r="262" spans="1:6" s="1515" customFormat="1" ht="14.25" customHeight="1" thickBot="1">
      <c r="A262" s="1527" t="s">
        <v>1538</v>
      </c>
      <c r="B262" s="1521" t="s">
        <v>1378</v>
      </c>
      <c r="C262" s="1521">
        <v>3510</v>
      </c>
      <c r="D262" s="1521">
        <v>3470</v>
      </c>
      <c r="E262" s="1521">
        <v>3680</v>
      </c>
      <c r="F262" s="1539"/>
    </row>
    <row r="263" spans="1:6" s="1515" customFormat="1" ht="14.25" customHeight="1" thickBot="1">
      <c r="A263" s="1527" t="s">
        <v>1538</v>
      </c>
      <c r="B263" s="1521" t="s">
        <v>1388</v>
      </c>
      <c r="C263" s="1521">
        <v>3960</v>
      </c>
      <c r="D263" s="1521">
        <v>3930</v>
      </c>
      <c r="E263" s="1521">
        <v>4070</v>
      </c>
      <c r="F263" s="1535">
        <v>830</v>
      </c>
    </row>
    <row r="264" spans="1:6" s="1515" customFormat="1" ht="14.25" customHeight="1" thickBot="1">
      <c r="A264" s="1527" t="s">
        <v>1538</v>
      </c>
      <c r="B264" s="1521" t="s">
        <v>1397</v>
      </c>
      <c r="C264" s="1521">
        <v>4010</v>
      </c>
      <c r="D264" s="1521">
        <v>3980</v>
      </c>
      <c r="E264" s="1521">
        <v>4150</v>
      </c>
      <c r="F264" s="1535">
        <v>760</v>
      </c>
    </row>
    <row r="265" spans="1:6" s="1515" customFormat="1" ht="14.25" customHeight="1" thickBot="1">
      <c r="A265" s="1527" t="s">
        <v>1538</v>
      </c>
      <c r="B265" s="1521" t="s">
        <v>1406</v>
      </c>
      <c r="C265" s="1521">
        <v>3910</v>
      </c>
      <c r="D265" s="1521">
        <v>3890</v>
      </c>
      <c r="E265" s="1521">
        <v>4040</v>
      </c>
      <c r="F265" s="1535">
        <v>780</v>
      </c>
    </row>
    <row r="266" spans="1:6" s="1515" customFormat="1" ht="14.25" customHeight="1" thickBot="1">
      <c r="A266" s="1527" t="s">
        <v>1538</v>
      </c>
      <c r="B266" s="1521" t="s">
        <v>1414</v>
      </c>
      <c r="C266" s="1521">
        <v>3930</v>
      </c>
      <c r="D266" s="1521">
        <v>3900</v>
      </c>
      <c r="E266" s="1521">
        <v>4080</v>
      </c>
      <c r="F266" s="1535">
        <v>770</v>
      </c>
    </row>
    <row r="267" spans="1:6" s="1515" customFormat="1" ht="14.25" customHeight="1" thickBot="1">
      <c r="A267" s="1527" t="s">
        <v>1538</v>
      </c>
      <c r="B267" s="1521" t="s">
        <v>1421</v>
      </c>
      <c r="C267" s="1521">
        <v>3800</v>
      </c>
      <c r="D267" s="1521">
        <v>3780</v>
      </c>
      <c r="E267" s="1521">
        <v>3930</v>
      </c>
      <c r="F267" s="1539"/>
    </row>
    <row r="268" spans="1:6" s="1515" customFormat="1" ht="14.25" customHeight="1" thickBot="1">
      <c r="A268" s="1527" t="s">
        <v>1538</v>
      </c>
      <c r="B268" s="1521" t="s">
        <v>1428</v>
      </c>
      <c r="C268" s="1521">
        <v>3460</v>
      </c>
      <c r="D268" s="1521">
        <v>3430</v>
      </c>
      <c r="E268" s="1521">
        <v>3560</v>
      </c>
      <c r="F268" s="1535">
        <v>840</v>
      </c>
    </row>
    <row r="269" spans="1:6" s="1515" customFormat="1" ht="14.25" customHeight="1" thickBot="1">
      <c r="A269" s="1527" t="s">
        <v>1538</v>
      </c>
      <c r="B269" s="1521" t="s">
        <v>1435</v>
      </c>
      <c r="C269" s="1521">
        <v>3210</v>
      </c>
      <c r="D269" s="1521">
        <v>3190</v>
      </c>
      <c r="E269" s="1521">
        <v>3310</v>
      </c>
      <c r="F269" s="1535">
        <v>730</v>
      </c>
    </row>
    <row r="270" spans="1:6" s="1515" customFormat="1" ht="14.25" customHeight="1" thickBot="1">
      <c r="A270" s="1527" t="s">
        <v>1538</v>
      </c>
      <c r="B270" s="1521" t="s">
        <v>1442</v>
      </c>
      <c r="C270" s="1521">
        <v>3240</v>
      </c>
      <c r="D270" s="1521">
        <v>3210</v>
      </c>
      <c r="E270" s="1521">
        <v>3390</v>
      </c>
      <c r="F270" s="1535">
        <v>820</v>
      </c>
    </row>
    <row r="271" spans="1:6" s="1515" customFormat="1" ht="14.25" customHeight="1" thickBot="1">
      <c r="A271" s="1527" t="s">
        <v>1538</v>
      </c>
      <c r="B271" s="1521" t="s">
        <v>1449</v>
      </c>
      <c r="C271" s="1521">
        <v>3300</v>
      </c>
      <c r="D271" s="1521">
        <v>3270</v>
      </c>
      <c r="E271" s="1521">
        <v>3380</v>
      </c>
      <c r="F271" s="1535">
        <v>750</v>
      </c>
    </row>
    <row r="272" spans="1:6" s="1515" customFormat="1" ht="14.25" customHeight="1" thickBot="1">
      <c r="A272" s="1527" t="s">
        <v>1538</v>
      </c>
      <c r="B272" s="1521" t="s">
        <v>1456</v>
      </c>
      <c r="C272" s="1540"/>
      <c r="D272" s="1540"/>
      <c r="E272" s="1540"/>
      <c r="F272" s="1535">
        <v>740</v>
      </c>
    </row>
    <row r="273" spans="1:6" s="1515" customFormat="1" ht="14.25" customHeight="1" thickBot="1">
      <c r="A273" s="1527" t="s">
        <v>1538</v>
      </c>
      <c r="B273" s="1521" t="s">
        <v>1460</v>
      </c>
      <c r="C273" s="1521">
        <v>3130</v>
      </c>
      <c r="D273" s="1521">
        <v>3100</v>
      </c>
      <c r="E273" s="1521">
        <v>3230</v>
      </c>
      <c r="F273" s="1535">
        <v>700</v>
      </c>
    </row>
    <row r="274" spans="1:6" s="1515" customFormat="1" ht="14.25" customHeight="1" thickBot="1">
      <c r="A274" s="1527" t="s">
        <v>1538</v>
      </c>
      <c r="B274" s="1521" t="s">
        <v>1465</v>
      </c>
      <c r="C274" s="1521">
        <v>3460</v>
      </c>
      <c r="D274" s="1521">
        <v>3430</v>
      </c>
      <c r="E274" s="1521">
        <v>3560</v>
      </c>
      <c r="F274" s="1535">
        <v>690</v>
      </c>
    </row>
    <row r="275" spans="1:6" s="1515" customFormat="1" ht="14.25" customHeight="1" thickBot="1">
      <c r="A275" s="1527" t="s">
        <v>1538</v>
      </c>
      <c r="B275" s="1521" t="s">
        <v>1470</v>
      </c>
      <c r="C275" s="1521">
        <v>4040</v>
      </c>
      <c r="D275" s="1521">
        <v>4020</v>
      </c>
      <c r="E275" s="1521">
        <v>4160</v>
      </c>
      <c r="F275" s="1535">
        <v>820</v>
      </c>
    </row>
    <row r="276" spans="1:6" s="1515" customFormat="1" ht="14.25" customHeight="1" thickBot="1">
      <c r="A276" s="1527" t="s">
        <v>1538</v>
      </c>
      <c r="B276" s="1521" t="s">
        <v>1475</v>
      </c>
      <c r="C276" s="1521">
        <v>3270</v>
      </c>
      <c r="D276" s="1521">
        <v>3240</v>
      </c>
      <c r="E276" s="1521">
        <v>3350</v>
      </c>
      <c r="F276" s="1535">
        <v>680</v>
      </c>
    </row>
    <row r="277" spans="1:6" s="1515" customFormat="1" ht="14.25" customHeight="1" thickBot="1">
      <c r="A277" s="1527" t="s">
        <v>1538</v>
      </c>
      <c r="B277" s="1521" t="s">
        <v>1480</v>
      </c>
      <c r="C277" s="1521">
        <v>2930</v>
      </c>
      <c r="D277" s="1521">
        <v>2900</v>
      </c>
      <c r="E277" s="1521">
        <v>3000</v>
      </c>
      <c r="F277" s="1535">
        <v>640</v>
      </c>
    </row>
    <row r="278" spans="1:6" s="1515" customFormat="1" ht="14.25" customHeight="1" thickBot="1">
      <c r="A278" s="1527" t="s">
        <v>1538</v>
      </c>
      <c r="B278" s="1521" t="s">
        <v>1485</v>
      </c>
      <c r="C278" s="1521">
        <v>4080</v>
      </c>
      <c r="D278" s="1521">
        <v>4030</v>
      </c>
      <c r="E278" s="1521">
        <v>4140</v>
      </c>
      <c r="F278" s="1535">
        <v>850</v>
      </c>
    </row>
    <row r="279" spans="1:6" s="1515" customFormat="1" ht="14.25" customHeight="1" thickBot="1">
      <c r="A279" s="1527" t="s">
        <v>1538</v>
      </c>
      <c r="B279" s="1521" t="s">
        <v>1489</v>
      </c>
      <c r="C279" s="1521"/>
      <c r="D279" s="1521"/>
      <c r="E279" s="1521"/>
      <c r="F279" s="1535">
        <v>760</v>
      </c>
    </row>
    <row r="280" spans="1:6" s="1515" customFormat="1" ht="14.25" customHeight="1" thickBot="1">
      <c r="A280" s="1527" t="s">
        <v>1538</v>
      </c>
      <c r="B280" s="1521" t="s">
        <v>1493</v>
      </c>
      <c r="C280" s="1521"/>
      <c r="D280" s="1521"/>
      <c r="E280" s="1521"/>
      <c r="F280" s="1535">
        <v>760</v>
      </c>
    </row>
    <row r="281" spans="1:6" s="1515" customFormat="1" ht="14.25" customHeight="1" thickBot="1">
      <c r="A281" s="1527" t="s">
        <v>1538</v>
      </c>
      <c r="B281" s="1521" t="s">
        <v>1497</v>
      </c>
      <c r="C281" s="1521"/>
      <c r="D281" s="1521"/>
      <c r="E281" s="1521"/>
      <c r="F281" s="1535">
        <v>780</v>
      </c>
    </row>
    <row r="282" spans="1:6" s="1515" customFormat="1" ht="14.25" customHeight="1" thickBot="1">
      <c r="A282" s="1527" t="s">
        <v>1538</v>
      </c>
      <c r="B282" s="1521" t="s">
        <v>1501</v>
      </c>
      <c r="C282" s="1521"/>
      <c r="D282" s="1521"/>
      <c r="E282" s="1521"/>
      <c r="F282" s="1535">
        <v>730</v>
      </c>
    </row>
    <row r="283" spans="1:6" s="1515" customFormat="1" ht="14.25" customHeight="1" thickBot="1">
      <c r="A283" s="1527" t="s">
        <v>1538</v>
      </c>
      <c r="B283" s="1521" t="s">
        <v>1505</v>
      </c>
      <c r="C283" s="1521"/>
      <c r="D283" s="1521"/>
      <c r="E283" s="1521"/>
      <c r="F283" s="1535">
        <v>770</v>
      </c>
    </row>
    <row r="284" spans="1:6" s="1515" customFormat="1" ht="14.25" customHeight="1" thickBot="1">
      <c r="A284" s="1527" t="s">
        <v>1538</v>
      </c>
      <c r="B284" s="1521" t="s">
        <v>1508</v>
      </c>
      <c r="C284" s="1521"/>
      <c r="D284" s="1521"/>
      <c r="E284" s="1521"/>
      <c r="F284" s="1535">
        <v>640</v>
      </c>
    </row>
    <row r="285" spans="1:6" s="1515" customFormat="1" ht="14.25" customHeight="1" thickBot="1">
      <c r="A285" s="1527" t="s">
        <v>1538</v>
      </c>
      <c r="B285" s="1521" t="s">
        <v>1511</v>
      </c>
      <c r="C285" s="1521"/>
      <c r="D285" s="1521"/>
      <c r="E285" s="1521"/>
      <c r="F285" s="1535">
        <v>640</v>
      </c>
    </row>
    <row r="286" spans="1:6" s="1515" customFormat="1" ht="14.25" customHeight="1" thickBot="1">
      <c r="A286" s="1527" t="s">
        <v>1538</v>
      </c>
      <c r="B286" s="1521" t="s">
        <v>1514</v>
      </c>
      <c r="C286" s="1521"/>
      <c r="D286" s="1521"/>
      <c r="E286" s="1521"/>
      <c r="F286" s="1535">
        <v>850</v>
      </c>
    </row>
    <row r="287" spans="1:6" s="1515" customFormat="1" ht="14.25" customHeight="1" thickBot="1">
      <c r="A287" s="1527" t="s">
        <v>1538</v>
      </c>
      <c r="B287" s="1521" t="s">
        <v>1517</v>
      </c>
      <c r="C287" s="1521"/>
      <c r="D287" s="1521"/>
      <c r="E287" s="1521"/>
      <c r="F287" s="1535">
        <v>760</v>
      </c>
    </row>
    <row r="288" spans="1:6" s="1515" customFormat="1" ht="14.25" customHeight="1" thickBot="1">
      <c r="A288" s="1527" t="s">
        <v>1538</v>
      </c>
      <c r="B288" s="1521" t="s">
        <v>1520</v>
      </c>
      <c r="C288" s="1521"/>
      <c r="D288" s="1521"/>
      <c r="E288" s="1521"/>
      <c r="F288" s="1535">
        <v>830</v>
      </c>
    </row>
    <row r="289" spans="1:6" s="1515" customFormat="1" ht="14.25" customHeight="1" thickBot="1">
      <c r="A289" s="1527" t="s">
        <v>1538</v>
      </c>
      <c r="B289" s="1533" t="s">
        <v>1523</v>
      </c>
      <c r="C289" s="1533"/>
      <c r="D289" s="1533"/>
      <c r="E289" s="1533"/>
      <c r="F289" s="1538">
        <v>680</v>
      </c>
    </row>
    <row r="290" spans="1:6" s="1515" customFormat="1" ht="14.25" customHeight="1" thickBot="1">
      <c r="A290" s="1527" t="s">
        <v>1542</v>
      </c>
      <c r="B290" s="1528" t="s">
        <v>1543</v>
      </c>
      <c r="C290" s="1528">
        <v>2770</v>
      </c>
      <c r="D290" s="1528">
        <v>2740</v>
      </c>
      <c r="E290" s="1528">
        <v>2720</v>
      </c>
      <c r="F290" s="1541"/>
    </row>
    <row r="291" spans="1:6" s="1515" customFormat="1" ht="14.25" customHeight="1" thickBot="1">
      <c r="A291" s="1527" t="s">
        <v>1542</v>
      </c>
      <c r="B291" s="1521" t="s">
        <v>1204</v>
      </c>
      <c r="C291" s="1521">
        <v>2670</v>
      </c>
      <c r="D291" s="1521">
        <v>2640</v>
      </c>
      <c r="E291" s="1521">
        <v>2620</v>
      </c>
      <c r="F291" s="1539"/>
    </row>
    <row r="292" spans="1:6" s="1515" customFormat="1" ht="14.25" customHeight="1" thickBot="1">
      <c r="A292" s="1527" t="s">
        <v>1542</v>
      </c>
      <c r="B292" s="1521" t="s">
        <v>1544</v>
      </c>
      <c r="C292" s="1521">
        <v>2180</v>
      </c>
      <c r="D292" s="1521">
        <v>2140</v>
      </c>
      <c r="E292" s="1521">
        <v>2120</v>
      </c>
      <c r="F292" s="1535">
        <v>490</v>
      </c>
    </row>
    <row r="293" spans="1:6" s="1515" customFormat="1" ht="14.25" customHeight="1" thickBot="1">
      <c r="A293" s="1527" t="s">
        <v>1542</v>
      </c>
      <c r="B293" s="1521" t="s">
        <v>1545</v>
      </c>
      <c r="C293" s="1521"/>
      <c r="D293" s="1521"/>
      <c r="E293" s="1521"/>
      <c r="F293" s="1535">
        <v>470</v>
      </c>
    </row>
    <row r="294" spans="1:6" s="1515" customFormat="1" ht="14.25" customHeight="1" thickBot="1">
      <c r="A294" s="1527" t="s">
        <v>1542</v>
      </c>
      <c r="B294" s="1521" t="s">
        <v>1546</v>
      </c>
      <c r="C294" s="1521">
        <v>2730</v>
      </c>
      <c r="D294" s="1521">
        <v>2700</v>
      </c>
      <c r="E294" s="1521">
        <v>2680</v>
      </c>
      <c r="F294" s="1535">
        <v>490</v>
      </c>
    </row>
    <row r="295" spans="1:6" s="1515" customFormat="1" ht="14.25" customHeight="1" thickBot="1">
      <c r="A295" s="1527" t="s">
        <v>1542</v>
      </c>
      <c r="B295" s="1521" t="s">
        <v>1242</v>
      </c>
      <c r="C295" s="1521">
        <v>2380</v>
      </c>
      <c r="D295" s="1521">
        <v>2350</v>
      </c>
      <c r="E295" s="1521">
        <v>2330</v>
      </c>
      <c r="F295" s="1535">
        <v>530</v>
      </c>
    </row>
    <row r="296" spans="1:6" s="1515" customFormat="1" ht="14.25" customHeight="1" thickBot="1">
      <c r="A296" s="1527" t="s">
        <v>1542</v>
      </c>
      <c r="B296" s="1521" t="s">
        <v>1253</v>
      </c>
      <c r="C296" s="1521">
        <v>2650</v>
      </c>
      <c r="D296" s="1521">
        <v>2620</v>
      </c>
      <c r="E296" s="1521">
        <v>2590</v>
      </c>
      <c r="F296" s="1535">
        <v>590</v>
      </c>
    </row>
    <row r="297" spans="1:6" s="1515" customFormat="1" ht="14.25" customHeight="1" thickBot="1">
      <c r="A297" s="1527" t="s">
        <v>1542</v>
      </c>
      <c r="B297" s="1521" t="s">
        <v>1264</v>
      </c>
      <c r="C297" s="1521">
        <v>2700</v>
      </c>
      <c r="D297" s="1521">
        <v>2670</v>
      </c>
      <c r="E297" s="1521">
        <v>2650</v>
      </c>
      <c r="F297" s="1535">
        <v>630</v>
      </c>
    </row>
    <row r="298" spans="1:6" s="1515" customFormat="1" ht="14.25" customHeight="1" thickBot="1">
      <c r="A298" s="1527" t="s">
        <v>1542</v>
      </c>
      <c r="B298" s="1521" t="s">
        <v>1275</v>
      </c>
      <c r="C298" s="1521">
        <v>2650</v>
      </c>
      <c r="D298" s="1521">
        <v>2620</v>
      </c>
      <c r="E298" s="1521">
        <v>2590</v>
      </c>
      <c r="F298" s="1535">
        <v>640</v>
      </c>
    </row>
    <row r="299" spans="1:6" s="1515" customFormat="1" ht="14.25" customHeight="1" thickBot="1">
      <c r="A299" s="1527" t="s">
        <v>1542</v>
      </c>
      <c r="B299" s="1521" t="s">
        <v>1287</v>
      </c>
      <c r="C299" s="1521">
        <v>2500</v>
      </c>
      <c r="D299" s="1521">
        <v>2480</v>
      </c>
      <c r="E299" s="1521">
        <v>2460</v>
      </c>
      <c r="F299" s="1539"/>
    </row>
    <row r="300" spans="1:6" s="1515" customFormat="1" ht="14.25" customHeight="1" thickBot="1">
      <c r="A300" s="1527" t="s">
        <v>1542</v>
      </c>
      <c r="B300" s="1521" t="s">
        <v>1297</v>
      </c>
      <c r="C300" s="1521">
        <v>2760</v>
      </c>
      <c r="D300" s="1521">
        <v>2730</v>
      </c>
      <c r="E300" s="1521">
        <v>2700</v>
      </c>
      <c r="F300" s="1535">
        <v>630</v>
      </c>
    </row>
    <row r="301" spans="1:6" s="1515" customFormat="1" ht="14.25" customHeight="1" thickBot="1">
      <c r="A301" s="1527" t="s">
        <v>1542</v>
      </c>
      <c r="B301" s="1521" t="s">
        <v>1307</v>
      </c>
      <c r="C301" s="1521">
        <v>2510</v>
      </c>
      <c r="D301" s="1521">
        <v>2480</v>
      </c>
      <c r="E301" s="1521">
        <v>2460</v>
      </c>
      <c r="F301" s="1539"/>
    </row>
    <row r="302" spans="1:6" s="1515" customFormat="1" ht="14.25" customHeight="1" thickBot="1">
      <c r="A302" s="1527" t="s">
        <v>1542</v>
      </c>
      <c r="B302" s="1521" t="s">
        <v>1317</v>
      </c>
      <c r="C302" s="1521">
        <v>2480</v>
      </c>
      <c r="D302" s="1521">
        <v>2450</v>
      </c>
      <c r="E302" s="1521">
        <v>2420</v>
      </c>
      <c r="F302" s="1535">
        <v>600</v>
      </c>
    </row>
    <row r="303" spans="1:6" s="1515" customFormat="1" ht="14.25" customHeight="1" thickBot="1">
      <c r="A303" s="1527" t="s">
        <v>1542</v>
      </c>
      <c r="B303" s="1521" t="s">
        <v>1327</v>
      </c>
      <c r="C303" s="1521">
        <v>2270</v>
      </c>
      <c r="D303" s="1521">
        <v>2240</v>
      </c>
      <c r="E303" s="1521">
        <v>2210</v>
      </c>
      <c r="F303" s="1535">
        <v>540</v>
      </c>
    </row>
    <row r="304" spans="1:6" s="1515" customFormat="1" ht="14.25" customHeight="1" thickBot="1">
      <c r="A304" s="1527" t="s">
        <v>1542</v>
      </c>
      <c r="B304" s="1521" t="s">
        <v>1338</v>
      </c>
      <c r="C304" s="1521">
        <v>2310</v>
      </c>
      <c r="D304" s="1521">
        <v>2290</v>
      </c>
      <c r="E304" s="1521">
        <v>2270</v>
      </c>
      <c r="F304" s="1539"/>
    </row>
    <row r="305" spans="1:6" s="1515" customFormat="1" ht="14.25" customHeight="1" thickBot="1">
      <c r="A305" s="1527" t="s">
        <v>1542</v>
      </c>
      <c r="B305" s="1521" t="s">
        <v>1349</v>
      </c>
      <c r="C305" s="1521">
        <v>2490</v>
      </c>
      <c r="D305" s="1521">
        <v>2470</v>
      </c>
      <c r="E305" s="1521">
        <v>2440</v>
      </c>
      <c r="F305" s="1535">
        <v>560</v>
      </c>
    </row>
    <row r="306" spans="1:6" s="1515" customFormat="1" ht="14.25" customHeight="1" thickBot="1">
      <c r="A306" s="1527" t="s">
        <v>1542</v>
      </c>
      <c r="B306" s="1521" t="s">
        <v>1359</v>
      </c>
      <c r="C306" s="1521">
        <v>2420</v>
      </c>
      <c r="D306" s="1521">
        <v>2400</v>
      </c>
      <c r="E306" s="1521">
        <v>2380</v>
      </c>
      <c r="F306" s="1539"/>
    </row>
    <row r="307" spans="1:6" s="1515" customFormat="1" ht="14.25" customHeight="1" thickBot="1">
      <c r="A307" s="1527" t="s">
        <v>1542</v>
      </c>
      <c r="B307" s="1521" t="s">
        <v>1369</v>
      </c>
      <c r="C307" s="1521">
        <v>2770</v>
      </c>
      <c r="D307" s="1521">
        <v>2740</v>
      </c>
      <c r="E307" s="1521">
        <v>2710</v>
      </c>
      <c r="F307" s="1535">
        <v>650</v>
      </c>
    </row>
    <row r="308" spans="1:6" s="1515" customFormat="1" ht="14.25" customHeight="1" thickBot="1">
      <c r="A308" s="1527" t="s">
        <v>1542</v>
      </c>
      <c r="B308" s="1521" t="s">
        <v>1379</v>
      </c>
      <c r="C308" s="1521">
        <v>2610</v>
      </c>
      <c r="D308" s="1521">
        <v>2580</v>
      </c>
      <c r="E308" s="1521">
        <v>2550</v>
      </c>
      <c r="F308" s="1535">
        <v>580</v>
      </c>
    </row>
    <row r="309" spans="1:6" s="1515" customFormat="1" ht="14.25" customHeight="1" thickBot="1">
      <c r="A309" s="1527" t="s">
        <v>1542</v>
      </c>
      <c r="B309" s="1521" t="s">
        <v>1389</v>
      </c>
      <c r="C309" s="1521">
        <v>2690</v>
      </c>
      <c r="D309" s="1521">
        <v>2670</v>
      </c>
      <c r="E309" s="1521">
        <v>2650</v>
      </c>
      <c r="F309" s="1539"/>
    </row>
    <row r="310" spans="1:6" s="1515" customFormat="1" ht="14.25" customHeight="1" thickBot="1">
      <c r="A310" s="1527" t="s">
        <v>1542</v>
      </c>
      <c r="B310" s="1521" t="s">
        <v>1398</v>
      </c>
      <c r="C310" s="1521">
        <v>2360</v>
      </c>
      <c r="D310" s="1521">
        <v>2330</v>
      </c>
      <c r="E310" s="1521">
        <v>2310</v>
      </c>
      <c r="F310" s="1535">
        <v>560</v>
      </c>
    </row>
    <row r="311" spans="1:6" s="1515" customFormat="1" ht="14.25" customHeight="1" thickBot="1">
      <c r="A311" s="1527" t="s">
        <v>1542</v>
      </c>
      <c r="B311" s="1521" t="s">
        <v>1407</v>
      </c>
      <c r="C311" s="1521">
        <v>1970</v>
      </c>
      <c r="D311" s="1521">
        <v>1950</v>
      </c>
      <c r="E311" s="1521">
        <v>1920</v>
      </c>
      <c r="F311" s="1535">
        <v>470</v>
      </c>
    </row>
    <row r="312" spans="1:6" s="1515" customFormat="1" ht="14.25" customHeight="1" thickBot="1">
      <c r="A312" s="1527" t="s">
        <v>1542</v>
      </c>
      <c r="B312" s="1521" t="s">
        <v>1415</v>
      </c>
      <c r="C312" s="1521">
        <v>2230</v>
      </c>
      <c r="D312" s="1521">
        <v>2200</v>
      </c>
      <c r="E312" s="1521">
        <v>2170</v>
      </c>
      <c r="F312" s="1535">
        <v>460</v>
      </c>
    </row>
    <row r="313" spans="1:6" s="1515" customFormat="1" ht="14.25" customHeight="1" thickBot="1">
      <c r="A313" s="1527" t="s">
        <v>1542</v>
      </c>
      <c r="B313" s="1521" t="s">
        <v>1422</v>
      </c>
      <c r="C313" s="1521">
        <v>2770</v>
      </c>
      <c r="D313" s="1521">
        <v>2740</v>
      </c>
      <c r="E313" s="1521">
        <v>2710</v>
      </c>
      <c r="F313" s="1535">
        <v>610</v>
      </c>
    </row>
    <row r="314" spans="1:6" s="1515" customFormat="1" ht="14.25" customHeight="1" thickBot="1">
      <c r="A314" s="1527" t="s">
        <v>1542</v>
      </c>
      <c r="B314" s="1521" t="s">
        <v>1429</v>
      </c>
      <c r="C314" s="1521"/>
      <c r="D314" s="1521"/>
      <c r="E314" s="1521"/>
      <c r="F314" s="1535">
        <v>490</v>
      </c>
    </row>
    <row r="315" spans="1:6" s="1515" customFormat="1" ht="14.25" customHeight="1" thickBot="1">
      <c r="A315" s="1527" t="s">
        <v>1542</v>
      </c>
      <c r="B315" s="1521" t="s">
        <v>1436</v>
      </c>
      <c r="C315" s="1521"/>
      <c r="D315" s="1521"/>
      <c r="E315" s="1521"/>
      <c r="F315" s="1535">
        <v>520</v>
      </c>
    </row>
    <row r="316" spans="1:6" s="1515" customFormat="1" ht="14.25" customHeight="1" thickBot="1">
      <c r="A316" s="1527" t="s">
        <v>1542</v>
      </c>
      <c r="B316" s="1533" t="s">
        <v>1443</v>
      </c>
      <c r="C316" s="1533"/>
      <c r="D316" s="1533"/>
      <c r="E316" s="1533"/>
      <c r="F316" s="1538">
        <v>460</v>
      </c>
    </row>
    <row r="317" spans="1:6" s="1515" customFormat="1" ht="14.25" customHeight="1" thickBot="1">
      <c r="A317" s="1527" t="s">
        <v>1329</v>
      </c>
      <c r="B317" s="1528" t="s">
        <v>1547</v>
      </c>
      <c r="C317" s="1528">
        <v>1200</v>
      </c>
      <c r="D317" s="1528">
        <v>1180</v>
      </c>
      <c r="E317" s="1528">
        <v>1160</v>
      </c>
      <c r="F317" s="1529">
        <v>370</v>
      </c>
    </row>
    <row r="318" spans="1:6" s="1515" customFormat="1" ht="14.25" customHeight="1" thickBot="1">
      <c r="A318" s="1527" t="s">
        <v>1329</v>
      </c>
      <c r="B318" s="1521" t="s">
        <v>1548</v>
      </c>
      <c r="C318" s="1521">
        <v>1090</v>
      </c>
      <c r="D318" s="1521">
        <v>1060</v>
      </c>
      <c r="E318" s="1521">
        <v>1040</v>
      </c>
      <c r="F318" s="1539"/>
    </row>
    <row r="319" spans="1:6" s="1515" customFormat="1" ht="14.25" customHeight="1" thickBot="1">
      <c r="A319" s="1527" t="s">
        <v>1329</v>
      </c>
      <c r="B319" s="1521" t="s">
        <v>1549</v>
      </c>
      <c r="C319" s="1521">
        <v>1520</v>
      </c>
      <c r="D319" s="1521">
        <v>1470</v>
      </c>
      <c r="E319" s="1521">
        <v>1440</v>
      </c>
      <c r="F319" s="1535">
        <v>370</v>
      </c>
    </row>
    <row r="320" spans="1:6" s="1515" customFormat="1" ht="14.25" customHeight="1" thickBot="1">
      <c r="A320" s="1527" t="s">
        <v>1329</v>
      </c>
      <c r="B320" s="1521" t="s">
        <v>1231</v>
      </c>
      <c r="C320" s="1521">
        <v>1360</v>
      </c>
      <c r="D320" s="1521">
        <v>1300</v>
      </c>
      <c r="E320" s="1521">
        <v>1270</v>
      </c>
      <c r="F320" s="1539"/>
    </row>
    <row r="321" spans="1:6" s="1515" customFormat="1" ht="14.25" customHeight="1" thickBot="1">
      <c r="A321" s="1527" t="s">
        <v>1329</v>
      </c>
      <c r="B321" s="1521" t="s">
        <v>1243</v>
      </c>
      <c r="C321" s="1521">
        <v>1750</v>
      </c>
      <c r="D321" s="1521">
        <v>1690</v>
      </c>
      <c r="E321" s="1521">
        <v>1660</v>
      </c>
      <c r="F321" s="1539"/>
    </row>
    <row r="322" spans="1:6" s="1515" customFormat="1" ht="14.25" customHeight="1" thickBot="1">
      <c r="A322" s="1527" t="s">
        <v>1329</v>
      </c>
      <c r="B322" s="1521" t="s">
        <v>1254</v>
      </c>
      <c r="C322" s="1521">
        <v>1650</v>
      </c>
      <c r="D322" s="1521">
        <v>1610</v>
      </c>
      <c r="E322" s="1521">
        <v>1580</v>
      </c>
      <c r="F322" s="1535">
        <v>500</v>
      </c>
    </row>
    <row r="323" spans="1:6" s="1515" customFormat="1" ht="14.25" customHeight="1" thickBot="1">
      <c r="A323" s="1527" t="s">
        <v>1329</v>
      </c>
      <c r="B323" s="1521" t="s">
        <v>1265</v>
      </c>
      <c r="C323" s="1521">
        <v>1780</v>
      </c>
      <c r="D323" s="1521">
        <v>1740</v>
      </c>
      <c r="E323" s="1521">
        <v>1720</v>
      </c>
      <c r="F323" s="1539"/>
    </row>
    <row r="324" spans="1:6" s="1515" customFormat="1" ht="14.25" customHeight="1" thickBot="1">
      <c r="A324" s="1527" t="s">
        <v>1329</v>
      </c>
      <c r="B324" s="1521" t="s">
        <v>1276</v>
      </c>
      <c r="C324" s="1521">
        <v>1650</v>
      </c>
      <c r="D324" s="1521">
        <v>1610</v>
      </c>
      <c r="E324" s="1521">
        <v>1580</v>
      </c>
      <c r="F324" s="1539"/>
    </row>
    <row r="325" spans="1:6" s="1515" customFormat="1" ht="14.25" customHeight="1" thickBot="1">
      <c r="A325" s="1527" t="s">
        <v>1329</v>
      </c>
      <c r="B325" s="1521" t="s">
        <v>1288</v>
      </c>
      <c r="C325" s="1521">
        <v>1330</v>
      </c>
      <c r="D325" s="1521">
        <v>1270</v>
      </c>
      <c r="E325" s="1521">
        <v>1240</v>
      </c>
      <c r="F325" s="1535">
        <v>430</v>
      </c>
    </row>
    <row r="326" spans="1:6" s="1515" customFormat="1" ht="14.25" customHeight="1" thickBot="1">
      <c r="A326" s="1527" t="s">
        <v>1329</v>
      </c>
      <c r="B326" s="1521" t="s">
        <v>1298</v>
      </c>
      <c r="C326" s="1521">
        <v>1470</v>
      </c>
      <c r="D326" s="1521">
        <v>1430</v>
      </c>
      <c r="E326" s="1521">
        <v>1400</v>
      </c>
      <c r="F326" s="1539"/>
    </row>
    <row r="327" spans="1:6" s="1515" customFormat="1" ht="14.25" customHeight="1" thickBot="1">
      <c r="A327" s="1527" t="s">
        <v>1329</v>
      </c>
      <c r="B327" s="1521" t="s">
        <v>1308</v>
      </c>
      <c r="C327" s="1521">
        <v>1420</v>
      </c>
      <c r="D327" s="1521">
        <v>1380</v>
      </c>
      <c r="E327" s="1521">
        <v>1360</v>
      </c>
      <c r="F327" s="1535">
        <v>420</v>
      </c>
    </row>
    <row r="328" spans="1:6" s="1515" customFormat="1" ht="14.25" customHeight="1" thickBot="1">
      <c r="A328" s="1527" t="s">
        <v>1329</v>
      </c>
      <c r="B328" s="1521" t="s">
        <v>1318</v>
      </c>
      <c r="C328" s="1521">
        <v>1400</v>
      </c>
      <c r="D328" s="1521">
        <v>1360</v>
      </c>
      <c r="E328" s="1521">
        <v>1330</v>
      </c>
      <c r="F328" s="1535">
        <v>460</v>
      </c>
    </row>
    <row r="329" spans="1:6" s="1515" customFormat="1" ht="14.25" customHeight="1" thickBot="1">
      <c r="A329" s="1527" t="s">
        <v>1329</v>
      </c>
      <c r="B329" s="1521" t="s">
        <v>1328</v>
      </c>
      <c r="C329" s="1521">
        <v>1640</v>
      </c>
      <c r="D329" s="1521">
        <v>1610</v>
      </c>
      <c r="E329" s="1521">
        <v>1580</v>
      </c>
      <c r="F329" s="1535">
        <v>410</v>
      </c>
    </row>
    <row r="330" spans="1:6" s="1515" customFormat="1" ht="14.25" customHeight="1" thickBot="1">
      <c r="A330" s="1527" t="s">
        <v>1329</v>
      </c>
      <c r="B330" s="1521" t="s">
        <v>1339</v>
      </c>
      <c r="C330" s="1521">
        <v>1260</v>
      </c>
      <c r="D330" s="1521">
        <v>1220</v>
      </c>
      <c r="E330" s="1521">
        <v>1200</v>
      </c>
      <c r="F330" s="1539"/>
    </row>
    <row r="331" spans="1:6" s="1515" customFormat="1" ht="14.25" customHeight="1" thickBot="1">
      <c r="A331" s="1527" t="s">
        <v>1329</v>
      </c>
      <c r="B331" s="1521" t="s">
        <v>1350</v>
      </c>
      <c r="C331" s="1521">
        <v>1620</v>
      </c>
      <c r="D331" s="1521">
        <v>1560</v>
      </c>
      <c r="E331" s="1521">
        <v>1530</v>
      </c>
      <c r="F331" s="1535">
        <v>490</v>
      </c>
    </row>
    <row r="332" spans="1:6" s="1515" customFormat="1" ht="14.25" customHeight="1" thickBot="1">
      <c r="A332" s="1527" t="s">
        <v>1329</v>
      </c>
      <c r="B332" s="1521" t="s">
        <v>1360</v>
      </c>
      <c r="C332" s="1521">
        <v>1520</v>
      </c>
      <c r="D332" s="1521">
        <v>1470</v>
      </c>
      <c r="E332" s="1521">
        <v>1440</v>
      </c>
      <c r="F332" s="1535">
        <v>440</v>
      </c>
    </row>
    <row r="333" spans="1:6" s="1515" customFormat="1" ht="14.25" customHeight="1" thickBot="1">
      <c r="A333" s="1527" t="s">
        <v>1329</v>
      </c>
      <c r="B333" s="1521" t="s">
        <v>1370</v>
      </c>
      <c r="C333" s="1521">
        <v>1370</v>
      </c>
      <c r="D333" s="1521">
        <v>1320</v>
      </c>
      <c r="E333" s="1521">
        <v>1300</v>
      </c>
      <c r="F333" s="1535">
        <v>460</v>
      </c>
    </row>
    <row r="334" spans="1:6" s="1515" customFormat="1" ht="14.25" customHeight="1" thickBot="1">
      <c r="A334" s="1527" t="s">
        <v>1329</v>
      </c>
      <c r="B334" s="1521" t="s">
        <v>1380</v>
      </c>
      <c r="C334" s="1521">
        <v>1410</v>
      </c>
      <c r="D334" s="1521">
        <v>1340</v>
      </c>
      <c r="E334" s="1521">
        <v>1310</v>
      </c>
      <c r="F334" s="1535">
        <v>410</v>
      </c>
    </row>
    <row r="335" spans="1:6" s="1515" customFormat="1" ht="14.25" customHeight="1" thickBot="1">
      <c r="A335" s="1527" t="s">
        <v>1329</v>
      </c>
      <c r="B335" s="1521" t="s">
        <v>1390</v>
      </c>
      <c r="C335" s="1521">
        <v>1260</v>
      </c>
      <c r="D335" s="1521">
        <v>1220</v>
      </c>
      <c r="E335" s="1521">
        <v>1200</v>
      </c>
      <c r="F335" s="1539"/>
    </row>
    <row r="336" spans="1:6" s="1515" customFormat="1" ht="14.25" customHeight="1" thickBot="1">
      <c r="A336" s="1527" t="s">
        <v>1329</v>
      </c>
      <c r="B336" s="1521" t="s">
        <v>1399</v>
      </c>
      <c r="C336" s="1521">
        <v>1160</v>
      </c>
      <c r="D336" s="1521">
        <v>1140</v>
      </c>
      <c r="E336" s="1521">
        <v>1120</v>
      </c>
      <c r="F336" s="1535">
        <v>430</v>
      </c>
    </row>
    <row r="337" spans="1:6" s="1515" customFormat="1" ht="14.25" customHeight="1" thickBot="1">
      <c r="A337" s="1527" t="s">
        <v>1329</v>
      </c>
      <c r="B337" s="1533" t="s">
        <v>1408</v>
      </c>
      <c r="C337" s="1533"/>
      <c r="D337" s="1533"/>
      <c r="E337" s="1533"/>
      <c r="F337" s="1538">
        <v>380</v>
      </c>
    </row>
    <row r="338" spans="1:6" s="1515" customFormat="1" ht="14.25" customHeight="1" thickBot="1">
      <c r="A338" s="1527" t="s">
        <v>1340</v>
      </c>
      <c r="B338" s="1528" t="s">
        <v>1550</v>
      </c>
      <c r="C338" s="1528">
        <v>880</v>
      </c>
      <c r="D338" s="1528">
        <v>850</v>
      </c>
      <c r="E338" s="1528">
        <v>830</v>
      </c>
      <c r="F338" s="1541"/>
    </row>
    <row r="339" spans="1:6" s="1515" customFormat="1" ht="14.25" customHeight="1" thickBot="1">
      <c r="A339" s="1527" t="s">
        <v>1340</v>
      </c>
      <c r="B339" s="1521" t="s">
        <v>1551</v>
      </c>
      <c r="C339" s="1521">
        <v>830</v>
      </c>
      <c r="D339" s="1521">
        <v>800</v>
      </c>
      <c r="E339" s="1521">
        <v>780</v>
      </c>
      <c r="F339" s="1539"/>
    </row>
    <row r="340" spans="1:6" s="1515" customFormat="1" ht="14.25" customHeight="1" thickBot="1">
      <c r="A340" s="1527" t="s">
        <v>1340</v>
      </c>
      <c r="B340" s="1521" t="s">
        <v>1552</v>
      </c>
      <c r="C340" s="1521">
        <v>980</v>
      </c>
      <c r="D340" s="1521">
        <v>950</v>
      </c>
      <c r="E340" s="1521">
        <v>920</v>
      </c>
      <c r="F340" s="1539"/>
    </row>
    <row r="341" spans="1:6" s="1515" customFormat="1" ht="14.25" customHeight="1" thickBot="1">
      <c r="A341" s="1527" t="s">
        <v>1340</v>
      </c>
      <c r="B341" s="1521" t="s">
        <v>1553</v>
      </c>
      <c r="C341" s="1521">
        <v>760</v>
      </c>
      <c r="D341" s="1521">
        <v>720</v>
      </c>
      <c r="E341" s="1521">
        <v>690</v>
      </c>
      <c r="F341" s="1535">
        <v>350</v>
      </c>
    </row>
    <row r="342" spans="1:6" s="1515" customFormat="1" ht="14.25" customHeight="1" thickBot="1">
      <c r="A342" s="1527" t="s">
        <v>1340</v>
      </c>
      <c r="B342" s="1521" t="s">
        <v>1244</v>
      </c>
      <c r="C342" s="1521">
        <v>910</v>
      </c>
      <c r="D342" s="1521">
        <v>870</v>
      </c>
      <c r="E342" s="1521">
        <v>850</v>
      </c>
      <c r="F342" s="1535">
        <v>370</v>
      </c>
    </row>
    <row r="343" spans="1:6" s="1515" customFormat="1" ht="14.25" customHeight="1" thickBot="1">
      <c r="A343" s="1527" t="s">
        <v>1340</v>
      </c>
      <c r="B343" s="1521" t="s">
        <v>1255</v>
      </c>
      <c r="C343" s="1521">
        <v>800</v>
      </c>
      <c r="D343" s="1521">
        <v>760</v>
      </c>
      <c r="E343" s="1521">
        <v>730</v>
      </c>
      <c r="F343" s="1535">
        <v>340</v>
      </c>
    </row>
    <row r="344" spans="1:6" s="1515" customFormat="1" ht="14.25" customHeight="1" thickBot="1">
      <c r="A344" s="1527" t="s">
        <v>1340</v>
      </c>
      <c r="B344" s="1533" t="s">
        <v>1266</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742" t="s">
        <v>2132</v>
      </c>
      <c r="B1" s="3742"/>
    </row>
    <row r="2" spans="1:6" ht="14.25" thickBot="1">
      <c r="A2" s="2109"/>
      <c r="B2" s="2109"/>
    </row>
    <row r="3" spans="1:6" ht="14.25" thickBot="1">
      <c r="A3" s="2109"/>
      <c r="B3" s="2109"/>
      <c r="C3" s="2113" t="s">
        <v>2135</v>
      </c>
      <c r="D3" s="2113" t="s">
        <v>2136</v>
      </c>
      <c r="E3" s="2113" t="s">
        <v>2137</v>
      </c>
      <c r="F3" s="2113" t="s">
        <v>2138</v>
      </c>
    </row>
    <row r="4" spans="1:6" ht="14.25" thickBot="1">
      <c r="A4" s="2111" t="s">
        <v>2133</v>
      </c>
      <c r="B4" s="2112" t="s">
        <v>2134</v>
      </c>
      <c r="C4" s="2113"/>
      <c r="D4" s="2113"/>
      <c r="E4" s="2113"/>
      <c r="F4" s="2113"/>
    </row>
    <row r="5" spans="1:6" ht="14.25" thickBot="1">
      <c r="A5" s="1527" t="s">
        <v>2139</v>
      </c>
      <c r="B5" s="1528" t="s">
        <v>2140</v>
      </c>
      <c r="C5" s="2114">
        <v>8.8999999999999996E-2</v>
      </c>
      <c r="D5" s="2114">
        <v>7.3999999999999996E-2</v>
      </c>
      <c r="E5" s="2114">
        <v>7.4999999999999997E-2</v>
      </c>
      <c r="F5" s="2115">
        <v>0.1</v>
      </c>
    </row>
    <row r="6" spans="1:6" ht="14.25" thickBot="1">
      <c r="A6" s="1527" t="s">
        <v>1220</v>
      </c>
      <c r="B6" s="1521" t="s">
        <v>2141</v>
      </c>
      <c r="C6" s="2116">
        <v>0.1</v>
      </c>
      <c r="D6" s="2116">
        <v>9.0999999999999998E-2</v>
      </c>
      <c r="E6" s="2116">
        <v>9.0999999999999998E-2</v>
      </c>
      <c r="F6" s="2117">
        <v>0.1</v>
      </c>
    </row>
    <row r="7" spans="1:6" ht="14.25" thickBot="1">
      <c r="A7" s="1527" t="s">
        <v>1220</v>
      </c>
      <c r="B7" s="1531" t="s">
        <v>1209</v>
      </c>
      <c r="C7" s="2116">
        <v>8.5999999999999993E-2</v>
      </c>
      <c r="D7" s="2116">
        <v>9.6000000000000002E-2</v>
      </c>
      <c r="E7" s="2116">
        <v>7.5999999999999998E-2</v>
      </c>
      <c r="F7" s="2117">
        <v>0.1</v>
      </c>
    </row>
    <row r="8" spans="1:6" ht="14.25" thickBot="1">
      <c r="A8" s="1527" t="s">
        <v>1220</v>
      </c>
      <c r="B8" s="1521" t="s">
        <v>1221</v>
      </c>
      <c r="C8" s="2116">
        <v>9.9000000000000005E-2</v>
      </c>
      <c r="D8" s="2116">
        <v>9.8000000000000004E-2</v>
      </c>
      <c r="E8" s="2116">
        <v>9.8000000000000004E-2</v>
      </c>
      <c r="F8" s="2117">
        <v>0.1</v>
      </c>
    </row>
    <row r="9" spans="1:6" ht="14.25" thickBot="1">
      <c r="A9" s="1537" t="s">
        <v>1220</v>
      </c>
      <c r="B9" s="1532" t="s">
        <v>1233</v>
      </c>
      <c r="C9" s="2118">
        <v>0.05</v>
      </c>
      <c r="D9" s="2126"/>
      <c r="E9" s="2126"/>
      <c r="F9" s="2127"/>
    </row>
    <row r="10" spans="1:6" ht="14.25" thickBot="1">
      <c r="A10" s="1527" t="s">
        <v>1277</v>
      </c>
      <c r="B10" s="1528" t="s">
        <v>2142</v>
      </c>
      <c r="C10" s="2114">
        <v>8.8999999999999996E-2</v>
      </c>
      <c r="D10" s="2114">
        <v>7.2999999999999995E-2</v>
      </c>
      <c r="E10" s="2114">
        <v>8.2000000000000003E-2</v>
      </c>
      <c r="F10" s="2115">
        <v>0.1</v>
      </c>
    </row>
    <row r="11" spans="1:6" ht="14.25" thickBot="1">
      <c r="A11" s="1527" t="s">
        <v>1277</v>
      </c>
      <c r="B11" s="1531" t="s">
        <v>1196</v>
      </c>
      <c r="C11" s="2116">
        <v>8.8999999999999996E-2</v>
      </c>
      <c r="D11" s="2116">
        <v>7.2999999999999995E-2</v>
      </c>
      <c r="E11" s="2116">
        <v>8.2000000000000003E-2</v>
      </c>
      <c r="F11" s="2117">
        <v>0.1</v>
      </c>
    </row>
    <row r="12" spans="1:6" ht="14.25" thickBot="1">
      <c r="A12" s="1527" t="s">
        <v>1277</v>
      </c>
      <c r="B12" s="1531" t="s">
        <v>1132</v>
      </c>
      <c r="C12" s="2116">
        <v>6.0999999999999999E-2</v>
      </c>
      <c r="D12" s="2116">
        <v>7.0999999999999994E-2</v>
      </c>
      <c r="E12" s="2116">
        <v>9.6000000000000002E-2</v>
      </c>
      <c r="F12" s="2117">
        <v>0.1</v>
      </c>
    </row>
    <row r="13" spans="1:6" ht="14.25" thickBot="1">
      <c r="A13" s="1527" t="s">
        <v>1277</v>
      </c>
      <c r="B13" s="1531" t="s">
        <v>1222</v>
      </c>
      <c r="C13" s="2116">
        <v>6.9000000000000006E-2</v>
      </c>
      <c r="D13" s="2116">
        <v>6.5000000000000002E-2</v>
      </c>
      <c r="E13" s="2116">
        <v>6.6000000000000003E-2</v>
      </c>
      <c r="F13" s="2117">
        <v>0.1</v>
      </c>
    </row>
    <row r="14" spans="1:6" ht="14.25" thickBot="1">
      <c r="A14" s="1527" t="s">
        <v>1277</v>
      </c>
      <c r="B14" s="1531" t="s">
        <v>1234</v>
      </c>
      <c r="C14" s="2116">
        <v>0.1</v>
      </c>
      <c r="D14" s="2116">
        <v>6.5000000000000002E-2</v>
      </c>
      <c r="E14" s="2116">
        <v>7.0000000000000007E-2</v>
      </c>
      <c r="F14" s="2117">
        <v>0.1</v>
      </c>
    </row>
    <row r="15" spans="1:6" ht="14.25" thickBot="1">
      <c r="A15" s="1527" t="s">
        <v>1277</v>
      </c>
      <c r="B15" s="1531" t="s">
        <v>1245</v>
      </c>
      <c r="C15" s="2116">
        <v>9.8000000000000004E-2</v>
      </c>
      <c r="D15" s="2116">
        <v>8.8999999999999996E-2</v>
      </c>
      <c r="E15" s="2116">
        <v>8.8999999999999996E-2</v>
      </c>
      <c r="F15" s="2117">
        <v>0.1</v>
      </c>
    </row>
    <row r="16" spans="1:6" ht="14.25" thickBot="1">
      <c r="A16" s="1527" t="s">
        <v>1277</v>
      </c>
      <c r="B16" s="1531" t="s">
        <v>1256</v>
      </c>
      <c r="C16" s="2116">
        <v>7.0000000000000007E-2</v>
      </c>
      <c r="D16" s="2116">
        <v>9.2999999999999999E-2</v>
      </c>
      <c r="E16" s="2116">
        <v>9.6000000000000002E-2</v>
      </c>
      <c r="F16" s="2117">
        <v>0.1</v>
      </c>
    </row>
    <row r="17" spans="1:6" ht="14.25" thickBot="1">
      <c r="A17" s="1527" t="s">
        <v>1277</v>
      </c>
      <c r="B17" s="1531" t="s">
        <v>1267</v>
      </c>
      <c r="C17" s="2116">
        <v>9.5000000000000001E-2</v>
      </c>
      <c r="D17" s="2116">
        <v>0.1</v>
      </c>
      <c r="E17" s="2116">
        <v>0.1</v>
      </c>
      <c r="F17" s="2128"/>
    </row>
    <row r="18" spans="1:6" ht="14.25" thickBot="1">
      <c r="A18" s="1527" t="s">
        <v>1277</v>
      </c>
      <c r="B18" s="1531" t="s">
        <v>1279</v>
      </c>
      <c r="C18" s="2116">
        <v>7.3999999999999996E-2</v>
      </c>
      <c r="D18" s="2116">
        <v>9.9000000000000005E-2</v>
      </c>
      <c r="E18" s="2116">
        <v>0.1</v>
      </c>
      <c r="F18" s="2128"/>
    </row>
    <row r="19" spans="1:6" ht="14.25" thickBot="1">
      <c r="A19" s="1527" t="s">
        <v>1277</v>
      </c>
      <c r="B19" s="1531" t="s">
        <v>1289</v>
      </c>
      <c r="C19" s="2116">
        <v>9.9000000000000005E-2</v>
      </c>
      <c r="D19" s="2116">
        <v>7.5999999999999998E-2</v>
      </c>
      <c r="E19" s="2116">
        <v>8.6999999999999994E-2</v>
      </c>
      <c r="F19" s="2128"/>
    </row>
    <row r="20" spans="1:6" ht="14.25" thickBot="1">
      <c r="A20" s="1527" t="s">
        <v>1277</v>
      </c>
      <c r="B20" s="1531" t="s">
        <v>1299</v>
      </c>
      <c r="C20" s="2116">
        <v>9.8000000000000004E-2</v>
      </c>
      <c r="D20" s="2116">
        <v>8.5000000000000006E-2</v>
      </c>
      <c r="E20" s="2116">
        <v>8.2000000000000003E-2</v>
      </c>
      <c r="F20" s="2128"/>
    </row>
    <row r="21" spans="1:6" ht="14.25" thickBot="1">
      <c r="A21" s="1527" t="s">
        <v>1277</v>
      </c>
      <c r="B21" s="1531" t="s">
        <v>1309</v>
      </c>
      <c r="C21" s="2116">
        <v>6.6000000000000003E-2</v>
      </c>
      <c r="D21" s="2116">
        <v>6.4000000000000001E-2</v>
      </c>
      <c r="E21" s="2116">
        <v>6.5000000000000002E-2</v>
      </c>
      <c r="F21" s="2128"/>
    </row>
    <row r="22" spans="1:6" ht="14.25" thickBot="1">
      <c r="A22" s="1527" t="s">
        <v>1277</v>
      </c>
      <c r="B22" s="1531" t="s">
        <v>2143</v>
      </c>
      <c r="C22" s="2116">
        <v>0.08</v>
      </c>
      <c r="D22" s="2116">
        <v>9.8000000000000004E-2</v>
      </c>
      <c r="E22" s="2116">
        <v>9.8000000000000004E-2</v>
      </c>
      <c r="F22" s="2128"/>
    </row>
    <row r="23" spans="1:6" ht="14.25" thickBot="1">
      <c r="A23" s="1527" t="s">
        <v>1277</v>
      </c>
      <c r="B23" s="1531" t="s">
        <v>1330</v>
      </c>
      <c r="C23" s="2116">
        <v>9.9000000000000005E-2</v>
      </c>
      <c r="D23" s="2116">
        <v>9.8000000000000004E-2</v>
      </c>
      <c r="E23" s="2116">
        <v>9.0999999999999998E-2</v>
      </c>
      <c r="F23" s="2128"/>
    </row>
    <row r="24" spans="1:6" ht="14.25" thickBot="1">
      <c r="A24" s="1527" t="s">
        <v>1277</v>
      </c>
      <c r="B24" s="1531" t="s">
        <v>1341</v>
      </c>
      <c r="C24" s="2116">
        <v>8.8999999999999996E-2</v>
      </c>
      <c r="D24" s="2116">
        <v>9.7000000000000003E-2</v>
      </c>
      <c r="E24" s="2116">
        <v>7.0000000000000007E-2</v>
      </c>
      <c r="F24" s="2128"/>
    </row>
    <row r="25" spans="1:6" ht="14.25" thickBot="1">
      <c r="A25" s="1527" t="s">
        <v>1277</v>
      </c>
      <c r="B25" s="1531" t="s">
        <v>1351</v>
      </c>
      <c r="C25" s="2116">
        <v>8.8999999999999996E-2</v>
      </c>
      <c r="D25" s="2116">
        <v>0.1</v>
      </c>
      <c r="E25" s="2116">
        <v>8.1000000000000003E-2</v>
      </c>
      <c r="F25" s="2128"/>
    </row>
    <row r="26" spans="1:6" ht="14.25" thickBot="1">
      <c r="A26" s="1527" t="s">
        <v>1277</v>
      </c>
      <c r="B26" s="1531" t="s">
        <v>1361</v>
      </c>
      <c r="C26" s="2129"/>
      <c r="D26" s="2116">
        <v>9.6000000000000002E-2</v>
      </c>
      <c r="E26" s="2116">
        <v>9.2999999999999999E-2</v>
      </c>
      <c r="F26" s="2128"/>
    </row>
    <row r="27" spans="1:6" ht="14.25" thickBot="1">
      <c r="A27" s="1527" t="s">
        <v>1277</v>
      </c>
      <c r="B27" s="1531" t="s">
        <v>1371</v>
      </c>
      <c r="C27" s="2129"/>
      <c r="D27" s="2116">
        <v>7.5999999999999998E-2</v>
      </c>
      <c r="E27" s="2116">
        <v>9.1999999999999998E-2</v>
      </c>
      <c r="F27" s="2128"/>
    </row>
    <row r="28" spans="1:6" ht="14.25" thickBot="1">
      <c r="A28" s="1537" t="s">
        <v>1277</v>
      </c>
      <c r="B28" s="1532" t="s">
        <v>1381</v>
      </c>
      <c r="C28" s="2126"/>
      <c r="D28" s="2118">
        <v>7.5999999999999998E-2</v>
      </c>
      <c r="E28" s="2118">
        <v>9.1999999999999998E-2</v>
      </c>
      <c r="F28" s="2127"/>
    </row>
    <row r="29" spans="1:6" ht="14.25" thickBot="1">
      <c r="A29" s="1527" t="s">
        <v>1450</v>
      </c>
      <c r="B29" s="1528" t="s">
        <v>2144</v>
      </c>
      <c r="C29" s="2114">
        <v>6.4000000000000001E-2</v>
      </c>
      <c r="D29" s="2114">
        <v>6.5000000000000002E-2</v>
      </c>
      <c r="E29" s="2114">
        <v>6.9000000000000006E-2</v>
      </c>
      <c r="F29" s="2115">
        <v>0.1</v>
      </c>
    </row>
    <row r="30" spans="1:6" ht="14.25" thickBot="1">
      <c r="A30" s="1527" t="s">
        <v>1450</v>
      </c>
      <c r="B30" s="1531" t="s">
        <v>1197</v>
      </c>
      <c r="C30" s="2116">
        <v>6.4000000000000001E-2</v>
      </c>
      <c r="D30" s="2116">
        <v>9.9000000000000005E-2</v>
      </c>
      <c r="E30" s="2116">
        <v>0.1</v>
      </c>
      <c r="F30" s="2117">
        <v>0.1</v>
      </c>
    </row>
    <row r="31" spans="1:6" ht="14.25" thickBot="1">
      <c r="A31" s="1527" t="s">
        <v>1450</v>
      </c>
      <c r="B31" s="1531" t="s">
        <v>1210</v>
      </c>
      <c r="C31" s="2116">
        <v>0.1</v>
      </c>
      <c r="D31" s="2116">
        <v>9.5000000000000001E-2</v>
      </c>
      <c r="E31" s="2116">
        <v>8.8999999999999996E-2</v>
      </c>
      <c r="F31" s="2117">
        <v>0.1</v>
      </c>
    </row>
    <row r="32" spans="1:6" ht="14.25" thickBot="1">
      <c r="A32" s="1527" t="s">
        <v>1450</v>
      </c>
      <c r="B32" s="1531" t="s">
        <v>1223</v>
      </c>
      <c r="C32" s="2116">
        <v>0.05</v>
      </c>
      <c r="D32" s="2116">
        <v>0.05</v>
      </c>
      <c r="E32" s="2116">
        <v>8.7999999999999995E-2</v>
      </c>
      <c r="F32" s="2117">
        <v>0.1</v>
      </c>
    </row>
    <row r="33" spans="1:6" ht="14.25" thickBot="1">
      <c r="A33" s="1527" t="s">
        <v>1450</v>
      </c>
      <c r="B33" s="1531" t="s">
        <v>1235</v>
      </c>
      <c r="C33" s="2116">
        <v>7.4999999999999997E-2</v>
      </c>
      <c r="D33" s="2116">
        <v>9.4E-2</v>
      </c>
      <c r="E33" s="2116">
        <v>9.7000000000000003E-2</v>
      </c>
      <c r="F33" s="2117">
        <v>0.1</v>
      </c>
    </row>
    <row r="34" spans="1:6" ht="14.25" thickBot="1">
      <c r="A34" s="1527" t="s">
        <v>1450</v>
      </c>
      <c r="B34" s="1531" t="s">
        <v>1246</v>
      </c>
      <c r="C34" s="2116">
        <v>9.8000000000000004E-2</v>
      </c>
      <c r="D34" s="2116">
        <v>8.5999999999999993E-2</v>
      </c>
      <c r="E34" s="2116">
        <v>9.7000000000000003E-2</v>
      </c>
      <c r="F34" s="2117">
        <v>0.1</v>
      </c>
    </row>
    <row r="35" spans="1:6" ht="14.25" thickBot="1">
      <c r="A35" s="1527" t="s">
        <v>1450</v>
      </c>
      <c r="B35" s="1531" t="s">
        <v>1257</v>
      </c>
      <c r="C35" s="2116">
        <v>5.8999999999999997E-2</v>
      </c>
      <c r="D35" s="2116">
        <v>6.5000000000000002E-2</v>
      </c>
      <c r="E35" s="2116">
        <v>7.0000000000000007E-2</v>
      </c>
      <c r="F35" s="2117">
        <v>0.1</v>
      </c>
    </row>
    <row r="36" spans="1:6" ht="14.25" thickBot="1">
      <c r="A36" s="1527" t="s">
        <v>1450</v>
      </c>
      <c r="B36" s="1531" t="s">
        <v>1268</v>
      </c>
      <c r="C36" s="2116">
        <v>6.3E-2</v>
      </c>
      <c r="D36" s="2116">
        <v>0.1</v>
      </c>
      <c r="E36" s="2116">
        <v>0.1</v>
      </c>
      <c r="F36" s="2117">
        <v>0.1</v>
      </c>
    </row>
    <row r="37" spans="1:6" ht="14.25" thickBot="1">
      <c r="A37" s="1527" t="s">
        <v>1450</v>
      </c>
      <c r="B37" s="1531" t="s">
        <v>1280</v>
      </c>
      <c r="C37" s="2116">
        <v>7.3999999999999996E-2</v>
      </c>
      <c r="D37" s="2116">
        <v>0.1</v>
      </c>
      <c r="E37" s="2116">
        <v>0.1</v>
      </c>
      <c r="F37" s="2117">
        <v>0.1</v>
      </c>
    </row>
    <row r="38" spans="1:6" ht="14.25" thickBot="1">
      <c r="A38" s="1527" t="s">
        <v>1450</v>
      </c>
      <c r="B38" s="1531" t="s">
        <v>1290</v>
      </c>
      <c r="C38" s="2116">
        <v>0.1</v>
      </c>
      <c r="D38" s="2116">
        <v>9.6000000000000002E-2</v>
      </c>
      <c r="E38" s="2116">
        <v>9.6000000000000002E-2</v>
      </c>
      <c r="F38" s="2128"/>
    </row>
    <row r="39" spans="1:6" ht="14.25" thickBot="1">
      <c r="A39" s="1527" t="s">
        <v>1450</v>
      </c>
      <c r="B39" s="1531" t="s">
        <v>1300</v>
      </c>
      <c r="C39" s="2116">
        <v>0.1</v>
      </c>
      <c r="D39" s="2116">
        <v>9.6000000000000002E-2</v>
      </c>
      <c r="E39" s="2116">
        <v>9.6000000000000002E-2</v>
      </c>
      <c r="F39" s="2128"/>
    </row>
    <row r="40" spans="1:6" ht="14.25" thickBot="1">
      <c r="A40" s="1527" t="s">
        <v>1450</v>
      </c>
      <c r="B40" s="1531" t="s">
        <v>1310</v>
      </c>
      <c r="C40" s="2116">
        <v>9.6000000000000002E-2</v>
      </c>
      <c r="D40" s="2116">
        <v>0.1</v>
      </c>
      <c r="E40" s="2116">
        <v>9.9000000000000005E-2</v>
      </c>
      <c r="F40" s="2128"/>
    </row>
    <row r="41" spans="1:6" ht="14.25" thickBot="1">
      <c r="A41" s="1527" t="s">
        <v>1450</v>
      </c>
      <c r="B41" s="1531" t="s">
        <v>1320</v>
      </c>
      <c r="C41" s="2116">
        <v>9.6000000000000002E-2</v>
      </c>
      <c r="D41" s="2116">
        <v>9.8000000000000004E-2</v>
      </c>
      <c r="E41" s="2116">
        <v>9.8000000000000004E-2</v>
      </c>
      <c r="F41" s="2128"/>
    </row>
    <row r="42" spans="1:6" ht="14.25" thickBot="1">
      <c r="A42" s="1527" t="s">
        <v>1450</v>
      </c>
      <c r="B42" s="1531" t="s">
        <v>1331</v>
      </c>
      <c r="C42" s="2116">
        <v>0.1</v>
      </c>
      <c r="D42" s="2116">
        <v>8.7999999999999995E-2</v>
      </c>
      <c r="E42" s="2116">
        <v>0.1</v>
      </c>
      <c r="F42" s="2128"/>
    </row>
    <row r="43" spans="1:6" ht="14.25" thickBot="1">
      <c r="A43" s="1527" t="s">
        <v>1450</v>
      </c>
      <c r="B43" s="1531" t="s">
        <v>1342</v>
      </c>
      <c r="C43" s="2116">
        <v>9.8000000000000004E-2</v>
      </c>
      <c r="D43" s="2116">
        <v>9.7000000000000003E-2</v>
      </c>
      <c r="E43" s="2116">
        <v>9.6000000000000002E-2</v>
      </c>
      <c r="F43" s="2128"/>
    </row>
    <row r="44" spans="1:6" ht="14.25" thickBot="1">
      <c r="A44" s="1527" t="s">
        <v>1450</v>
      </c>
      <c r="B44" s="1531" t="s">
        <v>1352</v>
      </c>
      <c r="C44" s="2116">
        <v>8.5999999999999993E-2</v>
      </c>
      <c r="D44" s="2116">
        <v>7.9000000000000001E-2</v>
      </c>
      <c r="E44" s="2116">
        <v>7.0999999999999994E-2</v>
      </c>
      <c r="F44" s="2128"/>
    </row>
    <row r="45" spans="1:6" ht="14.25" thickBot="1">
      <c r="A45" s="1527" t="s">
        <v>1450</v>
      </c>
      <c r="B45" s="1531" t="s">
        <v>1362</v>
      </c>
      <c r="C45" s="2116">
        <v>9.8000000000000004E-2</v>
      </c>
      <c r="D45" s="2116">
        <v>9.6000000000000002E-2</v>
      </c>
      <c r="E45" s="2116">
        <v>9.6000000000000002E-2</v>
      </c>
      <c r="F45" s="2128"/>
    </row>
    <row r="46" spans="1:6" ht="14.25" thickBot="1">
      <c r="A46" s="1527" t="s">
        <v>1450</v>
      </c>
      <c r="B46" s="1531" t="s">
        <v>1372</v>
      </c>
      <c r="C46" s="2116">
        <v>8.5999999999999993E-2</v>
      </c>
      <c r="D46" s="2116">
        <v>9.8000000000000004E-2</v>
      </c>
      <c r="E46" s="2116">
        <v>8.7999999999999995E-2</v>
      </c>
      <c r="F46" s="2128"/>
    </row>
    <row r="47" spans="1:6" ht="14.25" thickBot="1">
      <c r="A47" s="1527" t="s">
        <v>1450</v>
      </c>
      <c r="B47" s="1531" t="s">
        <v>1382</v>
      </c>
      <c r="C47" s="2116">
        <v>9.6000000000000002E-2</v>
      </c>
      <c r="D47" s="2129"/>
      <c r="E47" s="2116">
        <v>6.9000000000000006E-2</v>
      </c>
      <c r="F47" s="2128"/>
    </row>
    <row r="48" spans="1:6" ht="14.25" thickBot="1">
      <c r="A48" s="1537" t="s">
        <v>1450</v>
      </c>
      <c r="B48" s="1532" t="s">
        <v>1391</v>
      </c>
      <c r="C48" s="2118">
        <v>9.8000000000000004E-2</v>
      </c>
      <c r="D48" s="2126"/>
      <c r="E48" s="2118">
        <v>9.5000000000000001E-2</v>
      </c>
      <c r="F48" s="2127"/>
    </row>
    <row r="49" spans="1:6" ht="14.25" thickBot="1">
      <c r="A49" s="1527" t="s">
        <v>1131</v>
      </c>
      <c r="B49" s="1528" t="s">
        <v>2145</v>
      </c>
      <c r="C49" s="2114">
        <v>9.7000000000000003E-2</v>
      </c>
      <c r="D49" s="2114">
        <v>9.5000000000000001E-2</v>
      </c>
      <c r="E49" s="2114">
        <v>9.7000000000000003E-2</v>
      </c>
      <c r="F49" s="2115">
        <v>0.1</v>
      </c>
    </row>
    <row r="50" spans="1:6" ht="14.25" thickBot="1">
      <c r="A50" s="1527" t="s">
        <v>1131</v>
      </c>
      <c r="B50" s="1521" t="s">
        <v>1198</v>
      </c>
      <c r="C50" s="2116">
        <v>7.4999999999999997E-2</v>
      </c>
      <c r="D50" s="2116">
        <v>9.5000000000000001E-2</v>
      </c>
      <c r="E50" s="2116">
        <v>0.1</v>
      </c>
      <c r="F50" s="2117">
        <v>0.1</v>
      </c>
    </row>
    <row r="51" spans="1:6" ht="14.25" thickBot="1">
      <c r="A51" s="1527" t="s">
        <v>1131</v>
      </c>
      <c r="B51" s="1521" t="s">
        <v>1211</v>
      </c>
      <c r="C51" s="2116">
        <v>9.8000000000000004E-2</v>
      </c>
      <c r="D51" s="2116">
        <v>8.8999999999999996E-2</v>
      </c>
      <c r="E51" s="2116">
        <v>0.1</v>
      </c>
      <c r="F51" s="2117">
        <v>0.1</v>
      </c>
    </row>
    <row r="52" spans="1:6" ht="14.25" thickBot="1">
      <c r="A52" s="1527" t="s">
        <v>1131</v>
      </c>
      <c r="B52" s="1521" t="s">
        <v>1224</v>
      </c>
      <c r="C52" s="2116">
        <v>9.8000000000000004E-2</v>
      </c>
      <c r="D52" s="2116">
        <v>9.7000000000000003E-2</v>
      </c>
      <c r="E52" s="2116">
        <v>8.1000000000000003E-2</v>
      </c>
      <c r="F52" s="2117">
        <v>0.1</v>
      </c>
    </row>
    <row r="53" spans="1:6" ht="14.25" thickBot="1">
      <c r="A53" s="1527" t="s">
        <v>1131</v>
      </c>
      <c r="B53" s="1521" t="s">
        <v>1236</v>
      </c>
      <c r="C53" s="2116">
        <v>9.7000000000000003E-2</v>
      </c>
      <c r="D53" s="2116">
        <v>7.5999999999999998E-2</v>
      </c>
      <c r="E53" s="2116">
        <v>7.0999999999999994E-2</v>
      </c>
      <c r="F53" s="2117">
        <v>0.1</v>
      </c>
    </row>
    <row r="54" spans="1:6" ht="14.25" thickBot="1">
      <c r="A54" s="1527" t="s">
        <v>1131</v>
      </c>
      <c r="B54" s="1521" t="s">
        <v>1247</v>
      </c>
      <c r="C54" s="2116">
        <v>7.5999999999999998E-2</v>
      </c>
      <c r="D54" s="2116">
        <v>0.1</v>
      </c>
      <c r="E54" s="2116">
        <v>9.9000000000000005E-2</v>
      </c>
      <c r="F54" s="2117">
        <v>0.1</v>
      </c>
    </row>
    <row r="55" spans="1:6" ht="14.25" thickBot="1">
      <c r="A55" s="1527" t="s">
        <v>1131</v>
      </c>
      <c r="B55" s="1521" t="s">
        <v>1258</v>
      </c>
      <c r="C55" s="2116">
        <v>0.1</v>
      </c>
      <c r="D55" s="2116">
        <v>0.1</v>
      </c>
      <c r="E55" s="2116">
        <v>9.6000000000000002E-2</v>
      </c>
      <c r="F55" s="2117">
        <v>0.1</v>
      </c>
    </row>
    <row r="56" spans="1:6" ht="14.25" thickBot="1">
      <c r="A56" s="1527" t="s">
        <v>1131</v>
      </c>
      <c r="B56" s="1521" t="s">
        <v>1269</v>
      </c>
      <c r="C56" s="2116">
        <v>0.1</v>
      </c>
      <c r="D56" s="2116">
        <v>9.6000000000000002E-2</v>
      </c>
      <c r="E56" s="2116">
        <v>5.1999999999999998E-2</v>
      </c>
      <c r="F56" s="2117">
        <v>0.1</v>
      </c>
    </row>
    <row r="57" spans="1:6" ht="14.25" thickBot="1">
      <c r="A57" s="1527" t="s">
        <v>1131</v>
      </c>
      <c r="B57" s="1521" t="s">
        <v>1281</v>
      </c>
      <c r="C57" s="2116">
        <v>9.7000000000000003E-2</v>
      </c>
      <c r="D57" s="2116">
        <v>9.6000000000000002E-2</v>
      </c>
      <c r="E57" s="2116">
        <v>9.6000000000000002E-2</v>
      </c>
      <c r="F57" s="2117">
        <v>0.1</v>
      </c>
    </row>
    <row r="58" spans="1:6" ht="14.25" thickBot="1">
      <c r="A58" s="1527" t="s">
        <v>1131</v>
      </c>
      <c r="B58" s="1521" t="s">
        <v>1291</v>
      </c>
      <c r="C58" s="2116">
        <v>9.6000000000000002E-2</v>
      </c>
      <c r="D58" s="2116">
        <v>9.9000000000000005E-2</v>
      </c>
      <c r="E58" s="2116">
        <v>9.6000000000000002E-2</v>
      </c>
      <c r="F58" s="2117">
        <v>0.1</v>
      </c>
    </row>
    <row r="59" spans="1:6" ht="14.25" thickBot="1">
      <c r="A59" s="1527" t="s">
        <v>1131</v>
      </c>
      <c r="B59" s="1521" t="s">
        <v>1301</v>
      </c>
      <c r="C59" s="2116">
        <v>7.1999999999999995E-2</v>
      </c>
      <c r="D59" s="2116">
        <v>9.6000000000000002E-2</v>
      </c>
      <c r="E59" s="2116">
        <v>7.0999999999999994E-2</v>
      </c>
      <c r="F59" s="2117">
        <v>0.1</v>
      </c>
    </row>
    <row r="60" spans="1:6" ht="14.25" thickBot="1">
      <c r="A60" s="1527" t="s">
        <v>1131</v>
      </c>
      <c r="B60" s="1521" t="s">
        <v>1311</v>
      </c>
      <c r="C60" s="2116">
        <v>9.6000000000000002E-2</v>
      </c>
      <c r="D60" s="2116">
        <v>8.8999999999999996E-2</v>
      </c>
      <c r="E60" s="2116">
        <v>9.6000000000000002E-2</v>
      </c>
      <c r="F60" s="2117">
        <v>0.1</v>
      </c>
    </row>
    <row r="61" spans="1:6" ht="14.25" thickBot="1">
      <c r="A61" s="1527" t="s">
        <v>1131</v>
      </c>
      <c r="B61" s="1521" t="s">
        <v>1321</v>
      </c>
      <c r="C61" s="2116">
        <v>8.8999999999999996E-2</v>
      </c>
      <c r="D61" s="2116">
        <v>9.8000000000000004E-2</v>
      </c>
      <c r="E61" s="2116">
        <v>8.7999999999999995E-2</v>
      </c>
      <c r="F61" s="2128"/>
    </row>
    <row r="62" spans="1:6" ht="14.25" thickBot="1">
      <c r="A62" s="1527" t="s">
        <v>1131</v>
      </c>
      <c r="B62" s="1521" t="s">
        <v>1332</v>
      </c>
      <c r="C62" s="2116">
        <v>9.8000000000000004E-2</v>
      </c>
      <c r="D62" s="2116">
        <v>9.2999999999999999E-2</v>
      </c>
      <c r="E62" s="2116">
        <v>9.7000000000000003E-2</v>
      </c>
      <c r="F62" s="2128"/>
    </row>
    <row r="63" spans="1:6" ht="14.25" thickBot="1">
      <c r="A63" s="1527" t="s">
        <v>1131</v>
      </c>
      <c r="B63" s="1521" t="s">
        <v>1343</v>
      </c>
      <c r="C63" s="2116">
        <v>9.6000000000000002E-2</v>
      </c>
      <c r="D63" s="2116">
        <v>9.8000000000000004E-2</v>
      </c>
      <c r="E63" s="2116">
        <v>0.09</v>
      </c>
      <c r="F63" s="2128"/>
    </row>
    <row r="64" spans="1:6" ht="14.25" thickBot="1">
      <c r="A64" s="1527" t="s">
        <v>1131</v>
      </c>
      <c r="B64" s="1521" t="s">
        <v>1353</v>
      </c>
      <c r="C64" s="2116">
        <v>9.9000000000000005E-2</v>
      </c>
      <c r="D64" s="2116">
        <v>9.7000000000000003E-2</v>
      </c>
      <c r="E64" s="2116">
        <v>9.9000000000000005E-2</v>
      </c>
      <c r="F64" s="2128"/>
    </row>
    <row r="65" spans="1:6" ht="14.25" thickBot="1">
      <c r="A65" s="1527" t="s">
        <v>1131</v>
      </c>
      <c r="B65" s="1521" t="s">
        <v>1363</v>
      </c>
      <c r="C65" s="2116">
        <v>9.8000000000000004E-2</v>
      </c>
      <c r="D65" s="2116">
        <v>9.6000000000000002E-2</v>
      </c>
      <c r="E65" s="2116">
        <v>9.6000000000000002E-2</v>
      </c>
      <c r="F65" s="2128"/>
    </row>
    <row r="66" spans="1:6" ht="14.25" thickBot="1">
      <c r="A66" s="1527" t="s">
        <v>1131</v>
      </c>
      <c r="B66" s="1521" t="s">
        <v>1373</v>
      </c>
      <c r="C66" s="2116">
        <v>9.6000000000000002E-2</v>
      </c>
      <c r="D66" s="2116">
        <v>9.1999999999999998E-2</v>
      </c>
      <c r="E66" s="2116">
        <v>9.6000000000000002E-2</v>
      </c>
      <c r="F66" s="2128"/>
    </row>
    <row r="67" spans="1:6" ht="14.25" thickBot="1">
      <c r="A67" s="1527" t="s">
        <v>1131</v>
      </c>
      <c r="B67" s="1521" t="s">
        <v>1383</v>
      </c>
      <c r="C67" s="2116">
        <v>9.4E-2</v>
      </c>
      <c r="D67" s="2116">
        <v>0.1</v>
      </c>
      <c r="E67" s="2116">
        <v>8.7999999999999995E-2</v>
      </c>
      <c r="F67" s="2128"/>
    </row>
    <row r="68" spans="1:6" ht="14.25" thickBot="1">
      <c r="A68" s="1527" t="s">
        <v>1131</v>
      </c>
      <c r="B68" s="1521" t="s">
        <v>1392</v>
      </c>
      <c r="C68" s="2116">
        <v>0.1</v>
      </c>
      <c r="D68" s="2116">
        <v>8.7999999999999995E-2</v>
      </c>
      <c r="E68" s="2116">
        <v>9.7000000000000003E-2</v>
      </c>
      <c r="F68" s="2128"/>
    </row>
    <row r="69" spans="1:6" ht="14.25" thickBot="1">
      <c r="A69" s="1527" t="s">
        <v>1131</v>
      </c>
      <c r="B69" s="1521" t="s">
        <v>1401</v>
      </c>
      <c r="C69" s="2116">
        <v>6.4000000000000001E-2</v>
      </c>
      <c r="D69" s="2116">
        <v>0.1</v>
      </c>
      <c r="E69" s="2116">
        <v>0.1</v>
      </c>
      <c r="F69" s="2128"/>
    </row>
    <row r="70" spans="1:6" ht="14.25" thickBot="1">
      <c r="A70" s="1527" t="s">
        <v>1131</v>
      </c>
      <c r="B70" s="1521" t="s">
        <v>1409</v>
      </c>
      <c r="C70" s="2116">
        <v>9.0999999999999998E-2</v>
      </c>
      <c r="D70" s="2129"/>
      <c r="E70" s="2129"/>
      <c r="F70" s="2128"/>
    </row>
    <row r="71" spans="1:6" ht="14.25" thickBot="1">
      <c r="A71" s="1527" t="s">
        <v>1131</v>
      </c>
      <c r="B71" s="1521" t="s">
        <v>1416</v>
      </c>
      <c r="C71" s="2116">
        <v>0.1</v>
      </c>
      <c r="D71" s="2129"/>
      <c r="E71" s="2129"/>
      <c r="F71" s="2128"/>
    </row>
    <row r="72" spans="1:6" ht="14.25" thickBot="1">
      <c r="A72" s="1527" t="s">
        <v>1131</v>
      </c>
      <c r="B72" s="1521" t="s">
        <v>2146</v>
      </c>
      <c r="C72" s="2129"/>
      <c r="D72" s="2129"/>
      <c r="E72" s="2129"/>
      <c r="F72" s="2117">
        <v>0.05</v>
      </c>
    </row>
    <row r="73" spans="1:6" ht="14.25" thickBot="1">
      <c r="A73" s="1527" t="s">
        <v>1131</v>
      </c>
      <c r="B73" s="1521" t="s">
        <v>2147</v>
      </c>
      <c r="C73" s="2129"/>
      <c r="D73" s="2129"/>
      <c r="E73" s="2129"/>
      <c r="F73" s="2117">
        <v>0.05</v>
      </c>
    </row>
    <row r="74" spans="1:6" ht="14.25" thickBot="1">
      <c r="A74" s="1527" t="s">
        <v>1131</v>
      </c>
      <c r="B74" s="1521" t="s">
        <v>2148</v>
      </c>
      <c r="C74" s="2129"/>
      <c r="D74" s="2129"/>
      <c r="E74" s="2129"/>
      <c r="F74" s="2117">
        <v>0.05</v>
      </c>
    </row>
    <row r="75" spans="1:6" ht="14.25" thickBot="1">
      <c r="A75" s="1537" t="s">
        <v>1131</v>
      </c>
      <c r="B75" s="1533" t="s">
        <v>2149</v>
      </c>
      <c r="C75" s="2126"/>
      <c r="D75" s="2126"/>
      <c r="E75" s="2126"/>
      <c r="F75" s="2119">
        <v>0.05</v>
      </c>
    </row>
    <row r="76" spans="1:6" ht="14.25" thickBot="1">
      <c r="A76" s="1527" t="s">
        <v>1531</v>
      </c>
      <c r="B76" s="1528" t="s">
        <v>2150</v>
      </c>
      <c r="C76" s="2114">
        <v>0.1</v>
      </c>
      <c r="D76" s="2114">
        <v>0.1</v>
      </c>
      <c r="E76" s="2114">
        <v>0.1</v>
      </c>
      <c r="F76" s="2115">
        <v>0.1</v>
      </c>
    </row>
    <row r="77" spans="1:6" ht="14.25" thickBot="1">
      <c r="A77" s="1527" t="s">
        <v>1531</v>
      </c>
      <c r="B77" s="1521" t="s">
        <v>1199</v>
      </c>
      <c r="C77" s="2116">
        <v>8.7999999999999995E-2</v>
      </c>
      <c r="D77" s="2116">
        <v>8.6999999999999994E-2</v>
      </c>
      <c r="E77" s="2116">
        <v>7.9000000000000001E-2</v>
      </c>
      <c r="F77" s="2117">
        <v>0.1</v>
      </c>
    </row>
    <row r="78" spans="1:6" ht="14.25" thickBot="1">
      <c r="A78" s="1527" t="s">
        <v>1531</v>
      </c>
      <c r="B78" s="1521" t="s">
        <v>1212</v>
      </c>
      <c r="C78" s="2116">
        <v>8.6999999999999994E-2</v>
      </c>
      <c r="D78" s="2116">
        <v>8.4000000000000005E-2</v>
      </c>
      <c r="E78" s="2116">
        <v>9.6000000000000002E-2</v>
      </c>
      <c r="F78" s="2117">
        <v>0.1</v>
      </c>
    </row>
    <row r="79" spans="1:6" ht="14.25" thickBot="1">
      <c r="A79" s="1527" t="s">
        <v>1531</v>
      </c>
      <c r="B79" s="1521" t="s">
        <v>1225</v>
      </c>
      <c r="C79" s="2116">
        <v>9.8000000000000004E-2</v>
      </c>
      <c r="D79" s="2116">
        <v>9.8000000000000004E-2</v>
      </c>
      <c r="E79" s="2116">
        <v>9.0999999999999998E-2</v>
      </c>
      <c r="F79" s="2117">
        <v>0.1</v>
      </c>
    </row>
    <row r="80" spans="1:6" ht="14.25" thickBot="1">
      <c r="A80" s="1527" t="s">
        <v>1531</v>
      </c>
      <c r="B80" s="1521" t="s">
        <v>1237</v>
      </c>
      <c r="C80" s="2116">
        <v>9.6000000000000002E-2</v>
      </c>
      <c r="D80" s="2116">
        <v>9.6000000000000002E-2</v>
      </c>
      <c r="E80" s="2116">
        <v>0.1</v>
      </c>
      <c r="F80" s="2117">
        <v>0.1</v>
      </c>
    </row>
    <row r="81" spans="1:6" ht="14.25" thickBot="1">
      <c r="A81" s="1527" t="s">
        <v>1531</v>
      </c>
      <c r="B81" s="1521" t="s">
        <v>1248</v>
      </c>
      <c r="C81" s="2116">
        <v>9.9000000000000005E-2</v>
      </c>
      <c r="D81" s="2116">
        <v>9.9000000000000005E-2</v>
      </c>
      <c r="E81" s="2116">
        <v>9.8000000000000004E-2</v>
      </c>
      <c r="F81" s="2117">
        <v>0.1</v>
      </c>
    </row>
    <row r="82" spans="1:6" ht="14.25" thickBot="1">
      <c r="A82" s="1527" t="s">
        <v>1531</v>
      </c>
      <c r="B82" s="1521" t="s">
        <v>1259</v>
      </c>
      <c r="C82" s="2116">
        <v>9.9000000000000005E-2</v>
      </c>
      <c r="D82" s="2116">
        <v>9.9000000000000005E-2</v>
      </c>
      <c r="E82" s="2116">
        <v>9.7000000000000003E-2</v>
      </c>
      <c r="F82" s="2117">
        <v>0.1</v>
      </c>
    </row>
    <row r="83" spans="1:6" ht="14.25" thickBot="1">
      <c r="A83" s="1527" t="s">
        <v>1531</v>
      </c>
      <c r="B83" s="1521" t="s">
        <v>1270</v>
      </c>
      <c r="C83" s="2116">
        <v>9.8000000000000004E-2</v>
      </c>
      <c r="D83" s="2116">
        <v>9.8000000000000004E-2</v>
      </c>
      <c r="E83" s="2116">
        <v>9.8000000000000004E-2</v>
      </c>
      <c r="F83" s="2117">
        <v>0.1</v>
      </c>
    </row>
    <row r="84" spans="1:6" ht="14.25" thickBot="1">
      <c r="A84" s="1527" t="s">
        <v>1531</v>
      </c>
      <c r="B84" s="1521" t="s">
        <v>1282</v>
      </c>
      <c r="C84" s="2116">
        <v>9.9000000000000005E-2</v>
      </c>
      <c r="D84" s="2116">
        <v>9.9000000000000005E-2</v>
      </c>
      <c r="E84" s="2116">
        <v>9.9000000000000005E-2</v>
      </c>
      <c r="F84" s="2117">
        <v>0.1</v>
      </c>
    </row>
    <row r="85" spans="1:6" ht="14.25" thickBot="1">
      <c r="A85" s="1527" t="s">
        <v>1531</v>
      </c>
      <c r="B85" s="1521" t="s">
        <v>1292</v>
      </c>
      <c r="C85" s="2116">
        <v>9.9000000000000005E-2</v>
      </c>
      <c r="D85" s="2116">
        <v>9.9000000000000005E-2</v>
      </c>
      <c r="E85" s="2116">
        <v>9.9000000000000005E-2</v>
      </c>
      <c r="F85" s="2117">
        <v>0.1</v>
      </c>
    </row>
    <row r="86" spans="1:6" ht="14.25" thickBot="1">
      <c r="A86" s="1527" t="s">
        <v>1531</v>
      </c>
      <c r="B86" s="1521" t="s">
        <v>1302</v>
      </c>
      <c r="C86" s="2116">
        <v>0.1</v>
      </c>
      <c r="D86" s="2116">
        <v>0.1</v>
      </c>
      <c r="E86" s="2116">
        <v>7.6999999999999999E-2</v>
      </c>
      <c r="F86" s="2117">
        <v>0.1</v>
      </c>
    </row>
    <row r="87" spans="1:6" ht="14.25" thickBot="1">
      <c r="A87" s="1527" t="s">
        <v>1531</v>
      </c>
      <c r="B87" s="1521" t="s">
        <v>1312</v>
      </c>
      <c r="C87" s="2116">
        <v>0.1</v>
      </c>
      <c r="D87" s="2116">
        <v>0.1</v>
      </c>
      <c r="E87" s="2116">
        <v>9.8000000000000004E-2</v>
      </c>
      <c r="F87" s="2128"/>
    </row>
    <row r="88" spans="1:6" ht="14.25" thickBot="1">
      <c r="A88" s="1527" t="s">
        <v>1531</v>
      </c>
      <c r="B88" s="1521" t="s">
        <v>1322</v>
      </c>
      <c r="C88" s="2116">
        <v>9.1999999999999998E-2</v>
      </c>
      <c r="D88" s="2116">
        <v>8.5000000000000006E-2</v>
      </c>
      <c r="E88" s="2116">
        <v>9.6000000000000002E-2</v>
      </c>
      <c r="F88" s="2128"/>
    </row>
    <row r="89" spans="1:6" ht="14.25" thickBot="1">
      <c r="A89" s="1527" t="s">
        <v>1531</v>
      </c>
      <c r="B89" s="1521" t="s">
        <v>1333</v>
      </c>
      <c r="C89" s="2116">
        <v>0.1</v>
      </c>
      <c r="D89" s="2116">
        <v>0.1</v>
      </c>
      <c r="E89" s="2116">
        <v>9.7000000000000003E-2</v>
      </c>
      <c r="F89" s="2128"/>
    </row>
    <row r="90" spans="1:6" ht="14.25" thickBot="1">
      <c r="A90" s="1527" t="s">
        <v>1531</v>
      </c>
      <c r="B90" s="1521" t="s">
        <v>1344</v>
      </c>
      <c r="C90" s="2116">
        <v>9.8000000000000004E-2</v>
      </c>
      <c r="D90" s="2116">
        <v>9.8000000000000004E-2</v>
      </c>
      <c r="E90" s="2116">
        <v>8.7999999999999995E-2</v>
      </c>
      <c r="F90" s="2128"/>
    </row>
    <row r="91" spans="1:6" ht="14.25" thickBot="1">
      <c r="A91" s="1527" t="s">
        <v>1531</v>
      </c>
      <c r="B91" s="1521" t="s">
        <v>1354</v>
      </c>
      <c r="C91" s="2116">
        <v>9.9000000000000005E-2</v>
      </c>
      <c r="D91" s="2116">
        <v>9.9000000000000005E-2</v>
      </c>
      <c r="E91" s="2116">
        <v>9.0999999999999998E-2</v>
      </c>
      <c r="F91" s="2128"/>
    </row>
    <row r="92" spans="1:6" ht="14.25" thickBot="1">
      <c r="A92" s="1527" t="s">
        <v>1531</v>
      </c>
      <c r="B92" s="1521" t="s">
        <v>1364</v>
      </c>
      <c r="C92" s="2116">
        <v>9.6000000000000002E-2</v>
      </c>
      <c r="D92" s="2116">
        <v>9.6000000000000002E-2</v>
      </c>
      <c r="E92" s="2116">
        <v>7.2999999999999995E-2</v>
      </c>
      <c r="F92" s="2128"/>
    </row>
    <row r="93" spans="1:6" ht="14.25" thickBot="1">
      <c r="A93" s="1527" t="s">
        <v>1531</v>
      </c>
      <c r="B93" s="1521" t="s">
        <v>1374</v>
      </c>
      <c r="C93" s="2116">
        <v>9.6000000000000002E-2</v>
      </c>
      <c r="D93" s="2116">
        <v>9.6000000000000002E-2</v>
      </c>
      <c r="E93" s="2116">
        <v>9.9000000000000005E-2</v>
      </c>
      <c r="F93" s="2128"/>
    </row>
    <row r="94" spans="1:6" ht="14.25" thickBot="1">
      <c r="A94" s="1527" t="s">
        <v>1531</v>
      </c>
      <c r="B94" s="1521" t="s">
        <v>1384</v>
      </c>
      <c r="C94" s="2116">
        <v>7.5999999999999998E-2</v>
      </c>
      <c r="D94" s="2116">
        <v>7.3999999999999996E-2</v>
      </c>
      <c r="E94" s="2116">
        <v>9.7000000000000003E-2</v>
      </c>
      <c r="F94" s="2128"/>
    </row>
    <row r="95" spans="1:6" ht="14.25" thickBot="1">
      <c r="A95" s="1527" t="s">
        <v>1531</v>
      </c>
      <c r="B95" s="1521" t="s">
        <v>1393</v>
      </c>
      <c r="C95" s="2116">
        <v>9.9000000000000005E-2</v>
      </c>
      <c r="D95" s="2116">
        <v>9.4E-2</v>
      </c>
      <c r="E95" s="2116">
        <v>9.6000000000000002E-2</v>
      </c>
      <c r="F95" s="2128"/>
    </row>
    <row r="96" spans="1:6" ht="14.25" thickBot="1">
      <c r="A96" s="1527" t="s">
        <v>1531</v>
      </c>
      <c r="B96" s="1521" t="s">
        <v>1402</v>
      </c>
      <c r="C96" s="2116">
        <v>9.9000000000000005E-2</v>
      </c>
      <c r="D96" s="2116">
        <v>9.9000000000000005E-2</v>
      </c>
      <c r="E96" s="2116">
        <v>9.9000000000000005E-2</v>
      </c>
      <c r="F96" s="2128"/>
    </row>
    <row r="97" spans="1:6" ht="14.25" thickBot="1">
      <c r="A97" s="1527" t="s">
        <v>1531</v>
      </c>
      <c r="B97" s="1521" t="s">
        <v>1410</v>
      </c>
      <c r="C97" s="2116">
        <v>9.8000000000000004E-2</v>
      </c>
      <c r="D97" s="2116">
        <v>9.8000000000000004E-2</v>
      </c>
      <c r="E97" s="2116">
        <v>9.7000000000000003E-2</v>
      </c>
      <c r="F97" s="2128"/>
    </row>
    <row r="98" spans="1:6" ht="14.25" thickBot="1">
      <c r="A98" s="1527" t="s">
        <v>1531</v>
      </c>
      <c r="B98" s="1521" t="s">
        <v>1417</v>
      </c>
      <c r="C98" s="2116">
        <v>0.1</v>
      </c>
      <c r="D98" s="2116">
        <v>0.1</v>
      </c>
      <c r="E98" s="2116">
        <v>9.7000000000000003E-2</v>
      </c>
      <c r="F98" s="2128"/>
    </row>
    <row r="99" spans="1:6" ht="14.25" thickBot="1">
      <c r="A99" s="1527" t="s">
        <v>1531</v>
      </c>
      <c r="B99" s="1521" t="s">
        <v>1424</v>
      </c>
      <c r="C99" s="2116">
        <v>0.1</v>
      </c>
      <c r="D99" s="2116">
        <v>0.1</v>
      </c>
      <c r="E99" s="2129"/>
      <c r="F99" s="2128"/>
    </row>
    <row r="100" spans="1:6" ht="14.25" thickBot="1">
      <c r="A100" s="1527" t="s">
        <v>1531</v>
      </c>
      <c r="B100" s="1521" t="s">
        <v>1431</v>
      </c>
      <c r="C100" s="2116">
        <v>0.09</v>
      </c>
      <c r="D100" s="2116">
        <v>8.8999999999999996E-2</v>
      </c>
      <c r="E100" s="2129"/>
      <c r="F100" s="2128"/>
    </row>
    <row r="101" spans="1:6" ht="14.25" thickBot="1">
      <c r="A101" s="1527" t="s">
        <v>1531</v>
      </c>
      <c r="B101" s="1521" t="s">
        <v>1438</v>
      </c>
      <c r="C101" s="2116">
        <v>9.8000000000000004E-2</v>
      </c>
      <c r="D101" s="2116">
        <v>9.7000000000000003E-2</v>
      </c>
      <c r="E101" s="2129"/>
      <c r="F101" s="2128"/>
    </row>
    <row r="102" spans="1:6" ht="14.25" thickBot="1">
      <c r="A102" s="1527" t="s">
        <v>1531</v>
      </c>
      <c r="B102" s="1521" t="s">
        <v>2151</v>
      </c>
      <c r="C102" s="2129"/>
      <c r="D102" s="2129"/>
      <c r="E102" s="2129"/>
      <c r="F102" s="2117">
        <v>0.05</v>
      </c>
    </row>
    <row r="103" spans="1:6" ht="24.75" thickBot="1">
      <c r="A103" s="1527" t="s">
        <v>1531</v>
      </c>
      <c r="B103" s="1521" t="s">
        <v>2152</v>
      </c>
      <c r="C103" s="2129"/>
      <c r="D103" s="2129"/>
      <c r="E103" s="2129"/>
      <c r="F103" s="2117">
        <v>0.05</v>
      </c>
    </row>
    <row r="104" spans="1:6" ht="14.25" thickBot="1">
      <c r="A104" s="1527" t="s">
        <v>1531</v>
      </c>
      <c r="B104" s="1521" t="s">
        <v>2153</v>
      </c>
      <c r="C104" s="2129"/>
      <c r="D104" s="2129"/>
      <c r="E104" s="2129"/>
      <c r="F104" s="2117">
        <v>0.05</v>
      </c>
    </row>
    <row r="105" spans="1:6" ht="14.25" thickBot="1">
      <c r="A105" s="1527" t="s">
        <v>1531</v>
      </c>
      <c r="B105" s="1521" t="s">
        <v>2154</v>
      </c>
      <c r="C105" s="2129"/>
      <c r="D105" s="2129"/>
      <c r="E105" s="2129"/>
      <c r="F105" s="2117">
        <v>0.05</v>
      </c>
    </row>
    <row r="106" spans="1:6" ht="14.25" thickBot="1">
      <c r="A106" s="1527" t="s">
        <v>1531</v>
      </c>
      <c r="B106" s="1521" t="s">
        <v>2155</v>
      </c>
      <c r="C106" s="2129"/>
      <c r="D106" s="2129"/>
      <c r="E106" s="2129"/>
      <c r="F106" s="2117">
        <v>0.05</v>
      </c>
    </row>
    <row r="107" spans="1:6" ht="24.75" thickBot="1">
      <c r="A107" s="1527" t="s">
        <v>1531</v>
      </c>
      <c r="B107" s="1521" t="s">
        <v>2156</v>
      </c>
      <c r="C107" s="2129"/>
      <c r="D107" s="2129"/>
      <c r="E107" s="2129"/>
      <c r="F107" s="2117">
        <v>0.05</v>
      </c>
    </row>
    <row r="108" spans="1:6" ht="24.75" thickBot="1">
      <c r="A108" s="1527" t="s">
        <v>1531</v>
      </c>
      <c r="B108" s="1521" t="s">
        <v>2157</v>
      </c>
      <c r="C108" s="2129"/>
      <c r="D108" s="2129"/>
      <c r="E108" s="2129"/>
      <c r="F108" s="2117">
        <v>0.05</v>
      </c>
    </row>
    <row r="109" spans="1:6" ht="24.75" thickBot="1">
      <c r="A109" s="1537" t="s">
        <v>1531</v>
      </c>
      <c r="B109" s="1533" t="s">
        <v>2158</v>
      </c>
      <c r="C109" s="2126"/>
      <c r="D109" s="2126"/>
      <c r="E109" s="2126"/>
      <c r="F109" s="2119">
        <v>0.05</v>
      </c>
    </row>
    <row r="110" spans="1:6" ht="14.25" thickBot="1">
      <c r="A110" s="1527" t="s">
        <v>199</v>
      </c>
      <c r="B110" s="1528" t="s">
        <v>2159</v>
      </c>
      <c r="C110" s="2114">
        <v>0.129</v>
      </c>
      <c r="D110" s="2114">
        <v>0.129</v>
      </c>
      <c r="E110" s="2114">
        <v>0.126</v>
      </c>
      <c r="F110" s="2115">
        <v>0.13</v>
      </c>
    </row>
    <row r="111" spans="1:6" ht="14.25" thickBot="1">
      <c r="A111" s="1527" t="s">
        <v>199</v>
      </c>
      <c r="B111" s="1521" t="s">
        <v>1200</v>
      </c>
      <c r="C111" s="2116">
        <v>0.11</v>
      </c>
      <c r="D111" s="2116">
        <v>0.11</v>
      </c>
      <c r="E111" s="2116">
        <v>9.9000000000000005E-2</v>
      </c>
      <c r="F111" s="2117">
        <v>0.128</v>
      </c>
    </row>
    <row r="112" spans="1:6" ht="14.25" thickBot="1">
      <c r="A112" s="1527" t="s">
        <v>199</v>
      </c>
      <c r="B112" s="1521" t="s">
        <v>1213</v>
      </c>
      <c r="C112" s="2116">
        <v>0.125</v>
      </c>
      <c r="D112" s="2116">
        <v>0.125</v>
      </c>
      <c r="E112" s="2116">
        <v>0.12</v>
      </c>
      <c r="F112" s="2117">
        <v>0.125</v>
      </c>
    </row>
    <row r="113" spans="1:6" ht="14.25" thickBot="1">
      <c r="A113" s="1527" t="s">
        <v>199</v>
      </c>
      <c r="B113" s="1521" t="s">
        <v>1226</v>
      </c>
      <c r="C113" s="2116">
        <v>0.13</v>
      </c>
      <c r="D113" s="2116">
        <v>0.13</v>
      </c>
      <c r="E113" s="2116">
        <v>0.13</v>
      </c>
      <c r="F113" s="2117">
        <v>0.13</v>
      </c>
    </row>
    <row r="114" spans="1:6" ht="14.25" thickBot="1">
      <c r="A114" s="1527" t="s">
        <v>199</v>
      </c>
      <c r="B114" s="1521" t="s">
        <v>1238</v>
      </c>
      <c r="C114" s="2116">
        <v>0.123</v>
      </c>
      <c r="D114" s="2116">
        <v>0.123</v>
      </c>
      <c r="E114" s="2116">
        <v>0.12</v>
      </c>
      <c r="F114" s="2117">
        <v>0.13</v>
      </c>
    </row>
    <row r="115" spans="1:6" ht="14.25" thickBot="1">
      <c r="A115" s="1527" t="s">
        <v>199</v>
      </c>
      <c r="B115" s="1521" t="s">
        <v>1249</v>
      </c>
      <c r="C115" s="2116">
        <v>0.125</v>
      </c>
      <c r="D115" s="2116">
        <v>0.125</v>
      </c>
      <c r="E115" s="2116">
        <v>0.11700000000000001</v>
      </c>
      <c r="F115" s="2117">
        <v>0.13</v>
      </c>
    </row>
    <row r="116" spans="1:6" ht="14.25" thickBot="1">
      <c r="A116" s="1527" t="s">
        <v>199</v>
      </c>
      <c r="B116" s="1521" t="s">
        <v>1260</v>
      </c>
      <c r="C116" s="2116">
        <v>0.11700000000000001</v>
      </c>
      <c r="D116" s="2116">
        <v>0.11700000000000001</v>
      </c>
      <c r="E116" s="2116">
        <v>8.7999999999999995E-2</v>
      </c>
      <c r="F116" s="2117">
        <v>0.13</v>
      </c>
    </row>
    <row r="117" spans="1:6" ht="14.25" thickBot="1">
      <c r="A117" s="1527" t="s">
        <v>199</v>
      </c>
      <c r="B117" s="1521" t="s">
        <v>1271</v>
      </c>
      <c r="C117" s="2116">
        <v>0.13</v>
      </c>
      <c r="D117" s="2116">
        <v>0.13</v>
      </c>
      <c r="E117" s="2116">
        <v>0.129</v>
      </c>
      <c r="F117" s="2117">
        <v>0.13</v>
      </c>
    </row>
    <row r="118" spans="1:6" ht="14.25" thickBot="1">
      <c r="A118" s="1527" t="s">
        <v>199</v>
      </c>
      <c r="B118" s="1521" t="s">
        <v>1283</v>
      </c>
      <c r="C118" s="2116">
        <v>0.123</v>
      </c>
      <c r="D118" s="2116">
        <v>0.123</v>
      </c>
      <c r="E118" s="2116">
        <v>0.11600000000000001</v>
      </c>
      <c r="F118" s="2117">
        <v>0.13</v>
      </c>
    </row>
    <row r="119" spans="1:6" ht="14.25" thickBot="1">
      <c r="A119" s="1527" t="s">
        <v>199</v>
      </c>
      <c r="B119" s="1521" t="s">
        <v>1293</v>
      </c>
      <c r="C119" s="2116">
        <v>0.127</v>
      </c>
      <c r="D119" s="2116">
        <v>0.127</v>
      </c>
      <c r="E119" s="2116">
        <v>0.124</v>
      </c>
      <c r="F119" s="2117">
        <v>0.13</v>
      </c>
    </row>
    <row r="120" spans="1:6" ht="14.25" thickBot="1">
      <c r="A120" s="1527" t="s">
        <v>199</v>
      </c>
      <c r="B120" s="1521" t="s">
        <v>1303</v>
      </c>
      <c r="C120" s="2116">
        <v>0.125</v>
      </c>
      <c r="D120" s="2116">
        <v>0.125</v>
      </c>
      <c r="E120" s="2116">
        <v>0.122</v>
      </c>
      <c r="F120" s="2117">
        <v>0.13</v>
      </c>
    </row>
    <row r="121" spans="1:6" ht="14.25" thickBot="1">
      <c r="A121" s="1527" t="s">
        <v>199</v>
      </c>
      <c r="B121" s="1521" t="s">
        <v>1313</v>
      </c>
      <c r="C121" s="2116">
        <v>0.13</v>
      </c>
      <c r="D121" s="2116">
        <v>0.13</v>
      </c>
      <c r="E121" s="2116">
        <v>0.13</v>
      </c>
      <c r="F121" s="2117">
        <v>0.13</v>
      </c>
    </row>
    <row r="122" spans="1:6" ht="14.25" thickBot="1">
      <c r="A122" s="1527" t="s">
        <v>199</v>
      </c>
      <c r="B122" s="1521" t="s">
        <v>1323</v>
      </c>
      <c r="C122" s="2116">
        <v>0.13</v>
      </c>
      <c r="D122" s="2116">
        <v>0.13</v>
      </c>
      <c r="E122" s="2116">
        <v>0.125</v>
      </c>
      <c r="F122" s="2117">
        <v>0.13</v>
      </c>
    </row>
    <row r="123" spans="1:6" ht="14.25" thickBot="1">
      <c r="A123" s="1527" t="s">
        <v>199</v>
      </c>
      <c r="B123" s="1521" t="s">
        <v>1334</v>
      </c>
      <c r="C123" s="2116">
        <v>0.129</v>
      </c>
      <c r="D123" s="2116">
        <v>0.129</v>
      </c>
      <c r="E123" s="2116">
        <v>0.123</v>
      </c>
      <c r="F123" s="2117">
        <v>0.13</v>
      </c>
    </row>
    <row r="124" spans="1:6" ht="14.25" thickBot="1">
      <c r="A124" s="1527" t="s">
        <v>199</v>
      </c>
      <c r="B124" s="1521" t="s">
        <v>1345</v>
      </c>
      <c r="C124" s="2116">
        <v>0.10199999999999999</v>
      </c>
      <c r="D124" s="2116">
        <v>0.10100000000000001</v>
      </c>
      <c r="E124" s="2116">
        <v>0.08</v>
      </c>
      <c r="F124" s="2128"/>
    </row>
    <row r="125" spans="1:6" ht="14.25" thickBot="1">
      <c r="A125" s="1527" t="s">
        <v>199</v>
      </c>
      <c r="B125" s="1521" t="s">
        <v>1355</v>
      </c>
      <c r="C125" s="2116">
        <v>0.13</v>
      </c>
      <c r="D125" s="2116">
        <v>0.13</v>
      </c>
      <c r="E125" s="2116">
        <v>0.129</v>
      </c>
      <c r="F125" s="2128"/>
    </row>
    <row r="126" spans="1:6" ht="14.25" thickBot="1">
      <c r="A126" s="1527" t="s">
        <v>199</v>
      </c>
      <c r="B126" s="1521" t="s">
        <v>1365</v>
      </c>
      <c r="C126" s="2116">
        <v>0.13</v>
      </c>
      <c r="D126" s="2116">
        <v>0.13</v>
      </c>
      <c r="E126" s="2116">
        <v>0.126</v>
      </c>
      <c r="F126" s="2128"/>
    </row>
    <row r="127" spans="1:6" ht="14.25" thickBot="1">
      <c r="A127" s="1527" t="s">
        <v>199</v>
      </c>
      <c r="B127" s="1521" t="s">
        <v>1375</v>
      </c>
      <c r="C127" s="2116">
        <v>0.125</v>
      </c>
      <c r="D127" s="2116">
        <v>0.125</v>
      </c>
      <c r="E127" s="2116">
        <v>0.121</v>
      </c>
      <c r="F127" s="2128"/>
    </row>
    <row r="128" spans="1:6" ht="14.25" thickBot="1">
      <c r="A128" s="1527" t="s">
        <v>199</v>
      </c>
      <c r="B128" s="1521" t="s">
        <v>1385</v>
      </c>
      <c r="C128" s="2116">
        <v>0.12</v>
      </c>
      <c r="D128" s="2116">
        <v>0.12</v>
      </c>
      <c r="E128" s="2116">
        <v>0.105</v>
      </c>
      <c r="F128" s="2128"/>
    </row>
    <row r="129" spans="1:6" ht="14.25" thickBot="1">
      <c r="A129" s="1527" t="s">
        <v>199</v>
      </c>
      <c r="B129" s="1521" t="s">
        <v>1394</v>
      </c>
      <c r="C129" s="2116">
        <v>0.13</v>
      </c>
      <c r="D129" s="2116">
        <v>0.13</v>
      </c>
      <c r="E129" s="2116">
        <v>0.126</v>
      </c>
      <c r="F129" s="2128"/>
    </row>
    <row r="130" spans="1:6" ht="14.25" thickBot="1">
      <c r="A130" s="1527" t="s">
        <v>199</v>
      </c>
      <c r="B130" s="1521" t="s">
        <v>1403</v>
      </c>
      <c r="C130" s="2116">
        <v>0.125</v>
      </c>
      <c r="D130" s="2116">
        <v>0.125</v>
      </c>
      <c r="E130" s="2116">
        <v>0.122</v>
      </c>
      <c r="F130" s="2128"/>
    </row>
    <row r="131" spans="1:6" ht="14.25" thickBot="1">
      <c r="A131" s="1527" t="s">
        <v>199</v>
      </c>
      <c r="B131" s="1521" t="s">
        <v>1411</v>
      </c>
      <c r="C131" s="2116">
        <v>0.127</v>
      </c>
      <c r="D131" s="2116">
        <v>0.126</v>
      </c>
      <c r="E131" s="2116">
        <v>0.123</v>
      </c>
      <c r="F131" s="2128"/>
    </row>
    <row r="132" spans="1:6" ht="14.25" thickBot="1">
      <c r="A132" s="1527" t="s">
        <v>199</v>
      </c>
      <c r="B132" s="1521" t="s">
        <v>1418</v>
      </c>
      <c r="C132" s="2116">
        <v>9.0999999999999998E-2</v>
      </c>
      <c r="D132" s="2116">
        <v>0.121</v>
      </c>
      <c r="E132" s="2116">
        <v>9.9000000000000005E-2</v>
      </c>
      <c r="F132" s="2128"/>
    </row>
    <row r="133" spans="1:6" ht="14.25" thickBot="1">
      <c r="A133" s="1527" t="s">
        <v>199</v>
      </c>
      <c r="B133" s="1521" t="s">
        <v>1425</v>
      </c>
      <c r="C133" s="2116">
        <v>0.13</v>
      </c>
      <c r="D133" s="2116">
        <v>0.13</v>
      </c>
      <c r="E133" s="2116">
        <v>0.129</v>
      </c>
      <c r="F133" s="2128"/>
    </row>
    <row r="134" spans="1:6" ht="14.25" thickBot="1">
      <c r="A134" s="1527" t="s">
        <v>199</v>
      </c>
      <c r="B134" s="1521" t="s">
        <v>2160</v>
      </c>
      <c r="C134" s="2116">
        <v>6.8000000000000005E-2</v>
      </c>
      <c r="D134" s="2116">
        <v>6.5000000000000002E-2</v>
      </c>
      <c r="E134" s="2116">
        <v>6.5000000000000002E-2</v>
      </c>
      <c r="F134" s="2117">
        <v>0.13</v>
      </c>
    </row>
    <row r="135" spans="1:6" ht="14.25" thickBot="1">
      <c r="A135" s="1527" t="s">
        <v>199</v>
      </c>
      <c r="B135" s="1521" t="s">
        <v>1439</v>
      </c>
      <c r="C135" s="2116">
        <v>0.123</v>
      </c>
      <c r="D135" s="2116">
        <v>0.123</v>
      </c>
      <c r="E135" s="2116">
        <v>0.11</v>
      </c>
      <c r="F135" s="2128"/>
    </row>
    <row r="136" spans="1:6" ht="14.25" thickBot="1">
      <c r="A136" s="1527" t="s">
        <v>199</v>
      </c>
      <c r="B136" s="1521" t="s">
        <v>1446</v>
      </c>
      <c r="C136" s="2116">
        <v>0.13</v>
      </c>
      <c r="D136" s="2116">
        <v>0.13</v>
      </c>
      <c r="E136" s="2116">
        <v>0.125</v>
      </c>
      <c r="F136" s="2128"/>
    </row>
    <row r="137" spans="1:6" ht="14.25" thickBot="1">
      <c r="A137" s="1527" t="s">
        <v>199</v>
      </c>
      <c r="B137" s="1521" t="s">
        <v>1453</v>
      </c>
      <c r="C137" s="2116">
        <v>0.121</v>
      </c>
      <c r="D137" s="2116">
        <v>0.122</v>
      </c>
      <c r="E137" s="2116">
        <v>0.115</v>
      </c>
      <c r="F137" s="2128"/>
    </row>
    <row r="138" spans="1:6" ht="14.25" thickBot="1">
      <c r="A138" s="1527" t="s">
        <v>199</v>
      </c>
      <c r="B138" s="1521" t="s">
        <v>2161</v>
      </c>
      <c r="C138" s="2116">
        <v>0.105</v>
      </c>
      <c r="D138" s="2116">
        <v>0.125</v>
      </c>
      <c r="E138" s="2116">
        <v>0.112</v>
      </c>
      <c r="F138" s="2128"/>
    </row>
    <row r="139" spans="1:6" ht="14.25" thickBot="1">
      <c r="A139" s="1527" t="s">
        <v>199</v>
      </c>
      <c r="B139" s="1521" t="s">
        <v>2162</v>
      </c>
      <c r="C139" s="2116">
        <v>0.127</v>
      </c>
      <c r="D139" s="2116">
        <v>0.127</v>
      </c>
      <c r="E139" s="2116">
        <v>0.122</v>
      </c>
      <c r="F139" s="2117">
        <v>0.13</v>
      </c>
    </row>
    <row r="140" spans="1:6" ht="14.25" thickBot="1">
      <c r="A140" s="1527" t="s">
        <v>199</v>
      </c>
      <c r="B140" s="1521" t="s">
        <v>2163</v>
      </c>
      <c r="C140" s="2116">
        <v>0.125</v>
      </c>
      <c r="D140" s="2116">
        <v>0.125</v>
      </c>
      <c r="E140" s="2116">
        <v>0.11899999999999999</v>
      </c>
      <c r="F140" s="2117">
        <v>0.13</v>
      </c>
    </row>
    <row r="141" spans="1:6" ht="14.25" thickBot="1">
      <c r="A141" s="1527" t="s">
        <v>199</v>
      </c>
      <c r="B141" s="1521" t="s">
        <v>1472</v>
      </c>
      <c r="C141" s="2116">
        <v>0.125</v>
      </c>
      <c r="D141" s="2116">
        <v>0.125</v>
      </c>
      <c r="E141" s="2116">
        <v>0.11700000000000001</v>
      </c>
      <c r="F141" s="2128"/>
    </row>
    <row r="142" spans="1:6" ht="14.25" thickBot="1">
      <c r="A142" s="1527" t="s">
        <v>199</v>
      </c>
      <c r="B142" s="1521" t="s">
        <v>1477</v>
      </c>
      <c r="C142" s="2116">
        <v>0.125</v>
      </c>
      <c r="D142" s="2116">
        <v>0.125</v>
      </c>
      <c r="E142" s="2116">
        <v>0.115</v>
      </c>
      <c r="F142" s="2128"/>
    </row>
    <row r="143" spans="1:6" ht="14.25" thickBot="1">
      <c r="A143" s="1527" t="s">
        <v>199</v>
      </c>
      <c r="B143" s="1521" t="s">
        <v>1482</v>
      </c>
      <c r="C143" s="2116">
        <v>0.121</v>
      </c>
      <c r="D143" s="2116">
        <v>0.121</v>
      </c>
      <c r="E143" s="2116">
        <v>0.108</v>
      </c>
      <c r="F143" s="2128"/>
    </row>
    <row r="144" spans="1:6" ht="14.25" thickBot="1">
      <c r="A144" s="1527" t="s">
        <v>199</v>
      </c>
      <c r="B144" s="2120" t="s">
        <v>2164</v>
      </c>
      <c r="C144" s="2121">
        <v>0.126</v>
      </c>
      <c r="D144" s="2121">
        <v>0.126</v>
      </c>
      <c r="E144" s="2121">
        <v>0.121</v>
      </c>
      <c r="F144" s="2128"/>
    </row>
    <row r="145" spans="1:6" ht="14.25" thickBot="1">
      <c r="A145" s="1537" t="s">
        <v>199</v>
      </c>
      <c r="B145" s="2122" t="s">
        <v>2165</v>
      </c>
      <c r="C145" s="2130"/>
      <c r="D145" s="2130"/>
      <c r="E145" s="2130"/>
      <c r="F145" s="2123">
        <v>0.05</v>
      </c>
    </row>
    <row r="146" spans="1:6" ht="24.75" thickBot="1">
      <c r="A146" s="2124" t="s">
        <v>199</v>
      </c>
      <c r="B146" s="1531" t="s">
        <v>2166</v>
      </c>
      <c r="C146" s="2129"/>
      <c r="D146" s="2129"/>
      <c r="E146" s="2129"/>
      <c r="F146" s="2125">
        <v>0.05</v>
      </c>
    </row>
    <row r="147" spans="1:6" ht="24.75" thickBot="1">
      <c r="A147" s="1527" t="s">
        <v>199</v>
      </c>
      <c r="B147" s="1521" t="s">
        <v>2167</v>
      </c>
      <c r="C147" s="2129"/>
      <c r="D147" s="2129"/>
      <c r="E147" s="2129"/>
      <c r="F147" s="2117">
        <v>0.05</v>
      </c>
    </row>
    <row r="148" spans="1:6" ht="24.75" thickBot="1">
      <c r="A148" s="1527" t="s">
        <v>199</v>
      </c>
      <c r="B148" s="1521" t="s">
        <v>2168</v>
      </c>
      <c r="C148" s="2129"/>
      <c r="D148" s="2129"/>
      <c r="E148" s="2129"/>
      <c r="F148" s="2117">
        <v>0.05</v>
      </c>
    </row>
    <row r="149" spans="1:6" ht="24.75" thickBot="1">
      <c r="A149" s="1527" t="s">
        <v>199</v>
      </c>
      <c r="B149" s="1521" t="s">
        <v>2169</v>
      </c>
      <c r="C149" s="2129"/>
      <c r="D149" s="2129"/>
      <c r="E149" s="2129"/>
      <c r="F149" s="2117">
        <v>0.05</v>
      </c>
    </row>
    <row r="150" spans="1:6" ht="24.75" thickBot="1">
      <c r="A150" s="1527" t="s">
        <v>199</v>
      </c>
      <c r="B150" s="1521" t="s">
        <v>2170</v>
      </c>
      <c r="C150" s="2129"/>
      <c r="D150" s="2129"/>
      <c r="E150" s="2129"/>
      <c r="F150" s="2117">
        <v>0.05</v>
      </c>
    </row>
    <row r="151" spans="1:6" ht="24.75" thickBot="1">
      <c r="A151" s="1527" t="s">
        <v>199</v>
      </c>
      <c r="B151" s="1521" t="s">
        <v>2171</v>
      </c>
      <c r="C151" s="2129"/>
      <c r="D151" s="2129"/>
      <c r="E151" s="2129"/>
      <c r="F151" s="2117">
        <v>0.05</v>
      </c>
    </row>
    <row r="152" spans="1:6" ht="24.75" thickBot="1">
      <c r="A152" s="1527" t="s">
        <v>199</v>
      </c>
      <c r="B152" s="1521" t="s">
        <v>1515</v>
      </c>
      <c r="C152" s="2129"/>
      <c r="D152" s="2129"/>
      <c r="E152" s="2129"/>
      <c r="F152" s="2117">
        <v>0.05</v>
      </c>
    </row>
    <row r="153" spans="1:6" ht="14.25" thickBot="1">
      <c r="A153" s="1527" t="s">
        <v>199</v>
      </c>
      <c r="B153" s="1521" t="s">
        <v>2172</v>
      </c>
      <c r="C153" s="2129"/>
      <c r="D153" s="2129"/>
      <c r="E153" s="2129"/>
      <c r="F153" s="2117">
        <v>0.05</v>
      </c>
    </row>
    <row r="154" spans="1:6" ht="14.25" thickBot="1">
      <c r="A154" s="1527" t="s">
        <v>199</v>
      </c>
      <c r="B154" s="1521" t="s">
        <v>2173</v>
      </c>
      <c r="C154" s="2129"/>
      <c r="D154" s="2129"/>
      <c r="E154" s="2129"/>
      <c r="F154" s="2117">
        <v>0.05</v>
      </c>
    </row>
    <row r="155" spans="1:6" ht="24.75" thickBot="1">
      <c r="A155" s="1527" t="s">
        <v>199</v>
      </c>
      <c r="B155" s="1521" t="s">
        <v>2174</v>
      </c>
      <c r="C155" s="2129"/>
      <c r="D155" s="2129"/>
      <c r="E155" s="2129"/>
      <c r="F155" s="2117">
        <v>0.05</v>
      </c>
    </row>
    <row r="156" spans="1:6" ht="24.75" thickBot="1">
      <c r="A156" s="1527" t="s">
        <v>199</v>
      </c>
      <c r="B156" s="1521" t="s">
        <v>2175</v>
      </c>
      <c r="C156" s="2129"/>
      <c r="D156" s="2129"/>
      <c r="E156" s="2129"/>
      <c r="F156" s="2117">
        <v>0.05</v>
      </c>
    </row>
    <row r="157" spans="1:6" ht="14.25" thickBot="1">
      <c r="A157" s="1537" t="s">
        <v>199</v>
      </c>
      <c r="B157" s="1533" t="s">
        <v>2176</v>
      </c>
      <c r="C157" s="2126"/>
      <c r="D157" s="2126"/>
      <c r="E157" s="2126"/>
      <c r="F157" s="2119">
        <v>0.05</v>
      </c>
    </row>
    <row r="158" spans="1:6" ht="14.25" thickBot="1">
      <c r="A158" s="1527" t="s">
        <v>1534</v>
      </c>
      <c r="B158" s="1528" t="s">
        <v>2177</v>
      </c>
      <c r="C158" s="2114">
        <v>0.13</v>
      </c>
      <c r="D158" s="2114">
        <v>0.13</v>
      </c>
      <c r="E158" s="2114">
        <v>0.13</v>
      </c>
      <c r="F158" s="2115">
        <v>0.13</v>
      </c>
    </row>
    <row r="159" spans="1:6" ht="14.25" thickBot="1">
      <c r="A159" s="1527" t="s">
        <v>1534</v>
      </c>
      <c r="B159" s="1521" t="s">
        <v>1201</v>
      </c>
      <c r="C159" s="2116">
        <v>0.13</v>
      </c>
      <c r="D159" s="2116">
        <v>0.13</v>
      </c>
      <c r="E159" s="2116">
        <v>0.13</v>
      </c>
      <c r="F159" s="2117">
        <v>0.13</v>
      </c>
    </row>
    <row r="160" spans="1:6" ht="14.25" thickBot="1">
      <c r="A160" s="1527" t="s">
        <v>1534</v>
      </c>
      <c r="B160" s="1521" t="s">
        <v>1214</v>
      </c>
      <c r="C160" s="2116">
        <v>0.13</v>
      </c>
      <c r="D160" s="2116">
        <v>0.13</v>
      </c>
      <c r="E160" s="2116">
        <v>0.129</v>
      </c>
      <c r="F160" s="2117">
        <v>0.13</v>
      </c>
    </row>
    <row r="161" spans="1:6" ht="14.25" thickBot="1">
      <c r="A161" s="1527" t="s">
        <v>1534</v>
      </c>
      <c r="B161" s="1521" t="s">
        <v>1227</v>
      </c>
      <c r="C161" s="2116">
        <v>0.128</v>
      </c>
      <c r="D161" s="2116">
        <v>0.128</v>
      </c>
      <c r="E161" s="2116">
        <v>0.125</v>
      </c>
      <c r="F161" s="2117">
        <v>0.13</v>
      </c>
    </row>
    <row r="162" spans="1:6" ht="14.25" thickBot="1">
      <c r="A162" s="1527" t="s">
        <v>1534</v>
      </c>
      <c r="B162" s="1521" t="s">
        <v>1239</v>
      </c>
      <c r="C162" s="2116">
        <v>0.122</v>
      </c>
      <c r="D162" s="2116">
        <v>0.122</v>
      </c>
      <c r="E162" s="2116">
        <v>0.126</v>
      </c>
      <c r="F162" s="2117">
        <v>0.122</v>
      </c>
    </row>
    <row r="163" spans="1:6" ht="14.25" thickBot="1">
      <c r="A163" s="1527" t="s">
        <v>1534</v>
      </c>
      <c r="B163" s="1521" t="s">
        <v>1250</v>
      </c>
      <c r="C163" s="2116">
        <v>0.13</v>
      </c>
      <c r="D163" s="2116">
        <v>0.13</v>
      </c>
      <c r="E163" s="2116">
        <v>0.125</v>
      </c>
      <c r="F163" s="2117">
        <v>0.13</v>
      </c>
    </row>
    <row r="164" spans="1:6" ht="14.25" thickBot="1">
      <c r="A164" s="1527" t="s">
        <v>1534</v>
      </c>
      <c r="B164" s="1521" t="s">
        <v>1261</v>
      </c>
      <c r="C164" s="2116">
        <v>0.13</v>
      </c>
      <c r="D164" s="2116">
        <v>0.13</v>
      </c>
      <c r="E164" s="2116">
        <v>0.13</v>
      </c>
      <c r="F164" s="2117">
        <v>0.13</v>
      </c>
    </row>
    <row r="165" spans="1:6" ht="14.25" thickBot="1">
      <c r="A165" s="1527" t="s">
        <v>1534</v>
      </c>
      <c r="B165" s="1521" t="s">
        <v>1272</v>
      </c>
      <c r="C165" s="2116">
        <v>0.13</v>
      </c>
      <c r="D165" s="2116">
        <v>0.13</v>
      </c>
      <c r="E165" s="2116">
        <v>0.124</v>
      </c>
      <c r="F165" s="2117">
        <v>0.13</v>
      </c>
    </row>
    <row r="166" spans="1:6" ht="14.25" thickBot="1">
      <c r="A166" s="1527" t="s">
        <v>1534</v>
      </c>
      <c r="B166" s="1521" t="s">
        <v>1284</v>
      </c>
      <c r="C166" s="2116">
        <v>0.13</v>
      </c>
      <c r="D166" s="2116">
        <v>0.13</v>
      </c>
      <c r="E166" s="2116">
        <v>0.13</v>
      </c>
      <c r="F166" s="2117">
        <v>0.13</v>
      </c>
    </row>
    <row r="167" spans="1:6" ht="14.25" thickBot="1">
      <c r="A167" s="1527" t="s">
        <v>1534</v>
      </c>
      <c r="B167" s="1521" t="s">
        <v>1294</v>
      </c>
      <c r="C167" s="2116">
        <v>0.125</v>
      </c>
      <c r="D167" s="2116">
        <v>0.125</v>
      </c>
      <c r="E167" s="2116">
        <v>0.121</v>
      </c>
      <c r="F167" s="2128"/>
    </row>
    <row r="168" spans="1:6" ht="14.25" thickBot="1">
      <c r="A168" s="1527" t="s">
        <v>1534</v>
      </c>
      <c r="B168" s="1521" t="s">
        <v>1304</v>
      </c>
      <c r="C168" s="2116">
        <v>0.13</v>
      </c>
      <c r="D168" s="2116">
        <v>0.13</v>
      </c>
      <c r="E168" s="2116">
        <v>0.126</v>
      </c>
      <c r="F168" s="2128"/>
    </row>
    <row r="169" spans="1:6" ht="14.25" thickBot="1">
      <c r="A169" s="1527" t="s">
        <v>1534</v>
      </c>
      <c r="B169" s="1521" t="s">
        <v>1314</v>
      </c>
      <c r="C169" s="2116">
        <v>0.128</v>
      </c>
      <c r="D169" s="2116">
        <v>0.129</v>
      </c>
      <c r="E169" s="2116">
        <v>0.13</v>
      </c>
      <c r="F169" s="2128"/>
    </row>
    <row r="170" spans="1:6" ht="14.25" thickBot="1">
      <c r="A170" s="1527" t="s">
        <v>1534</v>
      </c>
      <c r="B170" s="1521" t="s">
        <v>1324</v>
      </c>
      <c r="C170" s="2116">
        <v>0.14099999999999999</v>
      </c>
      <c r="D170" s="2116">
        <v>0.13</v>
      </c>
      <c r="E170" s="2116">
        <v>0.125</v>
      </c>
      <c r="F170" s="2128"/>
    </row>
    <row r="171" spans="1:6" ht="14.25" thickBot="1">
      <c r="A171" s="1527" t="s">
        <v>1534</v>
      </c>
      <c r="B171" s="1521" t="s">
        <v>2178</v>
      </c>
      <c r="C171" s="2116">
        <v>0.127</v>
      </c>
      <c r="D171" s="2116">
        <v>0.126</v>
      </c>
      <c r="E171" s="2116">
        <v>0.126</v>
      </c>
      <c r="F171" s="2117">
        <v>0.11799999999999999</v>
      </c>
    </row>
    <row r="172" spans="1:6" ht="14.25" thickBot="1">
      <c r="A172" s="1527" t="s">
        <v>1534</v>
      </c>
      <c r="B172" s="1521" t="s">
        <v>2179</v>
      </c>
      <c r="C172" s="2116">
        <v>0.13</v>
      </c>
      <c r="D172" s="2116">
        <v>0.13</v>
      </c>
      <c r="E172" s="2116">
        <v>0.13</v>
      </c>
      <c r="F172" s="2128"/>
    </row>
    <row r="173" spans="1:6" ht="14.25" thickBot="1">
      <c r="A173" s="1527" t="s">
        <v>1534</v>
      </c>
      <c r="B173" s="1521" t="s">
        <v>1356</v>
      </c>
      <c r="C173" s="2116">
        <v>0.13</v>
      </c>
      <c r="D173" s="2116">
        <v>0.13</v>
      </c>
      <c r="E173" s="2116">
        <v>0.13</v>
      </c>
      <c r="F173" s="2128"/>
    </row>
    <row r="174" spans="1:6" ht="14.25" thickBot="1">
      <c r="A174" s="1527" t="s">
        <v>1534</v>
      </c>
      <c r="B174" s="1521" t="s">
        <v>2180</v>
      </c>
      <c r="C174" s="2116">
        <v>0.13</v>
      </c>
      <c r="D174" s="2116">
        <v>0.13</v>
      </c>
      <c r="E174" s="2116">
        <v>0.13</v>
      </c>
      <c r="F174" s="2117">
        <v>0.13</v>
      </c>
    </row>
    <row r="175" spans="1:6" ht="14.25" thickBot="1">
      <c r="A175" s="1527" t="s">
        <v>1534</v>
      </c>
      <c r="B175" s="1521" t="s">
        <v>2181</v>
      </c>
      <c r="C175" s="2116">
        <v>0.13</v>
      </c>
      <c r="D175" s="2116">
        <v>0.13</v>
      </c>
      <c r="E175" s="2116">
        <v>0.13</v>
      </c>
      <c r="F175" s="2117">
        <v>0.13</v>
      </c>
    </row>
    <row r="176" spans="1:6" ht="14.25" thickBot="1">
      <c r="A176" s="1527" t="s">
        <v>1534</v>
      </c>
      <c r="B176" s="1521" t="s">
        <v>1386</v>
      </c>
      <c r="C176" s="2116">
        <v>0.13</v>
      </c>
      <c r="D176" s="2116">
        <v>0.13</v>
      </c>
      <c r="E176" s="2116">
        <v>0.13</v>
      </c>
      <c r="F176" s="2117">
        <v>0.13</v>
      </c>
    </row>
    <row r="177" spans="1:6" ht="14.25" thickBot="1">
      <c r="A177" s="1527" t="s">
        <v>1534</v>
      </c>
      <c r="B177" s="1521" t="s">
        <v>2182</v>
      </c>
      <c r="C177" s="2116">
        <v>0.13</v>
      </c>
      <c r="D177" s="2116">
        <v>0.13</v>
      </c>
      <c r="E177" s="2116">
        <v>0.13</v>
      </c>
      <c r="F177" s="2117">
        <v>0.13</v>
      </c>
    </row>
    <row r="178" spans="1:6" ht="14.25" thickBot="1">
      <c r="A178" s="1527" t="s">
        <v>1534</v>
      </c>
      <c r="B178" s="1521" t="s">
        <v>1404</v>
      </c>
      <c r="C178" s="2116">
        <v>0.13</v>
      </c>
      <c r="D178" s="2116">
        <v>0.13</v>
      </c>
      <c r="E178" s="2116">
        <v>0.13</v>
      </c>
      <c r="F178" s="2117">
        <v>0.127</v>
      </c>
    </row>
    <row r="179" spans="1:6" ht="14.25" thickBot="1">
      <c r="A179" s="1527" t="s">
        <v>1534</v>
      </c>
      <c r="B179" s="1521" t="s">
        <v>1412</v>
      </c>
      <c r="C179" s="2116">
        <v>0.13</v>
      </c>
      <c r="D179" s="2116">
        <v>0.13</v>
      </c>
      <c r="E179" s="2116">
        <v>0.13</v>
      </c>
      <c r="F179" s="2128"/>
    </row>
    <row r="180" spans="1:6" ht="14.25" thickBot="1">
      <c r="A180" s="1527" t="s">
        <v>1534</v>
      </c>
      <c r="B180" s="1521" t="s">
        <v>2183</v>
      </c>
      <c r="C180" s="2116">
        <v>0.13</v>
      </c>
      <c r="D180" s="2116">
        <v>0.13</v>
      </c>
      <c r="E180" s="2116">
        <v>0.125</v>
      </c>
      <c r="F180" s="2117">
        <v>0.13</v>
      </c>
    </row>
    <row r="181" spans="1:6" ht="14.25" thickBot="1">
      <c r="A181" s="1527" t="s">
        <v>1534</v>
      </c>
      <c r="B181" s="1521" t="s">
        <v>1426</v>
      </c>
      <c r="C181" s="2116">
        <v>0.122</v>
      </c>
      <c r="D181" s="2116">
        <v>0.123</v>
      </c>
      <c r="E181" s="2116">
        <v>0.126</v>
      </c>
      <c r="F181" s="2117">
        <v>0.121</v>
      </c>
    </row>
    <row r="182" spans="1:6" ht="14.25" thickBot="1">
      <c r="A182" s="1527" t="s">
        <v>1534</v>
      </c>
      <c r="B182" s="1521" t="s">
        <v>1433</v>
      </c>
      <c r="C182" s="2116">
        <v>0.125</v>
      </c>
      <c r="D182" s="2116">
        <v>0.125</v>
      </c>
      <c r="E182" s="2116">
        <v>0.11700000000000001</v>
      </c>
      <c r="F182" s="2117">
        <v>0.13</v>
      </c>
    </row>
    <row r="183" spans="1:6" ht="14.25" thickBot="1">
      <c r="A183" s="1527" t="s">
        <v>1534</v>
      </c>
      <c r="B183" s="1521" t="s">
        <v>1440</v>
      </c>
      <c r="C183" s="2116">
        <v>0.127</v>
      </c>
      <c r="D183" s="2116">
        <v>0.127</v>
      </c>
      <c r="E183" s="2116">
        <v>0.128</v>
      </c>
      <c r="F183" s="2128"/>
    </row>
    <row r="184" spans="1:6" ht="14.25" thickBot="1">
      <c r="A184" s="1527" t="s">
        <v>1534</v>
      </c>
      <c r="B184" s="1521" t="s">
        <v>1447</v>
      </c>
      <c r="C184" s="2116">
        <v>0.125</v>
      </c>
      <c r="D184" s="2116">
        <v>0.125</v>
      </c>
      <c r="E184" s="2116">
        <v>0.127</v>
      </c>
      <c r="F184" s="2128"/>
    </row>
    <row r="185" spans="1:6" ht="14.25" thickBot="1">
      <c r="A185" s="1527" t="s">
        <v>1534</v>
      </c>
      <c r="B185" s="1521" t="s">
        <v>2184</v>
      </c>
      <c r="C185" s="2116">
        <v>0.127</v>
      </c>
      <c r="D185" s="2116">
        <v>0.127</v>
      </c>
      <c r="E185" s="2116">
        <v>0.128</v>
      </c>
      <c r="F185" s="2117">
        <v>0.13</v>
      </c>
    </row>
    <row r="186" spans="1:6" ht="24.75" thickBot="1">
      <c r="A186" s="1527" t="s">
        <v>1534</v>
      </c>
      <c r="B186" s="1521" t="s">
        <v>2185</v>
      </c>
      <c r="C186" s="2129"/>
      <c r="D186" s="2129"/>
      <c r="E186" s="2129"/>
      <c r="F186" s="2117">
        <v>0.05</v>
      </c>
    </row>
    <row r="187" spans="1:6" ht="14.25" thickBot="1">
      <c r="A187" s="1527" t="s">
        <v>1534</v>
      </c>
      <c r="B187" s="1521" t="s">
        <v>2186</v>
      </c>
      <c r="C187" s="2129"/>
      <c r="D187" s="2129"/>
      <c r="E187" s="2129"/>
      <c r="F187" s="2117">
        <v>0.05</v>
      </c>
    </row>
    <row r="188" spans="1:6" ht="14.25" thickBot="1">
      <c r="A188" s="1527" t="s">
        <v>1534</v>
      </c>
      <c r="B188" s="1521" t="s">
        <v>2187</v>
      </c>
      <c r="C188" s="2129"/>
      <c r="D188" s="2129"/>
      <c r="E188" s="2129"/>
      <c r="F188" s="2117">
        <v>0.05</v>
      </c>
    </row>
    <row r="189" spans="1:6" ht="24.75" thickBot="1">
      <c r="A189" s="1527" t="s">
        <v>1534</v>
      </c>
      <c r="B189" s="1521" t="s">
        <v>2188</v>
      </c>
      <c r="C189" s="2129"/>
      <c r="D189" s="2129"/>
      <c r="E189" s="2129"/>
      <c r="F189" s="2117">
        <v>0.05</v>
      </c>
    </row>
    <row r="190" spans="1:6" ht="24.75" thickBot="1">
      <c r="A190" s="1527" t="s">
        <v>1534</v>
      </c>
      <c r="B190" s="1521" t="s">
        <v>2189</v>
      </c>
      <c r="C190" s="2129"/>
      <c r="D190" s="2129"/>
      <c r="E190" s="2129"/>
      <c r="F190" s="2117">
        <v>0.05</v>
      </c>
    </row>
    <row r="191" spans="1:6" ht="24.75" thickBot="1">
      <c r="A191" s="1527" t="s">
        <v>1534</v>
      </c>
      <c r="B191" s="1521" t="s">
        <v>2190</v>
      </c>
      <c r="C191" s="2129"/>
      <c r="D191" s="2129"/>
      <c r="E191" s="2129"/>
      <c r="F191" s="2117">
        <v>0.05</v>
      </c>
    </row>
    <row r="192" spans="1:6" ht="24.75" thickBot="1">
      <c r="A192" s="1527" t="s">
        <v>1534</v>
      </c>
      <c r="B192" s="1521" t="s">
        <v>2191</v>
      </c>
      <c r="C192" s="2129"/>
      <c r="D192" s="2129"/>
      <c r="E192" s="2129"/>
      <c r="F192" s="2117">
        <v>0.05</v>
      </c>
    </row>
    <row r="193" spans="1:6" ht="24.75" thickBot="1">
      <c r="A193" s="1527" t="s">
        <v>1534</v>
      </c>
      <c r="B193" s="1521" t="s">
        <v>2192</v>
      </c>
      <c r="C193" s="2129"/>
      <c r="D193" s="2129"/>
      <c r="E193" s="2129"/>
      <c r="F193" s="2117">
        <v>0.05</v>
      </c>
    </row>
    <row r="194" spans="1:6" ht="24.75" thickBot="1">
      <c r="A194" s="1527" t="s">
        <v>1534</v>
      </c>
      <c r="B194" s="1521" t="s">
        <v>2193</v>
      </c>
      <c r="C194" s="2129"/>
      <c r="D194" s="2129"/>
      <c r="E194" s="2129"/>
      <c r="F194" s="2117">
        <v>0.05</v>
      </c>
    </row>
    <row r="195" spans="1:6" ht="14.25" thickBot="1">
      <c r="A195" s="1527" t="s">
        <v>1534</v>
      </c>
      <c r="B195" s="1521" t="s">
        <v>2194</v>
      </c>
      <c r="C195" s="2129"/>
      <c r="D195" s="2129"/>
      <c r="E195" s="2129"/>
      <c r="F195" s="2117">
        <v>0.05</v>
      </c>
    </row>
    <row r="196" spans="1:6" ht="24.75" thickBot="1">
      <c r="A196" s="1527" t="s">
        <v>1534</v>
      </c>
      <c r="B196" s="1521" t="s">
        <v>2195</v>
      </c>
      <c r="C196" s="2129"/>
      <c r="D196" s="2129"/>
      <c r="E196" s="2129"/>
      <c r="F196" s="2117">
        <v>0.05</v>
      </c>
    </row>
    <row r="197" spans="1:6" ht="24.75" thickBot="1">
      <c r="A197" s="1527" t="s">
        <v>1534</v>
      </c>
      <c r="B197" s="1521" t="s">
        <v>2196</v>
      </c>
      <c r="C197" s="2129"/>
      <c r="D197" s="2129"/>
      <c r="E197" s="2129"/>
      <c r="F197" s="2117">
        <v>0.05</v>
      </c>
    </row>
    <row r="198" spans="1:6" ht="24.75" thickBot="1">
      <c r="A198" s="1527" t="s">
        <v>1534</v>
      </c>
      <c r="B198" s="1521" t="s">
        <v>2197</v>
      </c>
      <c r="C198" s="2129"/>
      <c r="D198" s="2129"/>
      <c r="E198" s="2129"/>
      <c r="F198" s="2117">
        <v>0.05</v>
      </c>
    </row>
    <row r="199" spans="1:6" ht="24.75" thickBot="1">
      <c r="A199" s="1527" t="s">
        <v>1534</v>
      </c>
      <c r="B199" s="1521" t="s">
        <v>2198</v>
      </c>
      <c r="C199" s="2129"/>
      <c r="D199" s="2129"/>
      <c r="E199" s="2129"/>
      <c r="F199" s="2117">
        <v>0.05</v>
      </c>
    </row>
    <row r="200" spans="1:6" ht="24.75" thickBot="1">
      <c r="A200" s="1527" t="s">
        <v>1534</v>
      </c>
      <c r="B200" s="1521" t="s">
        <v>2199</v>
      </c>
      <c r="C200" s="2129"/>
      <c r="D200" s="2129"/>
      <c r="E200" s="2129"/>
      <c r="F200" s="2117">
        <v>0.05</v>
      </c>
    </row>
    <row r="201" spans="1:6" ht="24.75" thickBot="1">
      <c r="A201" s="1527" t="s">
        <v>1534</v>
      </c>
      <c r="B201" s="1521" t="s">
        <v>2200</v>
      </c>
      <c r="C201" s="2129"/>
      <c r="D201" s="2129"/>
      <c r="E201" s="2129"/>
      <c r="F201" s="2117">
        <v>0.05</v>
      </c>
    </row>
    <row r="202" spans="1:6" ht="24.75" thickBot="1">
      <c r="A202" s="1527" t="s">
        <v>1534</v>
      </c>
      <c r="B202" s="1521" t="s">
        <v>2201</v>
      </c>
      <c r="C202" s="2129"/>
      <c r="D202" s="2129"/>
      <c r="E202" s="2129"/>
      <c r="F202" s="2117">
        <v>0.05</v>
      </c>
    </row>
    <row r="203" spans="1:6" ht="24.75" thickBot="1">
      <c r="A203" s="1527" t="s">
        <v>1534</v>
      </c>
      <c r="B203" s="1521" t="s">
        <v>2202</v>
      </c>
      <c r="C203" s="2129"/>
      <c r="D203" s="2129"/>
      <c r="E203" s="2129"/>
      <c r="F203" s="2117">
        <v>0.05</v>
      </c>
    </row>
    <row r="204" spans="1:6" ht="14.25" thickBot="1">
      <c r="A204" s="1527" t="s">
        <v>1534</v>
      </c>
      <c r="B204" s="1521" t="s">
        <v>2203</v>
      </c>
      <c r="C204" s="2129"/>
      <c r="D204" s="2129"/>
      <c r="E204" s="2129"/>
      <c r="F204" s="2117">
        <v>0.05</v>
      </c>
    </row>
    <row r="205" spans="1:6" ht="14.25" thickBot="1">
      <c r="A205" s="1537" t="s">
        <v>1534</v>
      </c>
      <c r="B205" s="1533" t="s">
        <v>2204</v>
      </c>
      <c r="C205" s="2126"/>
      <c r="D205" s="2126"/>
      <c r="E205" s="2126"/>
      <c r="F205" s="2119">
        <v>0.05</v>
      </c>
    </row>
    <row r="206" spans="1:6" ht="14.25" thickBot="1">
      <c r="A206" s="1527" t="s">
        <v>1536</v>
      </c>
      <c r="B206" s="1528" t="s">
        <v>2205</v>
      </c>
      <c r="C206" s="2114">
        <v>0.15</v>
      </c>
      <c r="D206" s="2114">
        <v>0.15</v>
      </c>
      <c r="E206" s="2114">
        <v>0.15</v>
      </c>
      <c r="F206" s="2115">
        <v>0.15</v>
      </c>
    </row>
    <row r="207" spans="1:6" ht="14.25" thickBot="1">
      <c r="A207" s="1527" t="s">
        <v>1536</v>
      </c>
      <c r="B207" s="1521" t="s">
        <v>1202</v>
      </c>
      <c r="C207" s="2116">
        <v>0.15</v>
      </c>
      <c r="D207" s="2116">
        <v>0.15</v>
      </c>
      <c r="E207" s="2116">
        <v>0.15</v>
      </c>
      <c r="F207" s="2117">
        <v>0.14399999999999999</v>
      </c>
    </row>
    <row r="208" spans="1:6" ht="14.25" thickBot="1">
      <c r="A208" s="1527" t="s">
        <v>1536</v>
      </c>
      <c r="B208" s="1521" t="s">
        <v>1215</v>
      </c>
      <c r="C208" s="2116">
        <v>0.15</v>
      </c>
      <c r="D208" s="2116">
        <v>0.15</v>
      </c>
      <c r="E208" s="2116">
        <v>0.15</v>
      </c>
      <c r="F208" s="2117">
        <v>0.15</v>
      </c>
    </row>
    <row r="209" spans="1:6" ht="14.25" thickBot="1">
      <c r="A209" s="1527" t="s">
        <v>1536</v>
      </c>
      <c r="B209" s="1521" t="s">
        <v>1228</v>
      </c>
      <c r="C209" s="2116">
        <v>0.13700000000000001</v>
      </c>
      <c r="D209" s="2116">
        <v>0.13700000000000001</v>
      </c>
      <c r="E209" s="2116">
        <v>0.14000000000000001</v>
      </c>
      <c r="F209" s="2117">
        <v>0.11700000000000001</v>
      </c>
    </row>
    <row r="210" spans="1:6" ht="14.25" thickBot="1">
      <c r="A210" s="1527" t="s">
        <v>1536</v>
      </c>
      <c r="B210" s="1521" t="s">
        <v>2206</v>
      </c>
      <c r="C210" s="2116">
        <v>0.15</v>
      </c>
      <c r="D210" s="2116">
        <v>0.15</v>
      </c>
      <c r="E210" s="2116">
        <v>0.15</v>
      </c>
      <c r="F210" s="2117">
        <v>0.13800000000000001</v>
      </c>
    </row>
    <row r="211" spans="1:6" ht="14.25" thickBot="1">
      <c r="A211" s="1527" t="s">
        <v>1536</v>
      </c>
      <c r="B211" s="1521" t="s">
        <v>2207</v>
      </c>
      <c r="C211" s="2116">
        <v>0.13700000000000001</v>
      </c>
      <c r="D211" s="2116">
        <v>0.13500000000000001</v>
      </c>
      <c r="E211" s="2116">
        <v>0.13600000000000001</v>
      </c>
      <c r="F211" s="2117">
        <v>0.1</v>
      </c>
    </row>
    <row r="212" spans="1:6" ht="14.25" thickBot="1">
      <c r="A212" s="1527" t="s">
        <v>1536</v>
      </c>
      <c r="B212" s="1521" t="s">
        <v>2208</v>
      </c>
      <c r="C212" s="2116">
        <v>0.15</v>
      </c>
      <c r="D212" s="2116">
        <v>0.15</v>
      </c>
      <c r="E212" s="2116">
        <v>0.14799999999999999</v>
      </c>
      <c r="F212" s="2117">
        <v>0.13600000000000001</v>
      </c>
    </row>
    <row r="213" spans="1:6" ht="14.25" thickBot="1">
      <c r="A213" s="1527" t="s">
        <v>1536</v>
      </c>
      <c r="B213" s="1521" t="s">
        <v>1273</v>
      </c>
      <c r="C213" s="2116">
        <v>0.15</v>
      </c>
      <c r="D213" s="2116">
        <v>0.15</v>
      </c>
      <c r="E213" s="2116">
        <v>0.15</v>
      </c>
      <c r="F213" s="2117">
        <v>0.13800000000000001</v>
      </c>
    </row>
    <row r="214" spans="1:6" ht="14.25" thickBot="1">
      <c r="A214" s="1527" t="s">
        <v>1536</v>
      </c>
      <c r="B214" s="1521" t="s">
        <v>1285</v>
      </c>
      <c r="C214" s="2116">
        <v>9.0999999999999998E-2</v>
      </c>
      <c r="D214" s="2116">
        <v>0.09</v>
      </c>
      <c r="E214" s="2116">
        <v>9.1999999999999998E-2</v>
      </c>
      <c r="F214" s="2128"/>
    </row>
    <row r="215" spans="1:6" ht="14.25" thickBot="1">
      <c r="A215" s="1527" t="s">
        <v>1536</v>
      </c>
      <c r="B215" s="1521" t="s">
        <v>2209</v>
      </c>
      <c r="C215" s="2116">
        <v>0.15</v>
      </c>
      <c r="D215" s="2116">
        <v>0.15</v>
      </c>
      <c r="E215" s="2116">
        <v>0.15</v>
      </c>
      <c r="F215" s="2117">
        <v>0.15</v>
      </c>
    </row>
    <row r="216" spans="1:6" ht="14.25" thickBot="1">
      <c r="A216" s="1527" t="s">
        <v>1536</v>
      </c>
      <c r="B216" s="1521" t="s">
        <v>1305</v>
      </c>
      <c r="C216" s="2116">
        <v>0.14699999999999999</v>
      </c>
      <c r="D216" s="2116">
        <v>0.14699999999999999</v>
      </c>
      <c r="E216" s="2116">
        <v>0.15</v>
      </c>
      <c r="F216" s="2117">
        <v>0.14000000000000001</v>
      </c>
    </row>
    <row r="217" spans="1:6" ht="14.25" thickBot="1">
      <c r="A217" s="1527" t="s">
        <v>1536</v>
      </c>
      <c r="B217" s="1521" t="s">
        <v>1315</v>
      </c>
      <c r="C217" s="2116">
        <v>0.15</v>
      </c>
      <c r="D217" s="2116">
        <v>0.15</v>
      </c>
      <c r="E217" s="2116">
        <v>0.15</v>
      </c>
      <c r="F217" s="2117">
        <v>0.15</v>
      </c>
    </row>
    <row r="218" spans="1:6" ht="14.25" thickBot="1">
      <c r="A218" s="1527" t="s">
        <v>1536</v>
      </c>
      <c r="B218" s="1521" t="s">
        <v>2210</v>
      </c>
      <c r="C218" s="2116">
        <v>0.15</v>
      </c>
      <c r="D218" s="2116">
        <v>0.15</v>
      </c>
      <c r="E218" s="2116">
        <v>0.15</v>
      </c>
      <c r="F218" s="2117">
        <v>0.15</v>
      </c>
    </row>
    <row r="219" spans="1:6" ht="14.25" thickBot="1">
      <c r="A219" s="1527" t="s">
        <v>1536</v>
      </c>
      <c r="B219" s="1521" t="s">
        <v>1336</v>
      </c>
      <c r="C219" s="2116">
        <v>0.15</v>
      </c>
      <c r="D219" s="2116">
        <v>0.15</v>
      </c>
      <c r="E219" s="2116">
        <v>0.15</v>
      </c>
      <c r="F219" s="2117">
        <v>0.14799999999999999</v>
      </c>
    </row>
    <row r="220" spans="1:6" ht="14.25" thickBot="1">
      <c r="A220" s="1527" t="s">
        <v>1536</v>
      </c>
      <c r="B220" s="1521" t="s">
        <v>2211</v>
      </c>
      <c r="C220" s="2116">
        <v>0.15</v>
      </c>
      <c r="D220" s="2116">
        <v>0.15</v>
      </c>
      <c r="E220" s="2116">
        <v>0.15</v>
      </c>
      <c r="F220" s="2117">
        <v>0.15</v>
      </c>
    </row>
    <row r="221" spans="1:6" ht="14.25" thickBot="1">
      <c r="A221" s="1527" t="s">
        <v>1536</v>
      </c>
      <c r="B221" s="1521" t="s">
        <v>1357</v>
      </c>
      <c r="C221" s="2116"/>
      <c r="D221" s="2129"/>
      <c r="E221" s="2129"/>
      <c r="F221" s="2117">
        <v>0.14799999999999999</v>
      </c>
    </row>
    <row r="222" spans="1:6" ht="14.25" thickBot="1">
      <c r="A222" s="1527" t="s">
        <v>1536</v>
      </c>
      <c r="B222" s="1521" t="s">
        <v>1367</v>
      </c>
      <c r="C222" s="2116"/>
      <c r="D222" s="2129"/>
      <c r="E222" s="2129"/>
      <c r="F222" s="2117">
        <v>0.1</v>
      </c>
    </row>
    <row r="223" spans="1:6" ht="14.25" thickBot="1">
      <c r="A223" s="1527" t="s">
        <v>1536</v>
      </c>
      <c r="B223" s="1521" t="s">
        <v>1377</v>
      </c>
      <c r="C223" s="2116"/>
      <c r="D223" s="2129"/>
      <c r="E223" s="2129"/>
      <c r="F223" s="2117">
        <v>0.15</v>
      </c>
    </row>
    <row r="224" spans="1:6" ht="14.25" thickBot="1">
      <c r="A224" s="1527" t="s">
        <v>1536</v>
      </c>
      <c r="B224" s="1521" t="s">
        <v>1387</v>
      </c>
      <c r="C224" s="2116"/>
      <c r="D224" s="2129"/>
      <c r="E224" s="2129"/>
      <c r="F224" s="2117">
        <v>0.15</v>
      </c>
    </row>
    <row r="225" spans="1:6" ht="14.25" thickBot="1">
      <c r="A225" s="1527" t="s">
        <v>1536</v>
      </c>
      <c r="B225" s="1521" t="s">
        <v>2212</v>
      </c>
      <c r="C225" s="2116">
        <v>0.15</v>
      </c>
      <c r="D225" s="2116">
        <v>0.15</v>
      </c>
      <c r="E225" s="2116">
        <v>0.15</v>
      </c>
      <c r="F225" s="2117">
        <v>0.15</v>
      </c>
    </row>
    <row r="226" spans="1:6" ht="14.25" thickBot="1">
      <c r="A226" s="1527" t="s">
        <v>1536</v>
      </c>
      <c r="B226" s="1521" t="s">
        <v>1405</v>
      </c>
      <c r="C226" s="2116">
        <v>0.15</v>
      </c>
      <c r="D226" s="2116">
        <v>0.15</v>
      </c>
      <c r="E226" s="2116">
        <v>0.15</v>
      </c>
      <c r="F226" s="2117">
        <v>0.14799999999999999</v>
      </c>
    </row>
    <row r="227" spans="1:6" ht="14.25" thickBot="1">
      <c r="A227" s="1527" t="s">
        <v>1536</v>
      </c>
      <c r="B227" s="1521" t="s">
        <v>2213</v>
      </c>
      <c r="C227" s="2116">
        <v>0.15</v>
      </c>
      <c r="D227" s="2116">
        <v>0.15</v>
      </c>
      <c r="E227" s="2116">
        <v>0.15</v>
      </c>
      <c r="F227" s="2117">
        <v>0.15</v>
      </c>
    </row>
    <row r="228" spans="1:6" ht="14.25" thickBot="1">
      <c r="A228" s="1527" t="s">
        <v>1536</v>
      </c>
      <c r="B228" s="1521" t="s">
        <v>1420</v>
      </c>
      <c r="C228" s="2116">
        <v>0.15</v>
      </c>
      <c r="D228" s="2116">
        <v>0.15</v>
      </c>
      <c r="E228" s="2116">
        <v>0.15</v>
      </c>
      <c r="F228" s="2117">
        <v>0.15</v>
      </c>
    </row>
    <row r="229" spans="1:6" ht="14.25" thickBot="1">
      <c r="A229" s="1527" t="s">
        <v>1536</v>
      </c>
      <c r="B229" s="1521" t="s">
        <v>1427</v>
      </c>
      <c r="C229" s="2116">
        <v>0.15</v>
      </c>
      <c r="D229" s="2116">
        <v>0.15</v>
      </c>
      <c r="E229" s="2116">
        <v>0.15</v>
      </c>
      <c r="F229" s="2128"/>
    </row>
    <row r="230" spans="1:6" ht="14.25" thickBot="1">
      <c r="A230" s="1527" t="s">
        <v>1536</v>
      </c>
      <c r="B230" s="1521" t="s">
        <v>1434</v>
      </c>
      <c r="C230" s="2116">
        <v>0.14499999999999999</v>
      </c>
      <c r="D230" s="2116">
        <v>0.14499999999999999</v>
      </c>
      <c r="E230" s="2116">
        <v>0.14399999999999999</v>
      </c>
      <c r="F230" s="2128"/>
    </row>
    <row r="231" spans="1:6" ht="14.25" thickBot="1">
      <c r="A231" s="1527" t="s">
        <v>1536</v>
      </c>
      <c r="B231" s="1521" t="s">
        <v>2214</v>
      </c>
      <c r="C231" s="2116">
        <v>0.128</v>
      </c>
      <c r="D231" s="2116">
        <v>0.125</v>
      </c>
      <c r="E231" s="2116">
        <v>0.13200000000000001</v>
      </c>
      <c r="F231" s="2128"/>
    </row>
    <row r="232" spans="1:6" ht="14.25" thickBot="1">
      <c r="A232" s="1527" t="s">
        <v>1536</v>
      </c>
      <c r="B232" s="1521" t="s">
        <v>2215</v>
      </c>
      <c r="C232" s="2116">
        <v>0.14499999999999999</v>
      </c>
      <c r="D232" s="2116">
        <v>0.14399999999999999</v>
      </c>
      <c r="E232" s="2116">
        <v>0.14599999999999999</v>
      </c>
      <c r="F232" s="2117">
        <v>0.13800000000000001</v>
      </c>
    </row>
    <row r="233" spans="1:6" ht="14.25" thickBot="1">
      <c r="A233" s="1527" t="s">
        <v>1536</v>
      </c>
      <c r="B233" s="1521" t="s">
        <v>2216</v>
      </c>
      <c r="C233" s="2116">
        <v>0.14499999999999999</v>
      </c>
      <c r="D233" s="2116">
        <v>0.14299999999999999</v>
      </c>
      <c r="E233" s="2116">
        <v>0.14199999999999999</v>
      </c>
      <c r="F233" s="2128"/>
    </row>
    <row r="234" spans="1:6" ht="14.25" thickBot="1">
      <c r="A234" s="1527" t="s">
        <v>1536</v>
      </c>
      <c r="B234" s="1521" t="s">
        <v>2217</v>
      </c>
      <c r="C234" s="2116">
        <v>0.14000000000000001</v>
      </c>
      <c r="D234" s="2116">
        <v>0.14000000000000001</v>
      </c>
      <c r="E234" s="2116">
        <v>0.14399999999999999</v>
      </c>
      <c r="F234" s="2128"/>
    </row>
    <row r="235" spans="1:6" ht="14.25" thickBot="1">
      <c r="A235" s="1527" t="s">
        <v>1536</v>
      </c>
      <c r="B235" s="1521" t="s">
        <v>2218</v>
      </c>
      <c r="C235" s="2116">
        <v>0.14099999999999999</v>
      </c>
      <c r="D235" s="2116">
        <v>0.14199999999999999</v>
      </c>
      <c r="E235" s="2116">
        <v>0.14499999999999999</v>
      </c>
      <c r="F235" s="2117">
        <v>0.15</v>
      </c>
    </row>
    <row r="236" spans="1:6" ht="14.25" thickBot="1">
      <c r="A236" s="1527" t="s">
        <v>1536</v>
      </c>
      <c r="B236" s="1521" t="s">
        <v>1469</v>
      </c>
      <c r="C236" s="2129"/>
      <c r="D236" s="2129"/>
      <c r="E236" s="2129"/>
      <c r="F236" s="2117">
        <v>0.14299999999999999</v>
      </c>
    </row>
    <row r="237" spans="1:6" ht="24.75" thickBot="1">
      <c r="A237" s="1527" t="s">
        <v>1536</v>
      </c>
      <c r="B237" s="1521" t="s">
        <v>2219</v>
      </c>
      <c r="C237" s="2129"/>
      <c r="D237" s="2129"/>
      <c r="E237" s="2129"/>
      <c r="F237" s="2117">
        <v>0.05</v>
      </c>
    </row>
    <row r="238" spans="1:6" ht="24.75" thickBot="1">
      <c r="A238" s="1527" t="s">
        <v>1536</v>
      </c>
      <c r="B238" s="1521" t="s">
        <v>2220</v>
      </c>
      <c r="C238" s="2129"/>
      <c r="D238" s="2129"/>
      <c r="E238" s="2129"/>
      <c r="F238" s="2117">
        <v>0.05</v>
      </c>
    </row>
    <row r="239" spans="1:6" ht="24.75" thickBot="1">
      <c r="A239" s="1527" t="s">
        <v>1536</v>
      </c>
      <c r="B239" s="1521" t="s">
        <v>2221</v>
      </c>
      <c r="C239" s="2129"/>
      <c r="D239" s="2129"/>
      <c r="E239" s="2129"/>
      <c r="F239" s="2117">
        <v>0.05</v>
      </c>
    </row>
    <row r="240" spans="1:6" ht="24.75" thickBot="1">
      <c r="A240" s="1527" t="s">
        <v>1536</v>
      </c>
      <c r="B240" s="1521" t="s">
        <v>2222</v>
      </c>
      <c r="C240" s="2129"/>
      <c r="D240" s="2129"/>
      <c r="E240" s="2129"/>
      <c r="F240" s="2117">
        <v>0.05</v>
      </c>
    </row>
    <row r="241" spans="1:6" ht="24.75" thickBot="1">
      <c r="A241" s="1527" t="s">
        <v>1536</v>
      </c>
      <c r="B241" s="1521" t="s">
        <v>2223</v>
      </c>
      <c r="C241" s="2129"/>
      <c r="D241" s="2129"/>
      <c r="E241" s="2129"/>
      <c r="F241" s="2117">
        <v>0.05</v>
      </c>
    </row>
    <row r="242" spans="1:6" ht="24.75" thickBot="1">
      <c r="A242" s="1527" t="s">
        <v>1536</v>
      </c>
      <c r="B242" s="1521" t="s">
        <v>2224</v>
      </c>
      <c r="C242" s="2129"/>
      <c r="D242" s="2129"/>
      <c r="E242" s="2129"/>
      <c r="F242" s="2117">
        <v>0.05</v>
      </c>
    </row>
    <row r="243" spans="1:6" ht="24.75" thickBot="1">
      <c r="A243" s="1527" t="s">
        <v>1536</v>
      </c>
      <c r="B243" s="1521" t="s">
        <v>2225</v>
      </c>
      <c r="C243" s="2129"/>
      <c r="D243" s="2129"/>
      <c r="E243" s="2129"/>
      <c r="F243" s="2117">
        <v>0.05</v>
      </c>
    </row>
    <row r="244" spans="1:6" ht="24.75" thickBot="1">
      <c r="A244" s="1537" t="s">
        <v>1536</v>
      </c>
      <c r="B244" s="1533" t="s">
        <v>2226</v>
      </c>
      <c r="C244" s="2126"/>
      <c r="D244" s="2126"/>
      <c r="E244" s="2126"/>
      <c r="F244" s="2119">
        <v>0.05</v>
      </c>
    </row>
    <row r="245" spans="1:6" ht="14.25" thickBot="1">
      <c r="A245" s="1527" t="s">
        <v>1538</v>
      </c>
      <c r="B245" s="1528" t="s">
        <v>2227</v>
      </c>
      <c r="C245" s="2114">
        <v>0.15</v>
      </c>
      <c r="D245" s="2114">
        <v>0.15</v>
      </c>
      <c r="E245" s="2114">
        <v>0.15</v>
      </c>
      <c r="F245" s="2115">
        <v>0.14299999999999999</v>
      </c>
    </row>
    <row r="246" spans="1:6" ht="14.25" thickBot="1">
      <c r="A246" s="1527" t="s">
        <v>1538</v>
      </c>
      <c r="B246" s="1521" t="s">
        <v>1203</v>
      </c>
      <c r="C246" s="2116">
        <v>0.15</v>
      </c>
      <c r="D246" s="2116">
        <v>0.15</v>
      </c>
      <c r="E246" s="2116">
        <v>0.15</v>
      </c>
      <c r="F246" s="2117">
        <v>0.114</v>
      </c>
    </row>
    <row r="247" spans="1:6" ht="14.25" thickBot="1">
      <c r="A247" s="1527" t="s">
        <v>1538</v>
      </c>
      <c r="B247" s="1521" t="s">
        <v>2228</v>
      </c>
      <c r="C247" s="2116">
        <v>0.15</v>
      </c>
      <c r="D247" s="2116">
        <v>0.15</v>
      </c>
      <c r="E247" s="2116">
        <v>0.15</v>
      </c>
      <c r="F247" s="2117">
        <v>0.15</v>
      </c>
    </row>
    <row r="248" spans="1:6" ht="14.25" thickBot="1">
      <c r="A248" s="1527" t="s">
        <v>1538</v>
      </c>
      <c r="B248" s="1521" t="s">
        <v>2229</v>
      </c>
      <c r="C248" s="2116">
        <v>0.15</v>
      </c>
      <c r="D248" s="2116">
        <v>0.15</v>
      </c>
      <c r="E248" s="2116">
        <v>0.15</v>
      </c>
      <c r="F248" s="2117">
        <v>0.14000000000000001</v>
      </c>
    </row>
    <row r="249" spans="1:6" ht="14.25" thickBot="1">
      <c r="A249" s="1527" t="s">
        <v>1538</v>
      </c>
      <c r="B249" s="1521" t="s">
        <v>2230</v>
      </c>
      <c r="C249" s="2116">
        <v>0.15</v>
      </c>
      <c r="D249" s="2116">
        <v>0.14899999999999999</v>
      </c>
      <c r="E249" s="2116">
        <v>0.15</v>
      </c>
      <c r="F249" s="2117">
        <v>0.1</v>
      </c>
    </row>
    <row r="250" spans="1:6" ht="14.25" thickBot="1">
      <c r="A250" s="1527" t="s">
        <v>1538</v>
      </c>
      <c r="B250" s="1521" t="s">
        <v>2231</v>
      </c>
      <c r="C250" s="2116">
        <v>0.15</v>
      </c>
      <c r="D250" s="2116">
        <v>0.15</v>
      </c>
      <c r="E250" s="2116">
        <v>0.15</v>
      </c>
      <c r="F250" s="2117">
        <v>0.14399999999999999</v>
      </c>
    </row>
    <row r="251" spans="1:6" ht="14.25" thickBot="1">
      <c r="A251" s="1527" t="s">
        <v>1538</v>
      </c>
      <c r="B251" s="1521" t="s">
        <v>1263</v>
      </c>
      <c r="C251" s="2116">
        <v>0.15</v>
      </c>
      <c r="D251" s="2116">
        <v>0.15</v>
      </c>
      <c r="E251" s="2116">
        <v>0.15</v>
      </c>
      <c r="F251" s="2117">
        <v>0.14299999999999999</v>
      </c>
    </row>
    <row r="252" spans="1:6" ht="14.25" thickBot="1">
      <c r="A252" s="1527" t="s">
        <v>1538</v>
      </c>
      <c r="B252" s="1521" t="s">
        <v>1274</v>
      </c>
      <c r="C252" s="2116">
        <v>0.15</v>
      </c>
      <c r="D252" s="2116">
        <v>0.15</v>
      </c>
      <c r="E252" s="2116">
        <v>0.15</v>
      </c>
      <c r="F252" s="2117">
        <v>0.1</v>
      </c>
    </row>
    <row r="253" spans="1:6" ht="14.25" thickBot="1">
      <c r="A253" s="1527" t="s">
        <v>1538</v>
      </c>
      <c r="B253" s="1521" t="s">
        <v>1286</v>
      </c>
      <c r="C253" s="2116">
        <v>0.15</v>
      </c>
      <c r="D253" s="2116">
        <v>0.15</v>
      </c>
      <c r="E253" s="2116">
        <v>0.15</v>
      </c>
      <c r="F253" s="2117">
        <v>0.1</v>
      </c>
    </row>
    <row r="254" spans="1:6" ht="14.25" thickBot="1">
      <c r="A254" s="1527" t="s">
        <v>1538</v>
      </c>
      <c r="B254" s="1521" t="s">
        <v>1296</v>
      </c>
      <c r="C254" s="2129"/>
      <c r="D254" s="2129"/>
      <c r="E254" s="2129"/>
      <c r="F254" s="2117">
        <v>0.15</v>
      </c>
    </row>
    <row r="255" spans="1:6" ht="14.25" thickBot="1">
      <c r="A255" s="1527" t="s">
        <v>1538</v>
      </c>
      <c r="B255" s="1521" t="s">
        <v>1306</v>
      </c>
      <c r="C255" s="2129"/>
      <c r="D255" s="2129"/>
      <c r="E255" s="2129"/>
      <c r="F255" s="2117">
        <v>0.14299999999999999</v>
      </c>
    </row>
    <row r="256" spans="1:6" ht="14.25" thickBot="1">
      <c r="A256" s="1527" t="s">
        <v>1538</v>
      </c>
      <c r="B256" s="1521" t="s">
        <v>2232</v>
      </c>
      <c r="C256" s="2116">
        <v>0.14599999999999999</v>
      </c>
      <c r="D256" s="2116">
        <v>0.14699999999999999</v>
      </c>
      <c r="E256" s="2116">
        <v>0.15</v>
      </c>
      <c r="F256" s="2117">
        <v>0.13200000000000001</v>
      </c>
    </row>
    <row r="257" spans="1:6" ht="14.25" thickBot="1">
      <c r="A257" s="1527" t="s">
        <v>1538</v>
      </c>
      <c r="B257" s="1521" t="s">
        <v>1326</v>
      </c>
      <c r="C257" s="2116">
        <v>0.15</v>
      </c>
      <c r="D257" s="2116">
        <v>0.15</v>
      </c>
      <c r="E257" s="2116">
        <v>0.15</v>
      </c>
      <c r="F257" s="2117">
        <v>0.13900000000000001</v>
      </c>
    </row>
    <row r="258" spans="1:6" ht="14.25" thickBot="1">
      <c r="A258" s="1527" t="s">
        <v>1538</v>
      </c>
      <c r="B258" s="1521" t="s">
        <v>1337</v>
      </c>
      <c r="C258" s="2116">
        <v>0.15</v>
      </c>
      <c r="D258" s="2116">
        <v>0.15</v>
      </c>
      <c r="E258" s="2116">
        <v>0.15</v>
      </c>
      <c r="F258" s="2117">
        <v>0.13</v>
      </c>
    </row>
    <row r="259" spans="1:6" ht="14.25" thickBot="1">
      <c r="A259" s="1527" t="s">
        <v>1538</v>
      </c>
      <c r="B259" s="1521" t="s">
        <v>2233</v>
      </c>
      <c r="C259" s="2116">
        <v>0.14799999999999999</v>
      </c>
      <c r="D259" s="2116">
        <v>0.14899999999999999</v>
      </c>
      <c r="E259" s="2116">
        <v>0.15</v>
      </c>
      <c r="F259" s="2117">
        <v>0.13700000000000001</v>
      </c>
    </row>
    <row r="260" spans="1:6" ht="14.25" thickBot="1">
      <c r="A260" s="1527" t="s">
        <v>1538</v>
      </c>
      <c r="B260" s="1521" t="s">
        <v>1358</v>
      </c>
      <c r="C260" s="2116">
        <v>0.15</v>
      </c>
      <c r="D260" s="2116">
        <v>0.15</v>
      </c>
      <c r="E260" s="2116">
        <v>0.15</v>
      </c>
      <c r="F260" s="2117">
        <v>0.14199999999999999</v>
      </c>
    </row>
    <row r="261" spans="1:6" ht="14.25" thickBot="1">
      <c r="A261" s="1527" t="s">
        <v>1538</v>
      </c>
      <c r="B261" s="1521" t="s">
        <v>1368</v>
      </c>
      <c r="C261" s="2116">
        <v>0.15</v>
      </c>
      <c r="D261" s="2116">
        <v>0.15</v>
      </c>
      <c r="E261" s="2116">
        <v>0.14899999999999999</v>
      </c>
      <c r="F261" s="2117">
        <v>0.14799999999999999</v>
      </c>
    </row>
    <row r="262" spans="1:6" ht="14.25" thickBot="1">
      <c r="A262" s="1527" t="s">
        <v>1538</v>
      </c>
      <c r="B262" s="1521" t="s">
        <v>1378</v>
      </c>
      <c r="C262" s="2116">
        <v>0.15</v>
      </c>
      <c r="D262" s="2116">
        <v>0.15</v>
      </c>
      <c r="E262" s="2116">
        <v>0.15</v>
      </c>
      <c r="F262" s="2128"/>
    </row>
    <row r="263" spans="1:6" ht="14.25" thickBot="1">
      <c r="A263" s="1527" t="s">
        <v>1538</v>
      </c>
      <c r="B263" s="1521" t="s">
        <v>2234</v>
      </c>
      <c r="C263" s="2116">
        <v>0.14899999999999999</v>
      </c>
      <c r="D263" s="2116">
        <v>0.14899999999999999</v>
      </c>
      <c r="E263" s="2116">
        <v>0.15</v>
      </c>
      <c r="F263" s="2117">
        <v>0.13</v>
      </c>
    </row>
    <row r="264" spans="1:6" ht="14.25" thickBot="1">
      <c r="A264" s="1527" t="s">
        <v>1538</v>
      </c>
      <c r="B264" s="1521" t="s">
        <v>1397</v>
      </c>
      <c r="C264" s="2116">
        <v>0.14799999999999999</v>
      </c>
      <c r="D264" s="2116">
        <v>0.14699999999999999</v>
      </c>
      <c r="E264" s="2116">
        <v>0.15</v>
      </c>
      <c r="F264" s="2117">
        <v>7.8E-2</v>
      </c>
    </row>
    <row r="265" spans="1:6" ht="14.25" thickBot="1">
      <c r="A265" s="1527" t="s">
        <v>1538</v>
      </c>
      <c r="B265" s="1521" t="s">
        <v>1406</v>
      </c>
      <c r="C265" s="2116">
        <v>0.15</v>
      </c>
      <c r="D265" s="2116">
        <v>0.15</v>
      </c>
      <c r="E265" s="2116">
        <v>0.15</v>
      </c>
      <c r="F265" s="2117">
        <v>7.3999999999999996E-2</v>
      </c>
    </row>
    <row r="266" spans="1:6" ht="14.25" thickBot="1">
      <c r="A266" s="1527" t="s">
        <v>1538</v>
      </c>
      <c r="B266" s="1521" t="s">
        <v>1414</v>
      </c>
      <c r="C266" s="2116">
        <v>0.14699999999999999</v>
      </c>
      <c r="D266" s="2116">
        <v>0.14699999999999999</v>
      </c>
      <c r="E266" s="2116">
        <v>0.15</v>
      </c>
      <c r="F266" s="2117">
        <v>0.14299999999999999</v>
      </c>
    </row>
    <row r="267" spans="1:6" ht="14.25" thickBot="1">
      <c r="A267" s="1527" t="s">
        <v>1538</v>
      </c>
      <c r="B267" s="1521" t="s">
        <v>1421</v>
      </c>
      <c r="C267" s="2116">
        <v>0.14199999999999999</v>
      </c>
      <c r="D267" s="2116">
        <v>0.14299999999999999</v>
      </c>
      <c r="E267" s="2116">
        <v>0.15</v>
      </c>
      <c r="F267" s="2128"/>
    </row>
    <row r="268" spans="1:6" ht="14.25" thickBot="1">
      <c r="A268" s="1527" t="s">
        <v>1538</v>
      </c>
      <c r="B268" s="1521" t="s">
        <v>2235</v>
      </c>
      <c r="C268" s="2116">
        <v>0.15</v>
      </c>
      <c r="D268" s="2116">
        <v>0.15</v>
      </c>
      <c r="E268" s="2116">
        <v>0.15</v>
      </c>
      <c r="F268" s="2117">
        <v>0.13</v>
      </c>
    </row>
    <row r="269" spans="1:6" ht="14.25" thickBot="1">
      <c r="A269" s="1527" t="s">
        <v>1538</v>
      </c>
      <c r="B269" s="1521" t="s">
        <v>1435</v>
      </c>
      <c r="C269" s="2116">
        <v>0.15</v>
      </c>
      <c r="D269" s="2116">
        <v>0.15</v>
      </c>
      <c r="E269" s="2116">
        <v>0.15</v>
      </c>
      <c r="F269" s="2117">
        <v>0.14299999999999999</v>
      </c>
    </row>
    <row r="270" spans="1:6" ht="14.25" thickBot="1">
      <c r="A270" s="1527" t="s">
        <v>1538</v>
      </c>
      <c r="B270" s="1521" t="s">
        <v>1442</v>
      </c>
      <c r="C270" s="2116">
        <v>0.14499999999999999</v>
      </c>
      <c r="D270" s="2116">
        <v>0.14499999999999999</v>
      </c>
      <c r="E270" s="2116">
        <v>0.15</v>
      </c>
      <c r="F270" s="2117">
        <v>0.14699999999999999</v>
      </c>
    </row>
    <row r="271" spans="1:6" ht="14.25" thickBot="1">
      <c r="A271" s="1527" t="s">
        <v>1538</v>
      </c>
      <c r="B271" s="1521" t="s">
        <v>1449</v>
      </c>
      <c r="C271" s="2116">
        <v>0.15</v>
      </c>
      <c r="D271" s="2116">
        <v>0.15</v>
      </c>
      <c r="E271" s="2116">
        <v>0.15</v>
      </c>
      <c r="F271" s="2117">
        <v>0.13800000000000001</v>
      </c>
    </row>
    <row r="272" spans="1:6" ht="14.25" thickBot="1">
      <c r="A272" s="1527" t="s">
        <v>1538</v>
      </c>
      <c r="B272" s="1521" t="s">
        <v>1456</v>
      </c>
      <c r="C272" s="2129"/>
      <c r="D272" s="2129"/>
      <c r="E272" s="2129"/>
      <c r="F272" s="2117">
        <v>0.14000000000000001</v>
      </c>
    </row>
    <row r="273" spans="1:6" ht="14.25" thickBot="1">
      <c r="A273" s="1527" t="s">
        <v>1538</v>
      </c>
      <c r="B273" s="1521" t="s">
        <v>2236</v>
      </c>
      <c r="C273" s="2116">
        <v>0.14199999999999999</v>
      </c>
      <c r="D273" s="2116">
        <v>0.14299999999999999</v>
      </c>
      <c r="E273" s="2116">
        <v>0.15</v>
      </c>
      <c r="F273" s="2117">
        <v>0.1</v>
      </c>
    </row>
    <row r="274" spans="1:6" ht="14.25" thickBot="1">
      <c r="A274" s="1527" t="s">
        <v>1538</v>
      </c>
      <c r="B274" s="1521" t="s">
        <v>2237</v>
      </c>
      <c r="C274" s="2116">
        <v>0.14799999999999999</v>
      </c>
      <c r="D274" s="2116">
        <v>0.14799999999999999</v>
      </c>
      <c r="E274" s="2116">
        <v>0.15</v>
      </c>
      <c r="F274" s="2117">
        <v>6.7000000000000004E-2</v>
      </c>
    </row>
    <row r="275" spans="1:6" ht="14.25" thickBot="1">
      <c r="A275" s="1527" t="s">
        <v>1538</v>
      </c>
      <c r="B275" s="1521" t="s">
        <v>2238</v>
      </c>
      <c r="C275" s="2116">
        <v>0.15</v>
      </c>
      <c r="D275" s="2116">
        <v>0.15</v>
      </c>
      <c r="E275" s="2116">
        <v>0.15</v>
      </c>
      <c r="F275" s="2117">
        <v>0.15</v>
      </c>
    </row>
    <row r="276" spans="1:6" ht="14.25" thickBot="1">
      <c r="A276" s="1527" t="s">
        <v>1538</v>
      </c>
      <c r="B276" s="1521" t="s">
        <v>2239</v>
      </c>
      <c r="C276" s="2116">
        <v>0.14499999999999999</v>
      </c>
      <c r="D276" s="2116">
        <v>0.14299999999999999</v>
      </c>
      <c r="E276" s="2116">
        <v>0.15</v>
      </c>
      <c r="F276" s="2117">
        <v>5.8999999999999997E-2</v>
      </c>
    </row>
    <row r="277" spans="1:6" ht="14.25" thickBot="1">
      <c r="A277" s="1527" t="s">
        <v>1538</v>
      </c>
      <c r="B277" s="1521" t="s">
        <v>2240</v>
      </c>
      <c r="C277" s="2116">
        <v>0.15</v>
      </c>
      <c r="D277" s="2116">
        <v>0.15</v>
      </c>
      <c r="E277" s="2116">
        <v>0.15</v>
      </c>
      <c r="F277" s="2117">
        <v>0.121</v>
      </c>
    </row>
    <row r="278" spans="1:6" ht="14.25" thickBot="1">
      <c r="A278" s="1527" t="s">
        <v>1538</v>
      </c>
      <c r="B278" s="1521" t="s">
        <v>2241</v>
      </c>
      <c r="C278" s="2116">
        <v>0.15</v>
      </c>
      <c r="D278" s="2116">
        <v>0.15</v>
      </c>
      <c r="E278" s="2116">
        <v>0.15</v>
      </c>
      <c r="F278" s="2117">
        <v>0.13800000000000001</v>
      </c>
    </row>
    <row r="279" spans="1:6" ht="24.75" thickBot="1">
      <c r="A279" s="1527" t="s">
        <v>1538</v>
      </c>
      <c r="B279" s="1521" t="s">
        <v>2242</v>
      </c>
      <c r="C279" s="2129"/>
      <c r="D279" s="2129"/>
      <c r="E279" s="2129"/>
      <c r="F279" s="2117">
        <v>0.05</v>
      </c>
    </row>
    <row r="280" spans="1:6" ht="24.75" thickBot="1">
      <c r="A280" s="1527" t="s">
        <v>1538</v>
      </c>
      <c r="B280" s="1521" t="s">
        <v>2243</v>
      </c>
      <c r="C280" s="2129"/>
      <c r="D280" s="2129"/>
      <c r="E280" s="2129"/>
      <c r="F280" s="2117">
        <v>0.05</v>
      </c>
    </row>
    <row r="281" spans="1:6" ht="24.75" thickBot="1">
      <c r="A281" s="1527" t="s">
        <v>1538</v>
      </c>
      <c r="B281" s="1521" t="s">
        <v>2244</v>
      </c>
      <c r="C281" s="2129"/>
      <c r="D281" s="2129"/>
      <c r="E281" s="2129"/>
      <c r="F281" s="2117">
        <v>0.05</v>
      </c>
    </row>
    <row r="282" spans="1:6" ht="24.75" thickBot="1">
      <c r="A282" s="1527" t="s">
        <v>1538</v>
      </c>
      <c r="B282" s="1521" t="s">
        <v>2245</v>
      </c>
      <c r="C282" s="2129"/>
      <c r="D282" s="2129"/>
      <c r="E282" s="2129"/>
      <c r="F282" s="2117">
        <v>0.05</v>
      </c>
    </row>
    <row r="283" spans="1:6" ht="24.75" thickBot="1">
      <c r="A283" s="1527" t="s">
        <v>1538</v>
      </c>
      <c r="B283" s="1521" t="s">
        <v>2246</v>
      </c>
      <c r="C283" s="2129"/>
      <c r="D283" s="2129"/>
      <c r="E283" s="2129"/>
      <c r="F283" s="2117">
        <v>0.05</v>
      </c>
    </row>
    <row r="284" spans="1:6" ht="24.75" thickBot="1">
      <c r="A284" s="1527" t="s">
        <v>1538</v>
      </c>
      <c r="B284" s="1521" t="s">
        <v>2247</v>
      </c>
      <c r="C284" s="2129"/>
      <c r="D284" s="2129"/>
      <c r="E284" s="2129"/>
      <c r="F284" s="2117">
        <v>0.05</v>
      </c>
    </row>
    <row r="285" spans="1:6" ht="24.75" thickBot="1">
      <c r="A285" s="1527" t="s">
        <v>1538</v>
      </c>
      <c r="B285" s="1521" t="s">
        <v>2248</v>
      </c>
      <c r="C285" s="2129"/>
      <c r="D285" s="2129"/>
      <c r="E285" s="2129"/>
      <c r="F285" s="2117">
        <v>0.05</v>
      </c>
    </row>
    <row r="286" spans="1:6" ht="24.75" thickBot="1">
      <c r="A286" s="1527" t="s">
        <v>1538</v>
      </c>
      <c r="B286" s="1521" t="s">
        <v>2249</v>
      </c>
      <c r="C286" s="2129"/>
      <c r="D286" s="2129"/>
      <c r="E286" s="2129"/>
      <c r="F286" s="2117">
        <v>0.05</v>
      </c>
    </row>
    <row r="287" spans="1:6" ht="24.75" thickBot="1">
      <c r="A287" s="1527" t="s">
        <v>1538</v>
      </c>
      <c r="B287" s="1521" t="s">
        <v>2250</v>
      </c>
      <c r="C287" s="2129"/>
      <c r="D287" s="2129"/>
      <c r="E287" s="2129"/>
      <c r="F287" s="2117">
        <v>0.05</v>
      </c>
    </row>
    <row r="288" spans="1:6" ht="24.75" thickBot="1">
      <c r="A288" s="1527" t="s">
        <v>1538</v>
      </c>
      <c r="B288" s="1521" t="s">
        <v>2251</v>
      </c>
      <c r="C288" s="2129"/>
      <c r="D288" s="2129"/>
      <c r="E288" s="2129"/>
      <c r="F288" s="2117">
        <v>0.05</v>
      </c>
    </row>
    <row r="289" spans="1:6" ht="24.75" thickBot="1">
      <c r="A289" s="1537" t="s">
        <v>1538</v>
      </c>
      <c r="B289" s="1533" t="s">
        <v>2252</v>
      </c>
      <c r="C289" s="2126"/>
      <c r="D289" s="2126"/>
      <c r="E289" s="2126"/>
      <c r="F289" s="2119">
        <v>0.05</v>
      </c>
    </row>
    <row r="290" spans="1:6" ht="14.25" thickBot="1">
      <c r="A290" s="1527" t="s">
        <v>1542</v>
      </c>
      <c r="B290" s="1528" t="s">
        <v>2253</v>
      </c>
      <c r="C290" s="2114">
        <v>0.15</v>
      </c>
      <c r="D290" s="2114">
        <v>0.15</v>
      </c>
      <c r="E290" s="2114">
        <v>0.15</v>
      </c>
      <c r="F290" s="2131"/>
    </row>
    <row r="291" spans="1:6" ht="14.25" thickBot="1">
      <c r="A291" s="1527" t="s">
        <v>1542</v>
      </c>
      <c r="B291" s="1521" t="s">
        <v>1204</v>
      </c>
      <c r="C291" s="2116">
        <v>0.15</v>
      </c>
      <c r="D291" s="2116">
        <v>0.15</v>
      </c>
      <c r="E291" s="2116">
        <v>0.15</v>
      </c>
      <c r="F291" s="2128"/>
    </row>
    <row r="292" spans="1:6" ht="14.25" thickBot="1">
      <c r="A292" s="1527" t="s">
        <v>1542</v>
      </c>
      <c r="B292" s="1521" t="s">
        <v>2254</v>
      </c>
      <c r="C292" s="2116">
        <v>0.15</v>
      </c>
      <c r="D292" s="2116">
        <v>0.15</v>
      </c>
      <c r="E292" s="2116">
        <v>0.15</v>
      </c>
      <c r="F292" s="2117">
        <v>0.14699999999999999</v>
      </c>
    </row>
    <row r="293" spans="1:6" ht="14.25" thickBot="1">
      <c r="A293" s="1527" t="s">
        <v>1542</v>
      </c>
      <c r="B293" s="1521" t="s">
        <v>2255</v>
      </c>
      <c r="C293" s="2129"/>
      <c r="D293" s="2129"/>
      <c r="E293" s="2129"/>
      <c r="F293" s="2117">
        <v>0.1</v>
      </c>
    </row>
    <row r="294" spans="1:6" ht="14.25" thickBot="1">
      <c r="A294" s="1527" t="s">
        <v>1542</v>
      </c>
      <c r="B294" s="1521" t="s">
        <v>2256</v>
      </c>
      <c r="C294" s="2116">
        <v>0.15</v>
      </c>
      <c r="D294" s="2116">
        <v>0.15</v>
      </c>
      <c r="E294" s="2116">
        <v>0.15</v>
      </c>
      <c r="F294" s="2117">
        <v>0.15</v>
      </c>
    </row>
    <row r="295" spans="1:6" ht="14.25" thickBot="1">
      <c r="A295" s="1527" t="s">
        <v>1542</v>
      </c>
      <c r="B295" s="1521" t="s">
        <v>1242</v>
      </c>
      <c r="C295" s="2116">
        <v>0.15</v>
      </c>
      <c r="D295" s="2116">
        <v>0.15</v>
      </c>
      <c r="E295" s="2116">
        <v>0.15</v>
      </c>
      <c r="F295" s="2117">
        <v>0.15</v>
      </c>
    </row>
    <row r="296" spans="1:6" ht="14.25" thickBot="1">
      <c r="A296" s="1527" t="s">
        <v>1542</v>
      </c>
      <c r="B296" s="1521" t="s">
        <v>2257</v>
      </c>
      <c r="C296" s="2116">
        <v>0.15</v>
      </c>
      <c r="D296" s="2116">
        <v>0.15</v>
      </c>
      <c r="E296" s="2116">
        <v>0.15</v>
      </c>
      <c r="F296" s="2117">
        <v>0.15</v>
      </c>
    </row>
    <row r="297" spans="1:6" ht="14.25" thickBot="1">
      <c r="A297" s="1527" t="s">
        <v>1542</v>
      </c>
      <c r="B297" s="1521" t="s">
        <v>2258</v>
      </c>
      <c r="C297" s="2116">
        <v>0.14799999999999999</v>
      </c>
      <c r="D297" s="2116">
        <v>0.14899999999999999</v>
      </c>
      <c r="E297" s="2116">
        <v>0.15</v>
      </c>
      <c r="F297" s="2117">
        <v>0.13700000000000001</v>
      </c>
    </row>
    <row r="298" spans="1:6" ht="14.25" thickBot="1">
      <c r="A298" s="1527" t="s">
        <v>1542</v>
      </c>
      <c r="B298" s="1521" t="s">
        <v>1275</v>
      </c>
      <c r="C298" s="2116">
        <v>0.13400000000000001</v>
      </c>
      <c r="D298" s="2116">
        <v>0.13400000000000001</v>
      </c>
      <c r="E298" s="2116">
        <v>0.14499999999999999</v>
      </c>
      <c r="F298" s="2117">
        <v>0.14799999999999999</v>
      </c>
    </row>
    <row r="299" spans="1:6" ht="14.25" thickBot="1">
      <c r="A299" s="1527" t="s">
        <v>1542</v>
      </c>
      <c r="B299" s="1521" t="s">
        <v>1287</v>
      </c>
      <c r="C299" s="2116">
        <v>0.15</v>
      </c>
      <c r="D299" s="2116">
        <v>0.15</v>
      </c>
      <c r="E299" s="2116">
        <v>0.15</v>
      </c>
      <c r="F299" s="2128"/>
    </row>
    <row r="300" spans="1:6" ht="14.25" thickBot="1">
      <c r="A300" s="1527" t="s">
        <v>1542</v>
      </c>
      <c r="B300" s="1521" t="s">
        <v>2259</v>
      </c>
      <c r="C300" s="2116">
        <v>0.15</v>
      </c>
      <c r="D300" s="2116">
        <v>0.15</v>
      </c>
      <c r="E300" s="2116">
        <v>0.15</v>
      </c>
      <c r="F300" s="2117">
        <v>0.15</v>
      </c>
    </row>
    <row r="301" spans="1:6" ht="14.25" thickBot="1">
      <c r="A301" s="1527" t="s">
        <v>1542</v>
      </c>
      <c r="B301" s="1521" t="s">
        <v>1307</v>
      </c>
      <c r="C301" s="2116">
        <v>0.15</v>
      </c>
      <c r="D301" s="2116">
        <v>0.15</v>
      </c>
      <c r="E301" s="2116">
        <v>0.15</v>
      </c>
      <c r="F301" s="2128"/>
    </row>
    <row r="302" spans="1:6" ht="14.25" thickBot="1">
      <c r="A302" s="1527" t="s">
        <v>1542</v>
      </c>
      <c r="B302" s="1521" t="s">
        <v>2260</v>
      </c>
      <c r="C302" s="2116">
        <v>0.15</v>
      </c>
      <c r="D302" s="2116">
        <v>0.15</v>
      </c>
      <c r="E302" s="2116">
        <v>0.15</v>
      </c>
      <c r="F302" s="2117">
        <v>0.15</v>
      </c>
    </row>
    <row r="303" spans="1:6" ht="14.25" thickBot="1">
      <c r="A303" s="1527" t="s">
        <v>1542</v>
      </c>
      <c r="B303" s="1521" t="s">
        <v>1327</v>
      </c>
      <c r="C303" s="2116">
        <v>0.15</v>
      </c>
      <c r="D303" s="2116">
        <v>0.15</v>
      </c>
      <c r="E303" s="2116">
        <v>0.15</v>
      </c>
      <c r="F303" s="2117">
        <v>0.15</v>
      </c>
    </row>
    <row r="304" spans="1:6" ht="14.25" thickBot="1">
      <c r="A304" s="1527" t="s">
        <v>1542</v>
      </c>
      <c r="B304" s="1521" t="s">
        <v>1338</v>
      </c>
      <c r="C304" s="2116">
        <v>0.15</v>
      </c>
      <c r="D304" s="2116">
        <v>0.15</v>
      </c>
      <c r="E304" s="2116">
        <v>0.15</v>
      </c>
      <c r="F304" s="2128"/>
    </row>
    <row r="305" spans="1:6" ht="14.25" thickBot="1">
      <c r="A305" s="1527" t="s">
        <v>1542</v>
      </c>
      <c r="B305" s="1521" t="s">
        <v>2261</v>
      </c>
      <c r="C305" s="2116">
        <v>0.15</v>
      </c>
      <c r="D305" s="2116">
        <v>0.15</v>
      </c>
      <c r="E305" s="2116">
        <v>0.15</v>
      </c>
      <c r="F305" s="2117">
        <v>0.14000000000000001</v>
      </c>
    </row>
    <row r="306" spans="1:6" ht="14.25" thickBot="1">
      <c r="A306" s="1527" t="s">
        <v>1542</v>
      </c>
      <c r="B306" s="1521" t="s">
        <v>1359</v>
      </c>
      <c r="C306" s="2116">
        <v>0.15</v>
      </c>
      <c r="D306" s="2116">
        <v>0.15</v>
      </c>
      <c r="E306" s="2116">
        <v>0.15</v>
      </c>
      <c r="F306" s="2128"/>
    </row>
    <row r="307" spans="1:6" ht="14.25" thickBot="1">
      <c r="A307" s="1527" t="s">
        <v>1542</v>
      </c>
      <c r="B307" s="1521" t="s">
        <v>2262</v>
      </c>
      <c r="C307" s="2116">
        <v>0.15</v>
      </c>
      <c r="D307" s="2116">
        <v>0.15</v>
      </c>
      <c r="E307" s="2116">
        <v>0.15</v>
      </c>
      <c r="F307" s="2117">
        <v>0.14299999999999999</v>
      </c>
    </row>
    <row r="308" spans="1:6" ht="14.25" thickBot="1">
      <c r="A308" s="1527" t="s">
        <v>1542</v>
      </c>
      <c r="B308" s="1521" t="s">
        <v>1379</v>
      </c>
      <c r="C308" s="2116">
        <v>0.15</v>
      </c>
      <c r="D308" s="2116">
        <v>0.15</v>
      </c>
      <c r="E308" s="2116">
        <v>0.15</v>
      </c>
      <c r="F308" s="2117">
        <v>0.15</v>
      </c>
    </row>
    <row r="309" spans="1:6" ht="14.25" thickBot="1">
      <c r="A309" s="1527" t="s">
        <v>1542</v>
      </c>
      <c r="B309" s="1521" t="s">
        <v>1389</v>
      </c>
      <c r="C309" s="2116">
        <v>0.15</v>
      </c>
      <c r="D309" s="2116">
        <v>0.15</v>
      </c>
      <c r="E309" s="2116">
        <v>0.15</v>
      </c>
      <c r="F309" s="2128"/>
    </row>
    <row r="310" spans="1:6" ht="14.25" thickBot="1">
      <c r="A310" s="1527" t="s">
        <v>1542</v>
      </c>
      <c r="B310" s="1521" t="s">
        <v>2263</v>
      </c>
      <c r="C310" s="2116">
        <v>0.15</v>
      </c>
      <c r="D310" s="2116">
        <v>0.15</v>
      </c>
      <c r="E310" s="2116">
        <v>0.15</v>
      </c>
      <c r="F310" s="2117">
        <v>0.13700000000000001</v>
      </c>
    </row>
    <row r="311" spans="1:6" ht="14.25" thickBot="1">
      <c r="A311" s="1527" t="s">
        <v>1542</v>
      </c>
      <c r="B311" s="1521" t="s">
        <v>2264</v>
      </c>
      <c r="C311" s="2116">
        <v>0.15</v>
      </c>
      <c r="D311" s="2116">
        <v>0.15</v>
      </c>
      <c r="E311" s="2116">
        <v>0.15</v>
      </c>
      <c r="F311" s="2117">
        <v>0.15</v>
      </c>
    </row>
    <row r="312" spans="1:6" ht="14.25" thickBot="1">
      <c r="A312" s="1527" t="s">
        <v>1542</v>
      </c>
      <c r="B312" s="1521" t="s">
        <v>1415</v>
      </c>
      <c r="C312" s="2116">
        <v>0.15</v>
      </c>
      <c r="D312" s="2116">
        <v>0.15</v>
      </c>
      <c r="E312" s="2116">
        <v>0.15</v>
      </c>
      <c r="F312" s="2117">
        <v>0.1</v>
      </c>
    </row>
    <row r="313" spans="1:6" ht="14.25" thickBot="1">
      <c r="A313" s="1527" t="s">
        <v>1542</v>
      </c>
      <c r="B313" s="1521" t="s">
        <v>2265</v>
      </c>
      <c r="C313" s="2116">
        <v>0.15</v>
      </c>
      <c r="D313" s="2116">
        <v>0.15</v>
      </c>
      <c r="E313" s="2116">
        <v>0.15</v>
      </c>
      <c r="F313" s="2117">
        <v>0.15</v>
      </c>
    </row>
    <row r="314" spans="1:6" ht="24.75" thickBot="1">
      <c r="A314" s="1527" t="s">
        <v>1542</v>
      </c>
      <c r="B314" s="1521" t="s">
        <v>2266</v>
      </c>
      <c r="C314" s="2129"/>
      <c r="D314" s="2129"/>
      <c r="E314" s="2129"/>
      <c r="F314" s="2117">
        <v>0.05</v>
      </c>
    </row>
    <row r="315" spans="1:6" ht="24.75" thickBot="1">
      <c r="A315" s="1527" t="s">
        <v>1542</v>
      </c>
      <c r="B315" s="1521" t="s">
        <v>2267</v>
      </c>
      <c r="C315" s="2129"/>
      <c r="D315" s="2129"/>
      <c r="E315" s="2129"/>
      <c r="F315" s="2117">
        <v>0.05</v>
      </c>
    </row>
    <row r="316" spans="1:6" ht="24.75" thickBot="1">
      <c r="A316" s="1537" t="s">
        <v>1542</v>
      </c>
      <c r="B316" s="1533" t="s">
        <v>2268</v>
      </c>
      <c r="C316" s="2126"/>
      <c r="D316" s="2126"/>
      <c r="E316" s="2126"/>
      <c r="F316" s="2119">
        <v>0.05</v>
      </c>
    </row>
    <row r="317" spans="1:6" ht="14.25" thickBot="1">
      <c r="A317" s="1527" t="s">
        <v>2269</v>
      </c>
      <c r="B317" s="1528" t="s">
        <v>2270</v>
      </c>
      <c r="C317" s="2114">
        <v>0.15</v>
      </c>
      <c r="D317" s="2114">
        <v>0.15</v>
      </c>
      <c r="E317" s="2114">
        <v>0.15</v>
      </c>
      <c r="F317" s="2115">
        <v>0.15</v>
      </c>
    </row>
    <row r="318" spans="1:6" ht="14.25" thickBot="1">
      <c r="A318" s="1527" t="s">
        <v>2269</v>
      </c>
      <c r="B318" s="1521" t="s">
        <v>2271</v>
      </c>
      <c r="C318" s="2116">
        <v>0.107</v>
      </c>
      <c r="D318" s="2116">
        <v>0.11</v>
      </c>
      <c r="E318" s="2116">
        <v>0.112</v>
      </c>
      <c r="F318" s="2128"/>
    </row>
    <row r="319" spans="1:6" ht="14.25" thickBot="1">
      <c r="A319" s="1527" t="s">
        <v>2269</v>
      </c>
      <c r="B319" s="1521" t="s">
        <v>2272</v>
      </c>
      <c r="C319" s="2116">
        <v>0.15</v>
      </c>
      <c r="D319" s="2116">
        <v>0.15</v>
      </c>
      <c r="E319" s="2116">
        <v>0.15</v>
      </c>
      <c r="F319" s="2117">
        <v>0.15</v>
      </c>
    </row>
    <row r="320" spans="1:6" ht="14.25" thickBot="1">
      <c r="A320" s="1527" t="s">
        <v>2269</v>
      </c>
      <c r="B320" s="1521" t="s">
        <v>1231</v>
      </c>
      <c r="C320" s="2116">
        <v>0.15</v>
      </c>
      <c r="D320" s="2116">
        <v>0.15</v>
      </c>
      <c r="E320" s="2116">
        <v>0.15</v>
      </c>
      <c r="F320" s="2128"/>
    </row>
    <row r="321" spans="1:6" ht="14.25" thickBot="1">
      <c r="A321" s="1527" t="s">
        <v>2269</v>
      </c>
      <c r="B321" s="1521" t="s">
        <v>2273</v>
      </c>
      <c r="C321" s="2116">
        <v>0.15</v>
      </c>
      <c r="D321" s="2116">
        <v>0.15</v>
      </c>
      <c r="E321" s="2116">
        <v>0.15</v>
      </c>
      <c r="F321" s="2128"/>
    </row>
    <row r="322" spans="1:6" ht="14.25" thickBot="1">
      <c r="A322" s="1527" t="s">
        <v>2269</v>
      </c>
      <c r="B322" s="1521" t="s">
        <v>2274</v>
      </c>
      <c r="C322" s="2116">
        <v>0.15</v>
      </c>
      <c r="D322" s="2116">
        <v>0.15</v>
      </c>
      <c r="E322" s="2116">
        <v>0.15</v>
      </c>
      <c r="F322" s="2117">
        <v>0.15</v>
      </c>
    </row>
    <row r="323" spans="1:6" ht="14.25" thickBot="1">
      <c r="A323" s="1527" t="s">
        <v>2269</v>
      </c>
      <c r="B323" s="1521" t="s">
        <v>2275</v>
      </c>
      <c r="C323" s="2116">
        <v>0.15</v>
      </c>
      <c r="D323" s="2116">
        <v>0.15</v>
      </c>
      <c r="E323" s="2116">
        <v>0.15</v>
      </c>
      <c r="F323" s="2128"/>
    </row>
    <row r="324" spans="1:6" ht="14.25" thickBot="1">
      <c r="A324" s="1527" t="s">
        <v>2269</v>
      </c>
      <c r="B324" s="1521" t="s">
        <v>2276</v>
      </c>
      <c r="C324" s="2116">
        <v>0.15</v>
      </c>
      <c r="D324" s="2116">
        <v>0.15</v>
      </c>
      <c r="E324" s="2116">
        <v>0.15</v>
      </c>
      <c r="F324" s="2128"/>
    </row>
    <row r="325" spans="1:6" ht="14.25" thickBot="1">
      <c r="A325" s="1527" t="s">
        <v>2269</v>
      </c>
      <c r="B325" s="1521" t="s">
        <v>2277</v>
      </c>
      <c r="C325" s="2116">
        <v>0.15</v>
      </c>
      <c r="D325" s="2116">
        <v>0.15</v>
      </c>
      <c r="E325" s="2116">
        <v>0.15</v>
      </c>
      <c r="F325" s="2117">
        <v>0.14699999999999999</v>
      </c>
    </row>
    <row r="326" spans="1:6" ht="14.25" thickBot="1">
      <c r="A326" s="1527" t="s">
        <v>2269</v>
      </c>
      <c r="B326" s="1521" t="s">
        <v>1298</v>
      </c>
      <c r="C326" s="2116">
        <v>0.15</v>
      </c>
      <c r="D326" s="2116">
        <v>0.15</v>
      </c>
      <c r="E326" s="2116">
        <v>0.15</v>
      </c>
      <c r="F326" s="2128"/>
    </row>
    <row r="327" spans="1:6" ht="14.25" thickBot="1">
      <c r="A327" s="1527" t="s">
        <v>2269</v>
      </c>
      <c r="B327" s="1521" t="s">
        <v>2278</v>
      </c>
      <c r="C327" s="2116">
        <v>0.15</v>
      </c>
      <c r="D327" s="2116">
        <v>0.15</v>
      </c>
      <c r="E327" s="2116">
        <v>0.15</v>
      </c>
      <c r="F327" s="2117">
        <v>0.15</v>
      </c>
    </row>
    <row r="328" spans="1:6" ht="14.25" thickBot="1">
      <c r="A328" s="1527" t="s">
        <v>2269</v>
      </c>
      <c r="B328" s="1521" t="s">
        <v>1318</v>
      </c>
      <c r="C328" s="2116">
        <v>0.15</v>
      </c>
      <c r="D328" s="2116">
        <v>0.15</v>
      </c>
      <c r="E328" s="2116">
        <v>0.15</v>
      </c>
      <c r="F328" s="2117">
        <v>0.14099999999999999</v>
      </c>
    </row>
    <row r="329" spans="1:6" ht="14.25" thickBot="1">
      <c r="A329" s="1527" t="s">
        <v>2269</v>
      </c>
      <c r="B329" s="1521" t="s">
        <v>1328</v>
      </c>
      <c r="C329" s="2116">
        <v>0.15</v>
      </c>
      <c r="D329" s="2116">
        <v>0.15</v>
      </c>
      <c r="E329" s="2116">
        <v>0.15</v>
      </c>
      <c r="F329" s="2117">
        <v>0.15</v>
      </c>
    </row>
    <row r="330" spans="1:6" ht="14.25" thickBot="1">
      <c r="A330" s="1527" t="s">
        <v>2269</v>
      </c>
      <c r="B330" s="1521" t="s">
        <v>1339</v>
      </c>
      <c r="C330" s="2116">
        <v>0.15</v>
      </c>
      <c r="D330" s="2116">
        <v>0.15</v>
      </c>
      <c r="E330" s="2116">
        <v>0.15</v>
      </c>
      <c r="F330" s="2128"/>
    </row>
    <row r="331" spans="1:6" ht="14.25" thickBot="1">
      <c r="A331" s="1527" t="s">
        <v>2269</v>
      </c>
      <c r="B331" s="1521" t="s">
        <v>2279</v>
      </c>
      <c r="C331" s="2116">
        <v>0.15</v>
      </c>
      <c r="D331" s="2116">
        <v>0.15</v>
      </c>
      <c r="E331" s="2116">
        <v>0.15</v>
      </c>
      <c r="F331" s="2117">
        <v>0.15</v>
      </c>
    </row>
    <row r="332" spans="1:6" ht="14.25" thickBot="1">
      <c r="A332" s="1527" t="s">
        <v>2269</v>
      </c>
      <c r="B332" s="1521" t="s">
        <v>1360</v>
      </c>
      <c r="C332" s="2116">
        <v>0.15</v>
      </c>
      <c r="D332" s="2116">
        <v>0.15</v>
      </c>
      <c r="E332" s="2116">
        <v>0.15</v>
      </c>
      <c r="F332" s="2117">
        <v>0.15</v>
      </c>
    </row>
    <row r="333" spans="1:6" ht="14.25" thickBot="1">
      <c r="A333" s="1527" t="s">
        <v>2269</v>
      </c>
      <c r="B333" s="1521" t="s">
        <v>2280</v>
      </c>
      <c r="C333" s="2116">
        <v>0.15</v>
      </c>
      <c r="D333" s="2116">
        <v>0.15</v>
      </c>
      <c r="E333" s="2116">
        <v>0.15</v>
      </c>
      <c r="F333" s="2117">
        <v>0.14099999999999999</v>
      </c>
    </row>
    <row r="334" spans="1:6" ht="14.25" thickBot="1">
      <c r="A334" s="1527" t="s">
        <v>2269</v>
      </c>
      <c r="B334" s="1521" t="s">
        <v>1380</v>
      </c>
      <c r="C334" s="2116">
        <v>0.15</v>
      </c>
      <c r="D334" s="2116">
        <v>0.15</v>
      </c>
      <c r="E334" s="2116">
        <v>0.15</v>
      </c>
      <c r="F334" s="2117">
        <v>0.15</v>
      </c>
    </row>
    <row r="335" spans="1:6" ht="14.25" thickBot="1">
      <c r="A335" s="1527" t="s">
        <v>2269</v>
      </c>
      <c r="B335" s="1521" t="s">
        <v>1390</v>
      </c>
      <c r="C335" s="2116">
        <v>0.15</v>
      </c>
      <c r="D335" s="2116">
        <v>0.15</v>
      </c>
      <c r="E335" s="2116">
        <v>0.15</v>
      </c>
      <c r="F335" s="2128"/>
    </row>
    <row r="336" spans="1:6" ht="14.25" thickBot="1">
      <c r="A336" s="1527" t="s">
        <v>2269</v>
      </c>
      <c r="B336" s="1521" t="s">
        <v>2281</v>
      </c>
      <c r="C336" s="2116">
        <v>0.15</v>
      </c>
      <c r="D336" s="2116">
        <v>0.15</v>
      </c>
      <c r="E336" s="2116">
        <v>0.15</v>
      </c>
      <c r="F336" s="2117">
        <v>0.11799999999999999</v>
      </c>
    </row>
    <row r="337" spans="1:6" ht="14.25" thickBot="1">
      <c r="A337" s="1537" t="s">
        <v>2269</v>
      </c>
      <c r="B337" s="1533" t="s">
        <v>1408</v>
      </c>
      <c r="C337" s="2126"/>
      <c r="D337" s="2126"/>
      <c r="E337" s="2126"/>
      <c r="F337" s="2119">
        <v>0.14299999999999999</v>
      </c>
    </row>
    <row r="338" spans="1:6" ht="14.25" thickBot="1">
      <c r="A338" s="1527" t="s">
        <v>2282</v>
      </c>
      <c r="B338" s="1528" t="s">
        <v>2283</v>
      </c>
      <c r="C338" s="2114">
        <v>0.15</v>
      </c>
      <c r="D338" s="2114">
        <v>0.15</v>
      </c>
      <c r="E338" s="2114">
        <v>0.15</v>
      </c>
      <c r="F338" s="2131"/>
    </row>
    <row r="339" spans="1:6" ht="14.25" thickBot="1">
      <c r="A339" s="1527" t="s">
        <v>2282</v>
      </c>
      <c r="B339" s="1521" t="s">
        <v>2284</v>
      </c>
      <c r="C339" s="2116">
        <v>0.15</v>
      </c>
      <c r="D339" s="2116">
        <v>0.15</v>
      </c>
      <c r="E339" s="2116">
        <v>0.15</v>
      </c>
      <c r="F339" s="2128"/>
    </row>
    <row r="340" spans="1:6" ht="14.25" thickBot="1">
      <c r="A340" s="1527" t="s">
        <v>2282</v>
      </c>
      <c r="B340" s="1521" t="s">
        <v>2285</v>
      </c>
      <c r="C340" s="2116">
        <v>0.15</v>
      </c>
      <c r="D340" s="2116">
        <v>0.15</v>
      </c>
      <c r="E340" s="2116">
        <v>0.15</v>
      </c>
      <c r="F340" s="2128"/>
    </row>
    <row r="341" spans="1:6" ht="14.25" thickBot="1">
      <c r="A341" s="1527" t="s">
        <v>2282</v>
      </c>
      <c r="B341" s="1521" t="s">
        <v>2286</v>
      </c>
      <c r="C341" s="2116">
        <v>0.15</v>
      </c>
      <c r="D341" s="2116">
        <v>0.15</v>
      </c>
      <c r="E341" s="2116">
        <v>0.15</v>
      </c>
      <c r="F341" s="2117">
        <v>0.15</v>
      </c>
    </row>
    <row r="342" spans="1:6" ht="14.25" thickBot="1">
      <c r="A342" s="1527" t="s">
        <v>2282</v>
      </c>
      <c r="B342" s="1521" t="s">
        <v>2287</v>
      </c>
      <c r="C342" s="2116">
        <v>0.15</v>
      </c>
      <c r="D342" s="2116">
        <v>0.15</v>
      </c>
      <c r="E342" s="2116">
        <v>0.15</v>
      </c>
      <c r="F342" s="2117">
        <v>0.15</v>
      </c>
    </row>
    <row r="343" spans="1:6" ht="14.25" thickBot="1">
      <c r="A343" s="1527" t="s">
        <v>2282</v>
      </c>
      <c r="B343" s="1521" t="s">
        <v>2288</v>
      </c>
      <c r="C343" s="2116">
        <v>0.15</v>
      </c>
      <c r="D343" s="2116">
        <v>0.15</v>
      </c>
      <c r="E343" s="2116">
        <v>0.15</v>
      </c>
      <c r="F343" s="2117">
        <v>0.15</v>
      </c>
    </row>
    <row r="344" spans="1:6" ht="14.25" thickBot="1">
      <c r="A344" s="1537" t="s">
        <v>2282</v>
      </c>
      <c r="B344" s="1533" t="s">
        <v>2289</v>
      </c>
      <c r="C344" s="2118">
        <v>0.15</v>
      </c>
      <c r="D344" s="2118">
        <v>0.15</v>
      </c>
      <c r="E344" s="2118">
        <v>0.15</v>
      </c>
      <c r="F344" s="2119">
        <v>0.15</v>
      </c>
    </row>
  </sheetData>
  <sheetProtection password="C66D" sheet="1" objects="1" scenarios="1"/>
  <mergeCells count="1">
    <mergeCell ref="A1:B1"/>
  </mergeCells>
  <phoneticPr fontId="1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2906</v>
      </c>
      <c r="C1" s="3198">
        <f>项目基本情况!D3</f>
        <v>42956</v>
      </c>
      <c r="D1" s="3204" t="s">
        <v>2907</v>
      </c>
      <c r="E1" s="3199">
        <f>'数据-取费表'!B22</f>
        <v>2</v>
      </c>
      <c r="F1" s="3204" t="s">
        <v>2908</v>
      </c>
      <c r="G1" s="3200">
        <f ca="1">INDIRECT("d"&amp;$K$1)/100</f>
        <v>4.7500000000000001E-2</v>
      </c>
      <c r="H1" s="3204" t="s">
        <v>2938</v>
      </c>
      <c r="I1" s="3200">
        <f ca="1">F4/100</f>
        <v>1.4999999999999999E-2</v>
      </c>
      <c r="J1" s="3205">
        <f>IF(C1&gt;C13,0,MATCH(C1,C$13:C$100,-1))+IF(SUMIF(C13:C100,C1,D13:D100)=0,13,12)</f>
        <v>13</v>
      </c>
      <c r="K1" s="3205">
        <f>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2909</v>
      </c>
      <c r="E2" s="3140"/>
      <c r="F2" s="3140" t="s">
        <v>2910</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2911</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2912</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2913</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2914</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2915</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2916</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2917</v>
      </c>
      <c r="C10" s="3168"/>
      <c r="D10" s="3168"/>
      <c r="E10" s="3168"/>
      <c r="F10" s="3168"/>
      <c r="G10" s="3168"/>
      <c r="H10" s="3168"/>
      <c r="I10" s="3142"/>
      <c r="J10" s="3142"/>
      <c r="K10" s="3168"/>
      <c r="L10" s="3169" t="s">
        <v>2918</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2919</v>
      </c>
      <c r="C11" s="3173" t="s">
        <v>2920</v>
      </c>
      <c r="D11" s="3174" t="s">
        <v>2921</v>
      </c>
      <c r="E11" s="3175"/>
      <c r="F11" s="3174" t="s">
        <v>2922</v>
      </c>
      <c r="G11" s="3176"/>
      <c r="H11" s="3175"/>
      <c r="I11" s="3174" t="s">
        <v>2923</v>
      </c>
      <c r="J11" s="3175"/>
      <c r="K11" s="3171"/>
      <c r="L11" s="3172" t="s">
        <v>2919</v>
      </c>
      <c r="M11" s="3173" t="s">
        <v>2920</v>
      </c>
      <c r="N11" s="3172" t="s">
        <v>2924</v>
      </c>
      <c r="O11" s="3174" t="s">
        <v>2925</v>
      </c>
      <c r="P11" s="3176"/>
      <c r="Q11" s="3176"/>
      <c r="R11" s="3176"/>
      <c r="S11" s="3176"/>
      <c r="T11" s="3175"/>
      <c r="U11" s="3174" t="s">
        <v>2926</v>
      </c>
      <c r="V11" s="3176"/>
      <c r="W11" s="3175"/>
      <c r="X11" s="3172" t="s">
        <v>2927</v>
      </c>
      <c r="Y11" s="3172" t="s">
        <v>2928</v>
      </c>
      <c r="Z11" s="3172" t="s">
        <v>2929</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2930</v>
      </c>
      <c r="E12" s="3181" t="s">
        <v>2931</v>
      </c>
      <c r="F12" s="3181" t="s">
        <v>2932</v>
      </c>
      <c r="G12" s="3181" t="s">
        <v>2933</v>
      </c>
      <c r="H12" s="3181" t="s">
        <v>2915</v>
      </c>
      <c r="I12" s="3182" t="s">
        <v>2934</v>
      </c>
      <c r="J12" s="3182" t="s">
        <v>2934</v>
      </c>
      <c r="K12" s="3178"/>
      <c r="L12" s="3179"/>
      <c r="M12" s="3180"/>
      <c r="N12" s="3179"/>
      <c r="O12" s="3182" t="s">
        <v>2935</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2936</v>
      </c>
      <c r="C13" s="3186">
        <v>42301</v>
      </c>
      <c r="D13" s="3187">
        <v>4.3499999999999996</v>
      </c>
      <c r="E13" s="3187">
        <v>4.3499999999999996</v>
      </c>
      <c r="F13" s="3187">
        <v>4.75</v>
      </c>
      <c r="G13" s="3187">
        <v>4.75</v>
      </c>
      <c r="H13" s="3187">
        <v>4.9000000000000004</v>
      </c>
      <c r="I13" s="3187">
        <v>2.75</v>
      </c>
      <c r="J13" s="3187">
        <v>3.25</v>
      </c>
      <c r="K13" s="3184"/>
      <c r="L13" s="3185" t="s">
        <v>2936</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2937</v>
      </c>
      <c r="Y42" s="3191" t="s">
        <v>2937</v>
      </c>
      <c r="Z42" s="3191" t="s">
        <v>2937</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2937</v>
      </c>
      <c r="Y43" s="3191" t="s">
        <v>2937</v>
      </c>
      <c r="Z43" s="3191" t="s">
        <v>2937</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2937</v>
      </c>
      <c r="Y44" s="3191" t="s">
        <v>2937</v>
      </c>
      <c r="Z44" s="3191" t="s">
        <v>2937</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2937</v>
      </c>
      <c r="Y45" s="3191" t="s">
        <v>2937</v>
      </c>
      <c r="Z45" s="3191" t="s">
        <v>2937</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2937</v>
      </c>
      <c r="Y46" s="3191" t="s">
        <v>2937</v>
      </c>
      <c r="Z46" s="3191" t="s">
        <v>2937</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2937</v>
      </c>
      <c r="Y47" s="3191" t="s">
        <v>2937</v>
      </c>
      <c r="Z47" s="3191" t="s">
        <v>2937</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2937</v>
      </c>
      <c r="Y48" s="3191" t="s">
        <v>2937</v>
      </c>
      <c r="Z48" s="3191" t="s">
        <v>2937</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2937</v>
      </c>
      <c r="Y49" s="3191" t="s">
        <v>2937</v>
      </c>
      <c r="Z49" s="3191" t="s">
        <v>2937</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2937</v>
      </c>
      <c r="Y50" s="3191" t="s">
        <v>2937</v>
      </c>
      <c r="Z50" s="3191" t="s">
        <v>2937</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2937</v>
      </c>
      <c r="V51" s="3191" t="s">
        <v>2937</v>
      </c>
      <c r="W51" s="3191" t="s">
        <v>2937</v>
      </c>
      <c r="X51" s="3191" t="s">
        <v>2937</v>
      </c>
      <c r="Y51" s="3191" t="s">
        <v>2937</v>
      </c>
      <c r="Z51" s="3191" t="s">
        <v>2937</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2937</v>
      </c>
      <c r="J55" s="3191" t="s">
        <v>2937</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2" t="s">
        <v>3039</v>
      </c>
      <c r="E1" s="3326" t="s">
        <v>3043</v>
      </c>
      <c r="F1" s="3327" t="s">
        <v>3047</v>
      </c>
    </row>
    <row r="2" spans="1:13" ht="20.25">
      <c r="A2" s="3333" t="s">
        <v>3040</v>
      </c>
    </row>
    <row r="3" spans="1:13" ht="16.5">
      <c r="A3" s="3334" t="s">
        <v>3041</v>
      </c>
    </row>
    <row r="4" spans="1:13" ht="14.25">
      <c r="A4" s="3324" t="s">
        <v>3042</v>
      </c>
      <c r="B4" s="3329" t="s">
        <v>3044</v>
      </c>
      <c r="C4" s="3330"/>
      <c r="D4" s="3331"/>
      <c r="E4" s="3329" t="s">
        <v>137</v>
      </c>
      <c r="F4" s="3330"/>
      <c r="G4" s="3331"/>
      <c r="H4" s="3329" t="s">
        <v>3045</v>
      </c>
      <c r="I4" s="3330"/>
      <c r="J4" s="3331"/>
      <c r="K4" s="3329" t="s">
        <v>39</v>
      </c>
      <c r="L4" s="3330"/>
      <c r="M4" s="3331"/>
    </row>
    <row r="5" spans="1:13" ht="14.25">
      <c r="A5" s="3325" t="s">
        <v>3046</v>
      </c>
      <c r="B5" s="3324" t="s">
        <v>3048</v>
      </c>
      <c r="C5" s="3324" t="s">
        <v>3049</v>
      </c>
      <c r="D5" s="3324" t="s">
        <v>3050</v>
      </c>
      <c r="E5" s="3324" t="s">
        <v>3048</v>
      </c>
      <c r="F5" s="3324" t="s">
        <v>3049</v>
      </c>
      <c r="G5" s="3324" t="s">
        <v>3050</v>
      </c>
      <c r="H5" s="3324" t="s">
        <v>3048</v>
      </c>
      <c r="I5" s="3324" t="s">
        <v>3049</v>
      </c>
      <c r="J5" s="3324" t="s">
        <v>3050</v>
      </c>
      <c r="K5" s="3324" t="s">
        <v>3048</v>
      </c>
      <c r="L5" s="3324" t="s">
        <v>3049</v>
      </c>
      <c r="M5" s="3324" t="s">
        <v>3050</v>
      </c>
    </row>
    <row r="6" spans="1:13" ht="14.25">
      <c r="A6" s="3328" t="s">
        <v>1220</v>
      </c>
      <c r="B6" s="3335">
        <v>26980</v>
      </c>
      <c r="C6" s="3335">
        <v>32980</v>
      </c>
      <c r="D6" s="3335">
        <v>29980</v>
      </c>
      <c r="E6" s="3335">
        <v>26170</v>
      </c>
      <c r="F6" s="3335">
        <v>31990</v>
      </c>
      <c r="G6" s="3335">
        <v>29080</v>
      </c>
      <c r="H6" s="3335">
        <v>25850</v>
      </c>
      <c r="I6" s="3335">
        <v>31590</v>
      </c>
      <c r="J6" s="3335">
        <v>28720</v>
      </c>
      <c r="K6" s="3335">
        <v>9860</v>
      </c>
      <c r="L6" s="3336">
        <v>13340</v>
      </c>
      <c r="M6" s="3335">
        <v>11600</v>
      </c>
    </row>
    <row r="7" spans="1:13" ht="14.25">
      <c r="A7" s="3328" t="s">
        <v>1277</v>
      </c>
      <c r="B7" s="3335">
        <v>21970</v>
      </c>
      <c r="C7" s="3335">
        <v>28730</v>
      </c>
      <c r="D7" s="3335">
        <v>25350</v>
      </c>
      <c r="E7" s="3335">
        <v>21480</v>
      </c>
      <c r="F7" s="3335">
        <v>28080</v>
      </c>
      <c r="G7" s="3335">
        <v>24780</v>
      </c>
      <c r="H7" s="3335">
        <v>21250</v>
      </c>
      <c r="I7" s="3335">
        <v>27790</v>
      </c>
      <c r="J7" s="3335">
        <v>24520</v>
      </c>
      <c r="K7" s="3335">
        <v>6660</v>
      </c>
      <c r="L7" s="3336">
        <v>10000</v>
      </c>
      <c r="M7" s="3335">
        <v>8330</v>
      </c>
    </row>
    <row r="8" spans="1:13" ht="14.25">
      <c r="A8" s="3328" t="s">
        <v>1450</v>
      </c>
      <c r="B8" s="3335">
        <v>17430</v>
      </c>
      <c r="C8" s="3335">
        <v>24410</v>
      </c>
      <c r="D8" s="3335">
        <v>20920</v>
      </c>
      <c r="E8" s="3335">
        <v>17140</v>
      </c>
      <c r="F8" s="3335">
        <v>24000</v>
      </c>
      <c r="G8" s="3335">
        <v>20570</v>
      </c>
      <c r="H8" s="3335">
        <v>16990</v>
      </c>
      <c r="I8" s="3335">
        <v>23790</v>
      </c>
      <c r="J8" s="3335">
        <v>20390</v>
      </c>
      <c r="K8" s="3335">
        <v>4530</v>
      </c>
      <c r="L8" s="3336">
        <v>6790</v>
      </c>
      <c r="M8" s="3335">
        <v>5660</v>
      </c>
    </row>
    <row r="9" spans="1:13" ht="14.25">
      <c r="A9" s="3328" t="s">
        <v>1131</v>
      </c>
      <c r="B9" s="3335">
        <v>13330</v>
      </c>
      <c r="C9" s="3335">
        <v>19990</v>
      </c>
      <c r="D9" s="3335">
        <v>16660</v>
      </c>
      <c r="E9" s="3335">
        <v>13160</v>
      </c>
      <c r="F9" s="3335">
        <v>19740</v>
      </c>
      <c r="G9" s="3335">
        <v>16450</v>
      </c>
      <c r="H9" s="3335">
        <v>13060</v>
      </c>
      <c r="I9" s="3335">
        <v>19600</v>
      </c>
      <c r="J9" s="3335">
        <v>16330</v>
      </c>
      <c r="K9" s="3335">
        <v>3090</v>
      </c>
      <c r="L9" s="3336">
        <v>4650</v>
      </c>
      <c r="M9" s="3335">
        <v>3870</v>
      </c>
    </row>
    <row r="10" spans="1:13" ht="14.25">
      <c r="A10" s="3328" t="s">
        <v>1531</v>
      </c>
      <c r="B10" s="3335">
        <v>10420</v>
      </c>
      <c r="C10" s="3335">
        <v>15620</v>
      </c>
      <c r="D10" s="3335">
        <v>13020</v>
      </c>
      <c r="E10" s="3335">
        <v>10310</v>
      </c>
      <c r="F10" s="3335">
        <v>15470</v>
      </c>
      <c r="G10" s="3335">
        <v>12890</v>
      </c>
      <c r="H10" s="3335">
        <v>10250</v>
      </c>
      <c r="I10" s="3335">
        <v>15370</v>
      </c>
      <c r="J10" s="3335">
        <v>12810</v>
      </c>
      <c r="K10" s="3335">
        <v>2140</v>
      </c>
      <c r="L10" s="3336">
        <v>3200</v>
      </c>
      <c r="M10" s="3335">
        <v>2670</v>
      </c>
    </row>
    <row r="11" spans="1:13" ht="14.25">
      <c r="A11" s="3328" t="s">
        <v>199</v>
      </c>
      <c r="B11" s="3335">
        <v>8130</v>
      </c>
      <c r="C11" s="3335">
        <v>12190</v>
      </c>
      <c r="D11" s="3335">
        <v>10160</v>
      </c>
      <c r="E11" s="3335">
        <v>8060</v>
      </c>
      <c r="F11" s="3335">
        <v>12080</v>
      </c>
      <c r="G11" s="3335">
        <v>10070</v>
      </c>
      <c r="H11" s="3335">
        <v>8010</v>
      </c>
      <c r="I11" s="3335">
        <v>12010</v>
      </c>
      <c r="J11" s="3335">
        <v>10010</v>
      </c>
      <c r="K11" s="3335">
        <v>1490</v>
      </c>
      <c r="L11" s="3336">
        <v>2250</v>
      </c>
      <c r="M11" s="3335">
        <v>1870</v>
      </c>
    </row>
    <row r="12" spans="1:13" ht="14.25">
      <c r="A12" s="3328" t="s">
        <v>1534</v>
      </c>
      <c r="B12" s="3335">
        <v>5940</v>
      </c>
      <c r="C12" s="3335">
        <v>8900</v>
      </c>
      <c r="D12" s="3335">
        <v>7420</v>
      </c>
      <c r="E12" s="3335">
        <v>5880</v>
      </c>
      <c r="F12" s="3335">
        <v>8820</v>
      </c>
      <c r="G12" s="3335">
        <v>7350</v>
      </c>
      <c r="H12" s="3335">
        <v>5840</v>
      </c>
      <c r="I12" s="3335">
        <v>8760</v>
      </c>
      <c r="J12" s="3335">
        <v>7300</v>
      </c>
      <c r="K12" s="3335">
        <v>1060</v>
      </c>
      <c r="L12" s="3336">
        <v>1600</v>
      </c>
      <c r="M12" s="3335">
        <v>1330</v>
      </c>
    </row>
    <row r="13" spans="1:13" ht="14.25">
      <c r="A13" s="3328" t="s">
        <v>1536</v>
      </c>
      <c r="B13" s="3335">
        <v>3970</v>
      </c>
      <c r="C13" s="3335">
        <v>6330</v>
      </c>
      <c r="D13" s="3335">
        <v>5150</v>
      </c>
      <c r="E13" s="3335">
        <v>3920</v>
      </c>
      <c r="F13" s="3335">
        <v>6260</v>
      </c>
      <c r="G13" s="3335">
        <v>5090</v>
      </c>
      <c r="H13" s="3335">
        <v>3890</v>
      </c>
      <c r="I13" s="3335">
        <v>6210</v>
      </c>
      <c r="J13" s="3335">
        <v>5050</v>
      </c>
      <c r="K13" s="3335">
        <v>780</v>
      </c>
      <c r="L13" s="3336">
        <v>1160</v>
      </c>
      <c r="M13" s="3335">
        <v>970</v>
      </c>
    </row>
    <row r="14" spans="1:13" ht="14.25">
      <c r="A14" s="3328" t="s">
        <v>1538</v>
      </c>
      <c r="B14" s="3335">
        <v>2680</v>
      </c>
      <c r="C14" s="3335">
        <v>4280</v>
      </c>
      <c r="D14" s="3335">
        <v>3480</v>
      </c>
      <c r="E14" s="3335">
        <v>2640</v>
      </c>
      <c r="F14" s="3335">
        <v>4220</v>
      </c>
      <c r="G14" s="3335">
        <v>3430</v>
      </c>
      <c r="H14" s="3335">
        <v>2620</v>
      </c>
      <c r="I14" s="3335">
        <v>4180</v>
      </c>
      <c r="J14" s="3335">
        <v>3400</v>
      </c>
      <c r="K14" s="3335">
        <v>580</v>
      </c>
      <c r="L14" s="3336">
        <v>880</v>
      </c>
      <c r="M14" s="3335">
        <v>730</v>
      </c>
    </row>
    <row r="15" spans="1:13" ht="14.25">
      <c r="A15" s="3328" t="s">
        <v>1542</v>
      </c>
      <c r="B15" s="3335">
        <v>1700</v>
      </c>
      <c r="C15" s="3335">
        <v>2840</v>
      </c>
      <c r="D15" s="3335">
        <v>2270</v>
      </c>
      <c r="E15" s="3335">
        <v>1670</v>
      </c>
      <c r="F15" s="3335">
        <v>2790</v>
      </c>
      <c r="G15" s="3335">
        <v>2230</v>
      </c>
      <c r="H15" s="3335">
        <v>1650</v>
      </c>
      <c r="I15" s="3335">
        <v>2750</v>
      </c>
      <c r="J15" s="3335">
        <v>2200</v>
      </c>
      <c r="K15" s="3335">
        <v>450</v>
      </c>
      <c r="L15" s="3336">
        <v>670</v>
      </c>
      <c r="M15" s="3335">
        <v>560</v>
      </c>
    </row>
    <row r="16" spans="1:13" ht="14.25">
      <c r="A16" s="3328" t="s">
        <v>1941</v>
      </c>
      <c r="B16" s="3335">
        <v>1070</v>
      </c>
      <c r="C16" s="3335">
        <v>1790</v>
      </c>
      <c r="D16" s="3335">
        <v>1430</v>
      </c>
      <c r="E16" s="3335">
        <v>1050</v>
      </c>
      <c r="F16" s="3335">
        <v>1750</v>
      </c>
      <c r="G16" s="3335">
        <v>1400</v>
      </c>
      <c r="H16" s="3335">
        <v>1030</v>
      </c>
      <c r="I16" s="3335">
        <v>1730</v>
      </c>
      <c r="J16" s="3335">
        <v>1380</v>
      </c>
      <c r="K16" s="3335">
        <v>350</v>
      </c>
      <c r="L16" s="3336">
        <v>530</v>
      </c>
      <c r="M16" s="3335">
        <v>440</v>
      </c>
    </row>
    <row r="17" spans="1:13" ht="14.25">
      <c r="A17" s="3328" t="s">
        <v>1942</v>
      </c>
      <c r="B17" s="3335">
        <v>680</v>
      </c>
      <c r="C17" s="3335">
        <v>1120</v>
      </c>
      <c r="D17" s="3335">
        <v>900</v>
      </c>
      <c r="E17" s="3335">
        <v>650</v>
      </c>
      <c r="F17" s="3335">
        <v>1090</v>
      </c>
      <c r="G17" s="3335">
        <v>870</v>
      </c>
      <c r="H17" s="3335">
        <v>630</v>
      </c>
      <c r="I17" s="3335">
        <v>1070</v>
      </c>
      <c r="J17" s="3335">
        <v>850</v>
      </c>
      <c r="K17" s="3335">
        <v>280</v>
      </c>
      <c r="L17" s="3336">
        <v>420</v>
      </c>
      <c r="M17" s="3335">
        <v>350</v>
      </c>
    </row>
  </sheetData>
  <phoneticPr fontId="20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66"/>
  <sheetViews>
    <sheetView topLeftCell="C1" workbookViewId="0">
      <selection activeCell="L30" sqref="L30"/>
    </sheetView>
  </sheetViews>
  <sheetFormatPr defaultRowHeight="13.5"/>
  <cols>
    <col min="2" max="2" width="38" customWidth="1"/>
    <col min="4" max="4" width="11.25" customWidth="1"/>
    <col min="7" max="7" width="13.375" customWidth="1"/>
    <col min="9" max="9" width="9.875" customWidth="1"/>
    <col min="10" max="10" width="12.5" customWidth="1"/>
    <col min="11" max="11" width="12.875" customWidth="1"/>
    <col min="13" max="13" width="9.125" customWidth="1"/>
    <col min="15" max="15" width="11" customWidth="1"/>
  </cols>
  <sheetData>
    <row r="1" spans="2:16">
      <c r="B1" s="3355" t="s">
        <v>3053</v>
      </c>
      <c r="J1" s="3355" t="s">
        <v>3217</v>
      </c>
      <c r="K1" s="3355" t="s">
        <v>3328</v>
      </c>
      <c r="L1" s="3355" t="s">
        <v>3444</v>
      </c>
      <c r="M1" s="3355" t="s">
        <v>3447</v>
      </c>
      <c r="N1" s="3355"/>
    </row>
    <row r="2" spans="2:16">
      <c r="B2" s="3355" t="s">
        <v>3054</v>
      </c>
      <c r="C2" s="3355" t="s">
        <v>3093</v>
      </c>
      <c r="D2">
        <v>58.44</v>
      </c>
      <c r="H2" s="3355" t="s">
        <v>3218</v>
      </c>
      <c r="I2" s="3355" t="s">
        <v>3221</v>
      </c>
      <c r="J2">
        <f>SUM(D2:D12)</f>
        <v>2906.2</v>
      </c>
      <c r="L2">
        <f>SUM(D252:D255)</f>
        <v>1481.72</v>
      </c>
      <c r="M2">
        <f>SUM(J2:L2)</f>
        <v>4387.92</v>
      </c>
      <c r="N2">
        <f ca="1">典型户型修正!R24</f>
        <v>50468</v>
      </c>
      <c r="O2">
        <f ca="1">ROUND(N2*M2/10000,0)</f>
        <v>22145</v>
      </c>
    </row>
    <row r="3" spans="2:16">
      <c r="B3" s="3355" t="s">
        <v>3055</v>
      </c>
      <c r="C3" s="3355" t="s">
        <v>3093</v>
      </c>
      <c r="D3">
        <v>166.25</v>
      </c>
      <c r="I3" s="3355" t="s">
        <v>3223</v>
      </c>
      <c r="J3">
        <f>SUM(D13:D15)</f>
        <v>2061.8199999999997</v>
      </c>
      <c r="K3">
        <f>SUM(D150:D152)</f>
        <v>2054.94</v>
      </c>
      <c r="L3">
        <f>SUM(D256:D260)</f>
        <v>2009.75</v>
      </c>
      <c r="M3">
        <f>SUM(J3:L3)</f>
        <v>6126.51</v>
      </c>
      <c r="N3">
        <f ca="1">典型户型修正!R25</f>
        <v>35328</v>
      </c>
      <c r="O3">
        <f ca="1">ROUND(N3*M3/10000,0)</f>
        <v>21644</v>
      </c>
    </row>
    <row r="4" spans="2:16">
      <c r="B4" s="3355" t="s">
        <v>3056</v>
      </c>
      <c r="C4" s="3355" t="s">
        <v>3093</v>
      </c>
      <c r="D4">
        <v>242.02</v>
      </c>
      <c r="H4" s="3355" t="s">
        <v>3219</v>
      </c>
      <c r="J4">
        <f>SUM(D16:D148)</f>
        <v>22338.650000000041</v>
      </c>
      <c r="K4">
        <f>SUM(D153:D250)</f>
        <v>16743.160000000018</v>
      </c>
      <c r="L4">
        <f>SUM(D261:D365)</f>
        <v>17369.080000000002</v>
      </c>
      <c r="M4">
        <f>SUM(J4:L4)</f>
        <v>56450.890000000058</v>
      </c>
      <c r="N4">
        <f ca="1">'结果表（办公）'!C105</f>
        <v>48165</v>
      </c>
      <c r="O4">
        <f ca="1">ROUND(N4*M4/10000,0)</f>
        <v>271896</v>
      </c>
    </row>
    <row r="5" spans="2:16">
      <c r="B5" s="3355" t="s">
        <v>3057</v>
      </c>
      <c r="C5" s="3355" t="s">
        <v>3093</v>
      </c>
      <c r="D5">
        <v>92.53</v>
      </c>
      <c r="M5">
        <f>SUM(M2:M4)</f>
        <v>66965.320000000065</v>
      </c>
    </row>
    <row r="6" spans="2:16">
      <c r="B6" s="3355" t="s">
        <v>3058</v>
      </c>
      <c r="C6" s="3355" t="s">
        <v>3093</v>
      </c>
      <c r="D6">
        <v>168.61</v>
      </c>
    </row>
    <row r="7" spans="2:16">
      <c r="B7" s="3355" t="s">
        <v>3059</v>
      </c>
      <c r="C7" s="3355" t="s">
        <v>3093</v>
      </c>
      <c r="D7">
        <v>168.28</v>
      </c>
    </row>
    <row r="8" spans="2:16">
      <c r="B8" s="3355" t="s">
        <v>3060</v>
      </c>
      <c r="C8" s="3355" t="s">
        <v>3093</v>
      </c>
      <c r="D8">
        <v>70.2</v>
      </c>
      <c r="K8" s="3355" t="s">
        <v>3567</v>
      </c>
      <c r="M8" s="3355" t="s">
        <v>3568</v>
      </c>
      <c r="O8" s="3355" t="s">
        <v>3569</v>
      </c>
    </row>
    <row r="9" spans="2:16">
      <c r="B9" s="3355" t="s">
        <v>3061</v>
      </c>
      <c r="C9" s="3355" t="s">
        <v>3093</v>
      </c>
      <c r="D9">
        <v>548.16</v>
      </c>
      <c r="I9" s="3355" t="s">
        <v>3565</v>
      </c>
      <c r="J9" s="3355" t="s">
        <v>3566</v>
      </c>
      <c r="K9" s="3355" t="s">
        <v>3571</v>
      </c>
      <c r="L9" s="3355" t="s">
        <v>3572</v>
      </c>
      <c r="M9" s="3355" t="s">
        <v>3571</v>
      </c>
      <c r="N9" s="3355" t="s">
        <v>3572</v>
      </c>
      <c r="O9" s="3355" t="s">
        <v>3571</v>
      </c>
      <c r="P9" s="3355" t="s">
        <v>3572</v>
      </c>
    </row>
    <row r="10" spans="2:16">
      <c r="B10" s="3355" t="s">
        <v>3062</v>
      </c>
      <c r="C10" s="3355" t="s">
        <v>3093</v>
      </c>
      <c r="D10">
        <v>444.28</v>
      </c>
      <c r="H10" s="3355" t="s">
        <v>3562</v>
      </c>
      <c r="I10">
        <f>SUM(J2:J4)</f>
        <v>27306.670000000042</v>
      </c>
      <c r="J10">
        <f>ROUND(I10/I13*J13,2)</f>
        <v>6522.2</v>
      </c>
      <c r="K10">
        <f ca="1">O10-M10</f>
        <v>101175</v>
      </c>
      <c r="L10">
        <f ca="1">P10-N10</f>
        <v>37052</v>
      </c>
      <c r="M10">
        <f ca="1">ROUND(O10*I19,0)</f>
        <v>28370</v>
      </c>
      <c r="N10">
        <f ca="1">ROUND(M10*10000/I10,0)</f>
        <v>10389</v>
      </c>
      <c r="O10" s="3355">
        <f ca="1">ROUND((J2*N2+J3*N3+J4*N4)/10000,0)</f>
        <v>129545</v>
      </c>
      <c r="P10">
        <f ca="1">ROUND(O10/I10*10000,0)</f>
        <v>47441</v>
      </c>
    </row>
    <row r="11" spans="2:16">
      <c r="B11" s="3355" t="s">
        <v>3063</v>
      </c>
      <c r="C11" s="3355" t="s">
        <v>3093</v>
      </c>
      <c r="D11">
        <v>457.33</v>
      </c>
      <c r="H11" s="3355" t="s">
        <v>3563</v>
      </c>
      <c r="I11">
        <f>SUM(K2:K4)</f>
        <v>18798.100000000017</v>
      </c>
      <c r="J11">
        <f>ROUND(I11/I13*J13,2)</f>
        <v>4489.93</v>
      </c>
      <c r="K11">
        <f t="shared" ref="K11" ca="1" si="0">O11-M11</f>
        <v>68652</v>
      </c>
      <c r="L11">
        <f t="shared" ref="L11:L13" ca="1" si="1">P11-N11</f>
        <v>36521</v>
      </c>
      <c r="M11">
        <f ca="1">ROUND(O11*I19,0)</f>
        <v>19251</v>
      </c>
      <c r="N11">
        <f t="shared" ref="N11:N13" ca="1" si="2">ROUND(M11*10000/I11,0)</f>
        <v>10241</v>
      </c>
      <c r="O11" s="3355">
        <f ca="1">ROUND((K2*N2+K3*N3+K4*N4)/10000,0)</f>
        <v>87903</v>
      </c>
      <c r="P11">
        <f t="shared" ref="P11:P12" ca="1" si="3">ROUND(O11/I11*10000,0)</f>
        <v>46762</v>
      </c>
    </row>
    <row r="12" spans="2:16">
      <c r="B12" s="3355" t="s">
        <v>3064</v>
      </c>
      <c r="C12" s="3355" t="s">
        <v>3093</v>
      </c>
      <c r="D12">
        <v>490.1</v>
      </c>
      <c r="H12" s="3355" t="s">
        <v>3564</v>
      </c>
      <c r="I12">
        <f>SUM(L2:L4)</f>
        <v>20860.550000000003</v>
      </c>
      <c r="J12">
        <f>ROUND(I12/I13*J13,2)</f>
        <v>4982.54</v>
      </c>
      <c r="K12">
        <f ca="1">O12-M12</f>
        <v>76722</v>
      </c>
      <c r="L12">
        <f t="shared" ca="1" si="1"/>
        <v>36779</v>
      </c>
      <c r="M12">
        <f ca="1">ROUND(O12*I19,0)</f>
        <v>21514</v>
      </c>
      <c r="N12">
        <f t="shared" ca="1" si="2"/>
        <v>10313</v>
      </c>
      <c r="O12" s="3355">
        <f ca="1">ROUND((L2*N2+L3*N3+L4*N4)/10000,0)</f>
        <v>98236</v>
      </c>
      <c r="P12">
        <f t="shared" ca="1" si="3"/>
        <v>47092</v>
      </c>
    </row>
    <row r="13" spans="2:16">
      <c r="B13" s="3355" t="s">
        <v>3065</v>
      </c>
      <c r="C13" s="3355" t="s">
        <v>3093</v>
      </c>
      <c r="D13">
        <v>525.27</v>
      </c>
      <c r="H13" s="3355" t="s">
        <v>3576</v>
      </c>
      <c r="I13">
        <f>SUM(I10:I12)</f>
        <v>66965.320000000065</v>
      </c>
      <c r="J13">
        <f>'数据-基础表'!A3</f>
        <v>15994.67</v>
      </c>
      <c r="K13">
        <f ca="1">O13-M13</f>
        <v>246549</v>
      </c>
      <c r="L13">
        <f t="shared" ca="1" si="1"/>
        <v>36817</v>
      </c>
      <c r="M13">
        <f ca="1">ROUND(O13*I19,0)</f>
        <v>69135</v>
      </c>
      <c r="N13">
        <f t="shared" ca="1" si="2"/>
        <v>10324</v>
      </c>
      <c r="O13">
        <f ca="1">SUM(O10:O12)</f>
        <v>315684</v>
      </c>
      <c r="P13">
        <f ca="1">ROUND(O13/I13*10000,0)</f>
        <v>47141</v>
      </c>
    </row>
    <row r="14" spans="2:16">
      <c r="B14" s="3355" t="s">
        <v>3066</v>
      </c>
      <c r="C14" s="3355" t="s">
        <v>3093</v>
      </c>
      <c r="D14">
        <v>423.03</v>
      </c>
      <c r="K14" s="3367">
        <f ca="1">K13*10000</f>
        <v>2465490000</v>
      </c>
      <c r="M14" s="3367">
        <f ca="1">M13*10000</f>
        <v>691350000</v>
      </c>
      <c r="O14" s="3367">
        <f ca="1">O13*10000</f>
        <v>3156840000</v>
      </c>
    </row>
    <row r="15" spans="2:16">
      <c r="B15" s="3355" t="s">
        <v>3067</v>
      </c>
      <c r="C15" s="3355" t="s">
        <v>3093</v>
      </c>
      <c r="D15">
        <v>1113.52</v>
      </c>
    </row>
    <row r="16" spans="2:16">
      <c r="B16" s="3355" t="s">
        <v>3068</v>
      </c>
      <c r="C16" s="3355" t="s">
        <v>3094</v>
      </c>
      <c r="D16">
        <v>281.43</v>
      </c>
      <c r="I16" s="3355" t="s">
        <v>3574</v>
      </c>
    </row>
    <row r="17" spans="2:13">
      <c r="B17" s="3355" t="s">
        <v>3069</v>
      </c>
      <c r="C17" s="3355" t="s">
        <v>3094</v>
      </c>
      <c r="D17">
        <v>156.61000000000001</v>
      </c>
      <c r="G17" s="3355" t="s">
        <v>3573</v>
      </c>
      <c r="H17">
        <f ca="1">'收益法（办公）'!B2</f>
        <v>266290</v>
      </c>
      <c r="I17">
        <f ca="1">'结果表（办公）'!D35</f>
        <v>0.223</v>
      </c>
      <c r="J17">
        <f ca="1">ROUND(I17*H17,0)</f>
        <v>59383</v>
      </c>
    </row>
    <row r="18" spans="2:13">
      <c r="B18" s="3355" t="s">
        <v>3070</v>
      </c>
      <c r="C18" s="3355" t="s">
        <v>3094</v>
      </c>
      <c r="D18">
        <v>281.43</v>
      </c>
      <c r="G18" s="3355" t="s">
        <v>3575</v>
      </c>
      <c r="H18">
        <f ca="1">'收益法（1层商业）'!B2</f>
        <v>21976</v>
      </c>
      <c r="I18">
        <f ca="1">'结果表（商业）'!D35</f>
        <v>0.17100000000000001</v>
      </c>
      <c r="J18">
        <f ca="1">ROUND(I18*H18,0)</f>
        <v>3758</v>
      </c>
    </row>
    <row r="19" spans="2:13">
      <c r="B19" s="3355" t="s">
        <v>3071</v>
      </c>
      <c r="C19" s="3355" t="s">
        <v>3094</v>
      </c>
      <c r="D19">
        <v>79.58</v>
      </c>
      <c r="H19">
        <f ca="1">SUM(H17:H18)</f>
        <v>288266</v>
      </c>
      <c r="I19">
        <f ca="1">ROUND(J19/H19,3)</f>
        <v>0.219</v>
      </c>
      <c r="J19">
        <f ca="1">SUM(J17:J18)</f>
        <v>63141</v>
      </c>
    </row>
    <row r="20" spans="2:13">
      <c r="B20" s="3355" t="s">
        <v>3072</v>
      </c>
      <c r="C20" s="3355" t="s">
        <v>3094</v>
      </c>
      <c r="D20">
        <v>121.88</v>
      </c>
    </row>
    <row r="21" spans="2:13">
      <c r="B21" s="3355" t="s">
        <v>3073</v>
      </c>
      <c r="C21" s="3355" t="s">
        <v>3094</v>
      </c>
      <c r="D21">
        <v>123.54</v>
      </c>
      <c r="H21" s="3746" t="s">
        <v>3588</v>
      </c>
      <c r="I21" s="3746" t="s">
        <v>3589</v>
      </c>
      <c r="J21" s="3746" t="s">
        <v>3590</v>
      </c>
      <c r="K21" s="3746" t="s">
        <v>3591</v>
      </c>
      <c r="L21" s="3746" t="s">
        <v>3592</v>
      </c>
      <c r="M21" s="3747"/>
    </row>
    <row r="22" spans="2:13">
      <c r="B22" s="3355" t="s">
        <v>3074</v>
      </c>
      <c r="C22" s="3355" t="s">
        <v>3094</v>
      </c>
      <c r="D22">
        <v>98.83</v>
      </c>
      <c r="H22" s="3747"/>
      <c r="I22" s="3747"/>
      <c r="J22" s="3747"/>
      <c r="K22" s="3747"/>
      <c r="L22" s="3368" t="s">
        <v>3593</v>
      </c>
      <c r="M22" s="3368" t="s">
        <v>3594</v>
      </c>
    </row>
    <row r="23" spans="2:13">
      <c r="B23" s="3355" t="s">
        <v>3075</v>
      </c>
      <c r="C23" s="3355" t="s">
        <v>3094</v>
      </c>
      <c r="D23">
        <v>281.43</v>
      </c>
      <c r="H23" s="3369">
        <v>1</v>
      </c>
      <c r="I23" s="3368" t="s">
        <v>3562</v>
      </c>
      <c r="J23" s="3369">
        <f>L23+M23</f>
        <v>27306.670000000042</v>
      </c>
      <c r="K23" s="3369">
        <f>J10</f>
        <v>6522.2</v>
      </c>
      <c r="L23" s="3368">
        <f>J2+J3</f>
        <v>4968.0199999999995</v>
      </c>
      <c r="M23" s="3369">
        <f>J4</f>
        <v>22338.650000000041</v>
      </c>
    </row>
    <row r="24" spans="2:13">
      <c r="B24" s="3355" t="s">
        <v>3076</v>
      </c>
      <c r="C24" s="3355" t="s">
        <v>3094</v>
      </c>
      <c r="D24">
        <v>156.61000000000001</v>
      </c>
      <c r="H24" s="3369">
        <v>2</v>
      </c>
      <c r="I24" s="3368" t="s">
        <v>3563</v>
      </c>
      <c r="J24" s="3369">
        <f>L24+M24</f>
        <v>18798.100000000017</v>
      </c>
      <c r="K24" s="3369">
        <f>J11</f>
        <v>4489.93</v>
      </c>
      <c r="L24" s="3369">
        <f>K2+K3</f>
        <v>2054.94</v>
      </c>
      <c r="M24" s="3369">
        <f>K4</f>
        <v>16743.160000000018</v>
      </c>
    </row>
    <row r="25" spans="2:13">
      <c r="B25" s="3355" t="s">
        <v>3077</v>
      </c>
      <c r="C25" s="3355" t="s">
        <v>3094</v>
      </c>
      <c r="D25">
        <v>281.43</v>
      </c>
      <c r="H25" s="3369">
        <v>3</v>
      </c>
      <c r="I25" s="3368" t="s">
        <v>3564</v>
      </c>
      <c r="J25" s="3369">
        <f>L25+M25</f>
        <v>20860.550000000003</v>
      </c>
      <c r="K25" s="3369">
        <f>J12</f>
        <v>4982.54</v>
      </c>
      <c r="L25" s="3369">
        <f>L2+L3</f>
        <v>3491.4700000000003</v>
      </c>
      <c r="M25" s="3369">
        <f>L4</f>
        <v>17369.080000000002</v>
      </c>
    </row>
    <row r="26" spans="2:13">
      <c r="B26" s="3355" t="s">
        <v>3078</v>
      </c>
      <c r="C26" s="3355" t="s">
        <v>3094</v>
      </c>
      <c r="D26">
        <v>98.83</v>
      </c>
      <c r="H26" s="3746" t="s">
        <v>3570</v>
      </c>
      <c r="I26" s="3747"/>
      <c r="J26" s="3369">
        <f>SUM(J23:J25)</f>
        <v>66965.320000000065</v>
      </c>
      <c r="K26" s="3369">
        <f>SUM(K23:K25)</f>
        <v>15994.670000000002</v>
      </c>
      <c r="L26" s="3369">
        <f>SUM(L23:L25)</f>
        <v>10514.43</v>
      </c>
      <c r="M26" s="3369">
        <f>SUM(M23:M25)</f>
        <v>56450.890000000058</v>
      </c>
    </row>
    <row r="27" spans="2:13">
      <c r="B27" s="3355" t="s">
        <v>3079</v>
      </c>
      <c r="C27" s="3355" t="s">
        <v>3094</v>
      </c>
      <c r="D27">
        <v>123.54</v>
      </c>
    </row>
    <row r="28" spans="2:13">
      <c r="B28" s="3355" t="s">
        <v>3080</v>
      </c>
      <c r="C28" s="3355" t="s">
        <v>3094</v>
      </c>
      <c r="D28">
        <v>123.54</v>
      </c>
    </row>
    <row r="29" spans="2:13">
      <c r="B29" s="3355" t="s">
        <v>3081</v>
      </c>
      <c r="C29" s="3355" t="s">
        <v>3094</v>
      </c>
      <c r="D29">
        <v>98.83</v>
      </c>
    </row>
    <row r="30" spans="2:13">
      <c r="B30" s="3355" t="s">
        <v>3082</v>
      </c>
      <c r="C30" s="3355" t="s">
        <v>3094</v>
      </c>
      <c r="D30">
        <v>281.43</v>
      </c>
    </row>
    <row r="31" spans="2:13">
      <c r="B31" s="3355" t="s">
        <v>3095</v>
      </c>
      <c r="C31" s="3355" t="s">
        <v>3094</v>
      </c>
      <c r="D31">
        <v>156.61000000000001</v>
      </c>
    </row>
    <row r="32" spans="2:13">
      <c r="B32" s="3355" t="s">
        <v>3096</v>
      </c>
      <c r="C32" s="3355" t="s">
        <v>3094</v>
      </c>
      <c r="D32">
        <v>281.43</v>
      </c>
    </row>
    <row r="33" spans="2:4">
      <c r="B33" s="3355" t="s">
        <v>3097</v>
      </c>
      <c r="C33" s="3355" t="s">
        <v>3094</v>
      </c>
      <c r="D33">
        <v>79.58</v>
      </c>
    </row>
    <row r="34" spans="2:4">
      <c r="B34" s="3355" t="s">
        <v>3098</v>
      </c>
      <c r="C34" s="3355" t="s">
        <v>3094</v>
      </c>
      <c r="D34">
        <v>121.88</v>
      </c>
    </row>
    <row r="35" spans="2:4">
      <c r="B35" s="3355" t="s">
        <v>3099</v>
      </c>
      <c r="C35" s="3355" t="s">
        <v>3094</v>
      </c>
      <c r="D35">
        <v>123.54</v>
      </c>
    </row>
    <row r="36" spans="2:4">
      <c r="B36" s="3355" t="s">
        <v>3100</v>
      </c>
      <c r="C36" s="3355" t="s">
        <v>3094</v>
      </c>
      <c r="D36">
        <v>98.83</v>
      </c>
    </row>
    <row r="37" spans="2:4">
      <c r="B37" s="3355" t="s">
        <v>3101</v>
      </c>
      <c r="C37" s="3355" t="s">
        <v>3094</v>
      </c>
      <c r="D37">
        <v>281.43</v>
      </c>
    </row>
    <row r="38" spans="2:4">
      <c r="B38" s="3355" t="s">
        <v>3102</v>
      </c>
      <c r="C38" s="3355" t="s">
        <v>3094</v>
      </c>
      <c r="D38">
        <v>156.61000000000001</v>
      </c>
    </row>
    <row r="39" spans="2:4">
      <c r="B39" s="3355" t="s">
        <v>3103</v>
      </c>
      <c r="C39" s="3355" t="s">
        <v>3094</v>
      </c>
      <c r="D39">
        <v>281.43</v>
      </c>
    </row>
    <row r="40" spans="2:4">
      <c r="B40" s="3355" t="s">
        <v>3104</v>
      </c>
      <c r="C40" s="3355" t="s">
        <v>3094</v>
      </c>
      <c r="D40">
        <v>98.83</v>
      </c>
    </row>
    <row r="41" spans="2:4">
      <c r="B41" s="3355" t="s">
        <v>3105</v>
      </c>
      <c r="C41" s="3355" t="s">
        <v>3094</v>
      </c>
      <c r="D41">
        <v>123.54</v>
      </c>
    </row>
    <row r="42" spans="2:4">
      <c r="B42" s="3355" t="s">
        <v>3106</v>
      </c>
      <c r="C42" s="3355" t="s">
        <v>3094</v>
      </c>
      <c r="D42">
        <v>123.54</v>
      </c>
    </row>
    <row r="43" spans="2:4">
      <c r="B43" s="3355" t="s">
        <v>3107</v>
      </c>
      <c r="C43" s="3355" t="s">
        <v>3094</v>
      </c>
      <c r="D43">
        <v>98.83</v>
      </c>
    </row>
    <row r="44" spans="2:4">
      <c r="B44" s="3355" t="s">
        <v>3108</v>
      </c>
      <c r="C44" s="3355" t="s">
        <v>3094</v>
      </c>
      <c r="D44">
        <v>281.43</v>
      </c>
    </row>
    <row r="45" spans="2:4">
      <c r="B45" s="3355" t="s">
        <v>3109</v>
      </c>
      <c r="C45" s="3355" t="s">
        <v>3094</v>
      </c>
      <c r="D45">
        <v>156.61000000000001</v>
      </c>
    </row>
    <row r="46" spans="2:4">
      <c r="B46" s="3355" t="s">
        <v>3110</v>
      </c>
      <c r="C46" s="3355" t="s">
        <v>3094</v>
      </c>
      <c r="D46">
        <v>281.43</v>
      </c>
    </row>
    <row r="47" spans="2:4">
      <c r="B47" s="3355" t="s">
        <v>3111</v>
      </c>
      <c r="C47" s="3355" t="s">
        <v>3094</v>
      </c>
      <c r="D47">
        <v>98.83</v>
      </c>
    </row>
    <row r="48" spans="2:4">
      <c r="B48" s="3355" t="s">
        <v>3112</v>
      </c>
      <c r="C48" s="3355" t="s">
        <v>3094</v>
      </c>
      <c r="D48">
        <v>123.54</v>
      </c>
    </row>
    <row r="49" spans="2:4">
      <c r="B49" s="3355" t="s">
        <v>3113</v>
      </c>
      <c r="C49" s="3355" t="s">
        <v>3094</v>
      </c>
      <c r="D49">
        <v>123.54</v>
      </c>
    </row>
    <row r="50" spans="2:4">
      <c r="B50" s="3355" t="s">
        <v>3114</v>
      </c>
      <c r="C50" s="3355" t="s">
        <v>3094</v>
      </c>
      <c r="D50">
        <v>98.83</v>
      </c>
    </row>
    <row r="51" spans="2:4">
      <c r="B51" s="3355" t="s">
        <v>3115</v>
      </c>
      <c r="C51" s="3355" t="s">
        <v>3094</v>
      </c>
      <c r="D51">
        <v>281.42</v>
      </c>
    </row>
    <row r="52" spans="2:4">
      <c r="B52" s="3355" t="s">
        <v>3116</v>
      </c>
      <c r="C52" s="3355" t="s">
        <v>3094</v>
      </c>
      <c r="D52">
        <v>156.61000000000001</v>
      </c>
    </row>
    <row r="53" spans="2:4">
      <c r="B53" s="3355" t="s">
        <v>3117</v>
      </c>
      <c r="C53" s="3355" t="s">
        <v>3094</v>
      </c>
      <c r="D53">
        <v>281.43</v>
      </c>
    </row>
    <row r="54" spans="2:4">
      <c r="B54" s="3355" t="s">
        <v>3118</v>
      </c>
      <c r="C54" s="3355" t="s">
        <v>3094</v>
      </c>
      <c r="D54">
        <v>98.83</v>
      </c>
    </row>
    <row r="55" spans="2:4">
      <c r="B55" s="3355" t="s">
        <v>3119</v>
      </c>
      <c r="C55" s="3355" t="s">
        <v>3094</v>
      </c>
      <c r="D55">
        <v>123.54</v>
      </c>
    </row>
    <row r="56" spans="2:4">
      <c r="B56" s="3355" t="s">
        <v>3120</v>
      </c>
      <c r="C56" s="3355" t="s">
        <v>3094</v>
      </c>
      <c r="D56">
        <v>123.54</v>
      </c>
    </row>
    <row r="57" spans="2:4">
      <c r="B57" s="3355" t="s">
        <v>3121</v>
      </c>
      <c r="C57" s="3355" t="s">
        <v>3094</v>
      </c>
      <c r="D57">
        <v>98.83</v>
      </c>
    </row>
    <row r="58" spans="2:4">
      <c r="B58" s="3355" t="s">
        <v>3122</v>
      </c>
      <c r="C58" s="3355" t="s">
        <v>3094</v>
      </c>
      <c r="D58">
        <v>281.43</v>
      </c>
    </row>
    <row r="59" spans="2:4">
      <c r="B59" s="3355" t="s">
        <v>3123</v>
      </c>
      <c r="C59" s="3355" t="s">
        <v>3094</v>
      </c>
      <c r="D59">
        <v>156.61000000000001</v>
      </c>
    </row>
    <row r="60" spans="2:4">
      <c r="B60" s="3355" t="s">
        <v>3124</v>
      </c>
      <c r="C60" s="3355" t="s">
        <v>3094</v>
      </c>
      <c r="D60">
        <v>281.43</v>
      </c>
    </row>
    <row r="61" spans="2:4">
      <c r="B61" s="3355" t="s">
        <v>3125</v>
      </c>
      <c r="C61" s="3355" t="s">
        <v>3094</v>
      </c>
      <c r="D61">
        <v>98.83</v>
      </c>
    </row>
    <row r="62" spans="2:4">
      <c r="B62" s="3355" t="s">
        <v>3126</v>
      </c>
      <c r="C62" s="3355" t="s">
        <v>3094</v>
      </c>
      <c r="D62">
        <v>123.54</v>
      </c>
    </row>
    <row r="63" spans="2:4">
      <c r="B63" s="3355" t="s">
        <v>3127</v>
      </c>
      <c r="C63" s="3355" t="s">
        <v>3094</v>
      </c>
      <c r="D63">
        <v>123.54</v>
      </c>
    </row>
    <row r="64" spans="2:4">
      <c r="B64" s="3355" t="s">
        <v>3128</v>
      </c>
      <c r="C64" s="3355" t="s">
        <v>3094</v>
      </c>
      <c r="D64">
        <v>98.83</v>
      </c>
    </row>
    <row r="65" spans="2:4">
      <c r="B65" s="3355" t="s">
        <v>3129</v>
      </c>
      <c r="C65" s="3355" t="s">
        <v>3094</v>
      </c>
      <c r="D65">
        <v>281.42</v>
      </c>
    </row>
    <row r="66" spans="2:4">
      <c r="B66" s="3355" t="s">
        <v>3130</v>
      </c>
      <c r="C66" s="3355" t="s">
        <v>3094</v>
      </c>
      <c r="D66">
        <v>156.61000000000001</v>
      </c>
    </row>
    <row r="67" spans="2:4">
      <c r="B67" s="3355" t="s">
        <v>3131</v>
      </c>
      <c r="C67" s="3355" t="s">
        <v>3094</v>
      </c>
      <c r="D67">
        <v>281.43</v>
      </c>
    </row>
    <row r="68" spans="2:4">
      <c r="B68" s="3355" t="s">
        <v>3132</v>
      </c>
      <c r="C68" s="3355" t="s">
        <v>3094</v>
      </c>
      <c r="D68">
        <v>98.83</v>
      </c>
    </row>
    <row r="69" spans="2:4">
      <c r="B69" s="3355" t="s">
        <v>3133</v>
      </c>
      <c r="C69" s="3355" t="s">
        <v>3094</v>
      </c>
      <c r="D69">
        <v>123.54</v>
      </c>
    </row>
    <row r="70" spans="2:4">
      <c r="B70" s="3355" t="s">
        <v>3134</v>
      </c>
      <c r="C70" s="3355" t="s">
        <v>3094</v>
      </c>
      <c r="D70">
        <v>123.54</v>
      </c>
    </row>
    <row r="71" spans="2:4">
      <c r="B71" s="3355" t="s">
        <v>3135</v>
      </c>
      <c r="C71" s="3355" t="s">
        <v>3094</v>
      </c>
      <c r="D71">
        <v>98.83</v>
      </c>
    </row>
    <row r="72" spans="2:4">
      <c r="B72" s="3355" t="s">
        <v>3136</v>
      </c>
      <c r="C72" s="3355" t="s">
        <v>3094</v>
      </c>
      <c r="D72">
        <v>281.43</v>
      </c>
    </row>
    <row r="73" spans="2:4">
      <c r="B73" s="3355" t="s">
        <v>3137</v>
      </c>
      <c r="C73" s="3355" t="s">
        <v>3094</v>
      </c>
      <c r="D73">
        <v>156.61000000000001</v>
      </c>
    </row>
    <row r="74" spans="2:4">
      <c r="B74" s="3355" t="s">
        <v>3138</v>
      </c>
      <c r="C74" s="3355" t="s">
        <v>3094</v>
      </c>
      <c r="D74">
        <v>281.43</v>
      </c>
    </row>
    <row r="75" spans="2:4">
      <c r="B75" s="3355" t="s">
        <v>3139</v>
      </c>
      <c r="C75" s="3355" t="s">
        <v>3094</v>
      </c>
      <c r="D75">
        <v>98.83</v>
      </c>
    </row>
    <row r="76" spans="2:4">
      <c r="B76" s="3355" t="s">
        <v>3140</v>
      </c>
      <c r="C76" s="3355" t="s">
        <v>3094</v>
      </c>
      <c r="D76">
        <v>123.54</v>
      </c>
    </row>
    <row r="77" spans="2:4">
      <c r="B77" s="3355" t="s">
        <v>3141</v>
      </c>
      <c r="C77" s="3355" t="s">
        <v>3094</v>
      </c>
      <c r="D77">
        <v>123.54</v>
      </c>
    </row>
    <row r="78" spans="2:4">
      <c r="B78" s="3355" t="s">
        <v>3142</v>
      </c>
      <c r="C78" s="3355" t="s">
        <v>3094</v>
      </c>
      <c r="D78">
        <v>98.83</v>
      </c>
    </row>
    <row r="79" spans="2:4">
      <c r="B79" s="3355" t="s">
        <v>3143</v>
      </c>
      <c r="C79" s="3355" t="s">
        <v>3094</v>
      </c>
      <c r="D79">
        <v>281.42</v>
      </c>
    </row>
    <row r="80" spans="2:4">
      <c r="B80" s="3355" t="s">
        <v>3144</v>
      </c>
      <c r="C80" s="3355" t="s">
        <v>3094</v>
      </c>
      <c r="D80">
        <v>156.61000000000001</v>
      </c>
    </row>
    <row r="81" spans="2:4">
      <c r="B81" s="3355" t="s">
        <v>3145</v>
      </c>
      <c r="C81" s="3355" t="s">
        <v>3094</v>
      </c>
      <c r="D81">
        <v>281.43</v>
      </c>
    </row>
    <row r="82" spans="2:4">
      <c r="B82" s="3355" t="s">
        <v>3146</v>
      </c>
      <c r="C82" s="3355" t="s">
        <v>3094</v>
      </c>
      <c r="D82">
        <v>98.83</v>
      </c>
    </row>
    <row r="83" spans="2:4">
      <c r="B83" s="3355" t="s">
        <v>3147</v>
      </c>
      <c r="C83" s="3355" t="s">
        <v>3094</v>
      </c>
      <c r="D83">
        <v>123.54</v>
      </c>
    </row>
    <row r="84" spans="2:4">
      <c r="B84" s="3355" t="s">
        <v>3148</v>
      </c>
      <c r="C84" s="3355" t="s">
        <v>3094</v>
      </c>
      <c r="D84">
        <v>123.54</v>
      </c>
    </row>
    <row r="85" spans="2:4">
      <c r="B85" s="3355" t="s">
        <v>3149</v>
      </c>
      <c r="C85" s="3355" t="s">
        <v>3094</v>
      </c>
      <c r="D85">
        <v>98.83</v>
      </c>
    </row>
    <row r="86" spans="2:4">
      <c r="B86" s="3355" t="s">
        <v>3150</v>
      </c>
      <c r="C86" s="3355" t="s">
        <v>3094</v>
      </c>
      <c r="D86">
        <v>281.43</v>
      </c>
    </row>
    <row r="87" spans="2:4">
      <c r="B87" s="3355" t="s">
        <v>3151</v>
      </c>
      <c r="C87" s="3355" t="s">
        <v>3094</v>
      </c>
      <c r="D87">
        <v>156.61000000000001</v>
      </c>
    </row>
    <row r="88" spans="2:4">
      <c r="B88" s="3355" t="s">
        <v>3152</v>
      </c>
      <c r="C88" s="3355" t="s">
        <v>3094</v>
      </c>
      <c r="D88">
        <v>281.43</v>
      </c>
    </row>
    <row r="89" spans="2:4">
      <c r="B89" s="3355" t="s">
        <v>3153</v>
      </c>
      <c r="C89" s="3355" t="s">
        <v>3094</v>
      </c>
      <c r="D89">
        <v>98.83</v>
      </c>
    </row>
    <row r="90" spans="2:4">
      <c r="B90" s="3355" t="s">
        <v>3154</v>
      </c>
      <c r="C90" s="3355" t="s">
        <v>3094</v>
      </c>
      <c r="D90">
        <v>123.54</v>
      </c>
    </row>
    <row r="91" spans="2:4">
      <c r="B91" s="3355" t="s">
        <v>3155</v>
      </c>
      <c r="C91" s="3355" t="s">
        <v>3094</v>
      </c>
      <c r="D91">
        <v>123.54</v>
      </c>
    </row>
    <row r="92" spans="2:4">
      <c r="B92" s="3355" t="s">
        <v>3156</v>
      </c>
      <c r="C92" s="3355" t="s">
        <v>3094</v>
      </c>
      <c r="D92">
        <v>98.83</v>
      </c>
    </row>
    <row r="93" spans="2:4">
      <c r="B93" s="3355" t="s">
        <v>3157</v>
      </c>
      <c r="C93" s="3355" t="s">
        <v>3094</v>
      </c>
      <c r="D93">
        <v>281.42</v>
      </c>
    </row>
    <row r="94" spans="2:4">
      <c r="B94" s="3355" t="s">
        <v>3158</v>
      </c>
      <c r="C94" s="3355" t="s">
        <v>3094</v>
      </c>
      <c r="D94">
        <v>156.61000000000001</v>
      </c>
    </row>
    <row r="95" spans="2:4">
      <c r="B95" s="3355" t="s">
        <v>3159</v>
      </c>
      <c r="C95" s="3355" t="s">
        <v>3094</v>
      </c>
      <c r="D95">
        <v>281.43</v>
      </c>
    </row>
    <row r="96" spans="2:4">
      <c r="B96" s="3355" t="s">
        <v>3160</v>
      </c>
      <c r="C96" s="3355" t="s">
        <v>3094</v>
      </c>
      <c r="D96">
        <v>98.83</v>
      </c>
    </row>
    <row r="97" spans="2:4">
      <c r="B97" s="3355" t="s">
        <v>3161</v>
      </c>
      <c r="C97" s="3355" t="s">
        <v>3094</v>
      </c>
      <c r="D97">
        <v>123.54</v>
      </c>
    </row>
    <row r="98" spans="2:4">
      <c r="B98" s="3355" t="s">
        <v>3162</v>
      </c>
      <c r="C98" s="3355" t="s">
        <v>3094</v>
      </c>
      <c r="D98">
        <v>123.54</v>
      </c>
    </row>
    <row r="99" spans="2:4">
      <c r="B99" s="3355" t="s">
        <v>3163</v>
      </c>
      <c r="C99" s="3355" t="s">
        <v>3094</v>
      </c>
      <c r="D99">
        <v>98.83</v>
      </c>
    </row>
    <row r="100" spans="2:4">
      <c r="B100" s="3355" t="s">
        <v>3164</v>
      </c>
      <c r="C100" s="3355" t="s">
        <v>3094</v>
      </c>
      <c r="D100">
        <v>281.43</v>
      </c>
    </row>
    <row r="101" spans="2:4">
      <c r="B101" s="3355" t="s">
        <v>3165</v>
      </c>
      <c r="C101" s="3355" t="s">
        <v>3094</v>
      </c>
      <c r="D101">
        <v>156.61000000000001</v>
      </c>
    </row>
    <row r="102" spans="2:4">
      <c r="B102" s="3355" t="s">
        <v>3166</v>
      </c>
      <c r="C102" s="3355" t="s">
        <v>3094</v>
      </c>
      <c r="D102">
        <v>281.43</v>
      </c>
    </row>
    <row r="103" spans="2:4">
      <c r="B103" s="3355" t="s">
        <v>3167</v>
      </c>
      <c r="C103" s="3355" t="s">
        <v>3094</v>
      </c>
      <c r="D103">
        <v>98.83</v>
      </c>
    </row>
    <row r="104" spans="2:4">
      <c r="B104" s="3355" t="s">
        <v>3168</v>
      </c>
      <c r="C104" s="3355" t="s">
        <v>3094</v>
      </c>
      <c r="D104">
        <v>123.54</v>
      </c>
    </row>
    <row r="105" spans="2:4">
      <c r="B105" s="3355" t="s">
        <v>3169</v>
      </c>
      <c r="C105" s="3355" t="s">
        <v>3094</v>
      </c>
      <c r="D105">
        <v>123.54</v>
      </c>
    </row>
    <row r="106" spans="2:4">
      <c r="B106" s="3355" t="s">
        <v>3170</v>
      </c>
      <c r="C106" s="3355" t="s">
        <v>3094</v>
      </c>
      <c r="D106">
        <v>98.83</v>
      </c>
    </row>
    <row r="107" spans="2:4">
      <c r="B107" s="3355" t="s">
        <v>3171</v>
      </c>
      <c r="C107" s="3355" t="s">
        <v>3094</v>
      </c>
      <c r="D107">
        <v>281.42</v>
      </c>
    </row>
    <row r="108" spans="2:4">
      <c r="B108" s="3355" t="s">
        <v>3172</v>
      </c>
      <c r="C108" s="3355" t="s">
        <v>3094</v>
      </c>
      <c r="D108">
        <v>156.61000000000001</v>
      </c>
    </row>
    <row r="109" spans="2:4">
      <c r="B109" s="3355" t="s">
        <v>3173</v>
      </c>
      <c r="C109" s="3355" t="s">
        <v>3094</v>
      </c>
      <c r="D109">
        <v>281.43</v>
      </c>
    </row>
    <row r="110" spans="2:4">
      <c r="B110" s="3355" t="s">
        <v>3174</v>
      </c>
      <c r="C110" s="3355" t="s">
        <v>3094</v>
      </c>
      <c r="D110">
        <v>98.83</v>
      </c>
    </row>
    <row r="111" spans="2:4">
      <c r="B111" s="3355" t="s">
        <v>3175</v>
      </c>
      <c r="C111" s="3355" t="s">
        <v>3094</v>
      </c>
      <c r="D111">
        <v>123.54</v>
      </c>
    </row>
    <row r="112" spans="2:4">
      <c r="B112" s="3355" t="s">
        <v>3176</v>
      </c>
      <c r="C112" s="3355" t="s">
        <v>3094</v>
      </c>
      <c r="D112">
        <v>123.54</v>
      </c>
    </row>
    <row r="113" spans="2:4">
      <c r="B113" s="3355" t="s">
        <v>3177</v>
      </c>
      <c r="C113" s="3355" t="s">
        <v>3094</v>
      </c>
      <c r="D113">
        <v>98.83</v>
      </c>
    </row>
    <row r="114" spans="2:4">
      <c r="B114" s="3355" t="s">
        <v>3178</v>
      </c>
      <c r="C114" s="3355" t="s">
        <v>3094</v>
      </c>
      <c r="D114">
        <v>281.43</v>
      </c>
    </row>
    <row r="115" spans="2:4">
      <c r="B115" s="3355" t="s">
        <v>3179</v>
      </c>
      <c r="C115" s="3355" t="s">
        <v>3094</v>
      </c>
      <c r="D115">
        <v>156.61000000000001</v>
      </c>
    </row>
    <row r="116" spans="2:4">
      <c r="B116" s="3355" t="s">
        <v>3180</v>
      </c>
      <c r="C116" s="3355" t="s">
        <v>3094</v>
      </c>
      <c r="D116">
        <v>281.43</v>
      </c>
    </row>
    <row r="117" spans="2:4">
      <c r="B117" s="3355" t="s">
        <v>3181</v>
      </c>
      <c r="C117" s="3355" t="s">
        <v>3094</v>
      </c>
      <c r="D117">
        <v>98.83</v>
      </c>
    </row>
    <row r="118" spans="2:4">
      <c r="B118" s="3355" t="s">
        <v>3182</v>
      </c>
      <c r="C118" s="3355" t="s">
        <v>3094</v>
      </c>
      <c r="D118">
        <v>123.54</v>
      </c>
    </row>
    <row r="119" spans="2:4">
      <c r="B119" s="3355" t="s">
        <v>3183</v>
      </c>
      <c r="C119" s="3355" t="s">
        <v>3094</v>
      </c>
      <c r="D119">
        <v>123.54</v>
      </c>
    </row>
    <row r="120" spans="2:4">
      <c r="B120" s="3355" t="s">
        <v>3184</v>
      </c>
      <c r="C120" s="3355" t="s">
        <v>3094</v>
      </c>
      <c r="D120">
        <v>98.83</v>
      </c>
    </row>
    <row r="121" spans="2:4">
      <c r="B121" s="3355" t="s">
        <v>3185</v>
      </c>
      <c r="C121" s="3355" t="s">
        <v>3094</v>
      </c>
      <c r="D121">
        <v>281.42</v>
      </c>
    </row>
    <row r="122" spans="2:4">
      <c r="B122" s="3355" t="s">
        <v>3186</v>
      </c>
      <c r="C122" s="3355" t="s">
        <v>3094</v>
      </c>
      <c r="D122">
        <v>156.61000000000001</v>
      </c>
    </row>
    <row r="123" spans="2:4">
      <c r="B123" s="3355" t="s">
        <v>3187</v>
      </c>
      <c r="C123" s="3355" t="s">
        <v>3094</v>
      </c>
      <c r="D123">
        <v>281.43</v>
      </c>
    </row>
    <row r="124" spans="2:4">
      <c r="B124" s="3355" t="s">
        <v>3188</v>
      </c>
      <c r="C124" s="3355" t="s">
        <v>3094</v>
      </c>
      <c r="D124">
        <v>98.83</v>
      </c>
    </row>
    <row r="125" spans="2:4">
      <c r="B125" s="3355" t="s">
        <v>3189</v>
      </c>
      <c r="C125" s="3355" t="s">
        <v>3094</v>
      </c>
      <c r="D125">
        <v>123.54</v>
      </c>
    </row>
    <row r="126" spans="2:4">
      <c r="B126" s="3355" t="s">
        <v>3190</v>
      </c>
      <c r="C126" s="3355" t="s">
        <v>3094</v>
      </c>
      <c r="D126">
        <v>123.54</v>
      </c>
    </row>
    <row r="127" spans="2:4">
      <c r="B127" s="3355" t="s">
        <v>3191</v>
      </c>
      <c r="C127" s="3355" t="s">
        <v>3094</v>
      </c>
      <c r="D127">
        <v>98.83</v>
      </c>
    </row>
    <row r="128" spans="2:4">
      <c r="B128" s="3355" t="s">
        <v>3192</v>
      </c>
      <c r="C128" s="3355" t="s">
        <v>3094</v>
      </c>
      <c r="D128">
        <v>281.43</v>
      </c>
    </row>
    <row r="129" spans="2:4">
      <c r="B129" s="3355" t="s">
        <v>3193</v>
      </c>
      <c r="C129" s="3355" t="s">
        <v>3094</v>
      </c>
      <c r="D129">
        <v>156.61000000000001</v>
      </c>
    </row>
    <row r="130" spans="2:4">
      <c r="B130" s="3355" t="s">
        <v>3194</v>
      </c>
      <c r="C130" s="3355" t="s">
        <v>3094</v>
      </c>
      <c r="D130">
        <v>281.43</v>
      </c>
    </row>
    <row r="131" spans="2:4">
      <c r="B131" s="3355" t="s">
        <v>3195</v>
      </c>
      <c r="C131" s="3355" t="s">
        <v>3094</v>
      </c>
      <c r="D131">
        <v>98.83</v>
      </c>
    </row>
    <row r="132" spans="2:4">
      <c r="B132" s="3355" t="s">
        <v>3196</v>
      </c>
      <c r="C132" s="3355" t="s">
        <v>3094</v>
      </c>
      <c r="D132">
        <v>123.54</v>
      </c>
    </row>
    <row r="133" spans="2:4">
      <c r="B133" s="3355" t="s">
        <v>3197</v>
      </c>
      <c r="C133" s="3355" t="s">
        <v>3094</v>
      </c>
      <c r="D133">
        <v>123.54</v>
      </c>
    </row>
    <row r="134" spans="2:4">
      <c r="B134" s="3355" t="s">
        <v>3198</v>
      </c>
      <c r="C134" s="3355" t="s">
        <v>3094</v>
      </c>
      <c r="D134">
        <v>98.83</v>
      </c>
    </row>
    <row r="135" spans="2:4">
      <c r="B135" s="3355" t="s">
        <v>3199</v>
      </c>
      <c r="C135" s="3355" t="s">
        <v>3094</v>
      </c>
      <c r="D135">
        <v>281.42</v>
      </c>
    </row>
    <row r="136" spans="2:4">
      <c r="B136" s="3355" t="s">
        <v>3200</v>
      </c>
      <c r="C136" s="3355" t="s">
        <v>3094</v>
      </c>
      <c r="D136">
        <v>156.61000000000001</v>
      </c>
    </row>
    <row r="137" spans="2:4">
      <c r="B137" s="3355" t="s">
        <v>3201</v>
      </c>
      <c r="C137" s="3355" t="s">
        <v>3094</v>
      </c>
      <c r="D137">
        <v>281.43</v>
      </c>
    </row>
    <row r="138" spans="2:4">
      <c r="B138" s="3355" t="s">
        <v>3202</v>
      </c>
      <c r="C138" s="3355" t="s">
        <v>3094</v>
      </c>
      <c r="D138">
        <v>98.83</v>
      </c>
    </row>
    <row r="139" spans="2:4">
      <c r="B139" s="3355" t="s">
        <v>3203</v>
      </c>
      <c r="C139" s="3355" t="s">
        <v>3094</v>
      </c>
      <c r="D139">
        <v>123.54</v>
      </c>
    </row>
    <row r="140" spans="2:4">
      <c r="B140" s="3355" t="s">
        <v>3204</v>
      </c>
      <c r="C140" s="3355" t="s">
        <v>3094</v>
      </c>
      <c r="D140">
        <v>123.54</v>
      </c>
    </row>
    <row r="141" spans="2:4">
      <c r="B141" s="3355" t="s">
        <v>3205</v>
      </c>
      <c r="C141" s="3355" t="s">
        <v>3094</v>
      </c>
      <c r="D141">
        <v>98.83</v>
      </c>
    </row>
    <row r="142" spans="2:4">
      <c r="B142" s="3355" t="s">
        <v>3206</v>
      </c>
      <c r="C142" s="3355" t="s">
        <v>3094</v>
      </c>
      <c r="D142">
        <v>253.82</v>
      </c>
    </row>
    <row r="143" spans="2:4">
      <c r="B143" s="3355" t="s">
        <v>3207</v>
      </c>
      <c r="C143" s="3355" t="s">
        <v>3094</v>
      </c>
      <c r="D143">
        <v>98.83</v>
      </c>
    </row>
    <row r="144" spans="2:4">
      <c r="B144" s="3355" t="s">
        <v>3208</v>
      </c>
      <c r="C144" s="3355" t="s">
        <v>3094</v>
      </c>
      <c r="D144">
        <v>281.42</v>
      </c>
    </row>
    <row r="145" spans="2:4">
      <c r="B145" s="3355" t="s">
        <v>3209</v>
      </c>
      <c r="C145" s="3355" t="s">
        <v>3094</v>
      </c>
      <c r="D145">
        <v>156.61000000000001</v>
      </c>
    </row>
    <row r="146" spans="2:4">
      <c r="B146" s="3355" t="s">
        <v>3210</v>
      </c>
      <c r="C146" s="3355" t="s">
        <v>3094</v>
      </c>
      <c r="D146">
        <v>281.43</v>
      </c>
    </row>
    <row r="147" spans="2:4">
      <c r="B147" s="3355" t="s">
        <v>3211</v>
      </c>
      <c r="C147" s="3355" t="s">
        <v>3094</v>
      </c>
      <c r="D147">
        <v>98.83</v>
      </c>
    </row>
    <row r="148" spans="2:4">
      <c r="B148" s="3355" t="s">
        <v>3212</v>
      </c>
      <c r="C148" s="3355" t="s">
        <v>3094</v>
      </c>
      <c r="D148">
        <v>253.82</v>
      </c>
    </row>
    <row r="149" spans="2:4">
      <c r="D149">
        <f>SUM(D2:D148)</f>
        <v>27306.670000000067</v>
      </c>
    </row>
    <row r="150" spans="2:4">
      <c r="B150" s="3355" t="s">
        <v>3226</v>
      </c>
      <c r="C150" s="3355" t="s">
        <v>3218</v>
      </c>
      <c r="D150">
        <v>448.35</v>
      </c>
    </row>
    <row r="151" spans="2:4">
      <c r="B151" s="3355" t="s">
        <v>3227</v>
      </c>
      <c r="C151" s="3355" t="s">
        <v>3218</v>
      </c>
      <c r="D151">
        <v>376.02</v>
      </c>
    </row>
    <row r="152" spans="2:4">
      <c r="B152" s="3355" t="s">
        <v>3228</v>
      </c>
      <c r="C152" s="3355" t="s">
        <v>3218</v>
      </c>
      <c r="D152">
        <v>1230.57</v>
      </c>
    </row>
    <row r="153" spans="2:4">
      <c r="B153" s="3355" t="s">
        <v>3229</v>
      </c>
      <c r="C153" s="3355" t="s">
        <v>3230</v>
      </c>
      <c r="D153">
        <v>281.43</v>
      </c>
    </row>
    <row r="154" spans="2:4">
      <c r="B154" s="3355" t="s">
        <v>3231</v>
      </c>
      <c r="C154" s="3355" t="s">
        <v>3230</v>
      </c>
      <c r="D154">
        <v>156.61000000000001</v>
      </c>
    </row>
    <row r="155" spans="2:4">
      <c r="B155" s="3355" t="s">
        <v>3232</v>
      </c>
      <c r="C155" s="3355" t="s">
        <v>3230</v>
      </c>
      <c r="D155">
        <v>281.43</v>
      </c>
    </row>
    <row r="156" spans="2:4">
      <c r="B156" s="3355" t="s">
        <v>3233</v>
      </c>
      <c r="C156" s="3355" t="s">
        <v>3230</v>
      </c>
      <c r="D156">
        <v>82.59</v>
      </c>
    </row>
    <row r="157" spans="2:4">
      <c r="B157" s="3355" t="s">
        <v>3234</v>
      </c>
      <c r="C157" s="3355" t="s">
        <v>3230</v>
      </c>
      <c r="D157">
        <v>118.6</v>
      </c>
    </row>
    <row r="158" spans="2:4">
      <c r="B158" s="3355" t="s">
        <v>3235</v>
      </c>
      <c r="C158" s="3355" t="s">
        <v>3230</v>
      </c>
      <c r="D158">
        <v>123.54</v>
      </c>
    </row>
    <row r="159" spans="2:4">
      <c r="B159" s="3355" t="s">
        <v>3236</v>
      </c>
      <c r="C159" s="3355" t="s">
        <v>3230</v>
      </c>
      <c r="D159">
        <v>98.83</v>
      </c>
    </row>
    <row r="160" spans="2:4">
      <c r="B160" s="3355" t="s">
        <v>3237</v>
      </c>
      <c r="C160" s="3355" t="s">
        <v>3230</v>
      </c>
      <c r="D160">
        <v>281.43</v>
      </c>
    </row>
    <row r="161" spans="2:4">
      <c r="B161" s="3355" t="s">
        <v>3238</v>
      </c>
      <c r="C161" s="3355" t="s">
        <v>3230</v>
      </c>
      <c r="D161">
        <v>156.61000000000001</v>
      </c>
    </row>
    <row r="162" spans="2:4">
      <c r="B162" s="3355" t="s">
        <v>3239</v>
      </c>
      <c r="C162" s="3355" t="s">
        <v>3230</v>
      </c>
      <c r="D162">
        <v>281.43</v>
      </c>
    </row>
    <row r="163" spans="2:4">
      <c r="B163" s="3355" t="s">
        <v>3240</v>
      </c>
      <c r="C163" s="3355" t="s">
        <v>3230</v>
      </c>
      <c r="D163">
        <v>98.83</v>
      </c>
    </row>
    <row r="164" spans="2:4">
      <c r="B164" s="3355" t="s">
        <v>3241</v>
      </c>
      <c r="C164" s="3355" t="s">
        <v>3230</v>
      </c>
      <c r="D164">
        <v>123.54</v>
      </c>
    </row>
    <row r="165" spans="2:4">
      <c r="B165" s="3355" t="s">
        <v>3242</v>
      </c>
      <c r="C165" s="3355" t="s">
        <v>3230</v>
      </c>
      <c r="D165">
        <v>118.6</v>
      </c>
    </row>
    <row r="166" spans="2:4">
      <c r="B166" s="3355" t="s">
        <v>3300</v>
      </c>
      <c r="C166" s="3355" t="s">
        <v>3230</v>
      </c>
      <c r="D166">
        <v>82.59</v>
      </c>
    </row>
    <row r="167" spans="2:4">
      <c r="B167" s="3355" t="s">
        <v>3301</v>
      </c>
      <c r="C167" s="3355" t="s">
        <v>3230</v>
      </c>
      <c r="D167">
        <v>281.43</v>
      </c>
    </row>
    <row r="168" spans="2:4">
      <c r="B168" s="3355" t="s">
        <v>3302</v>
      </c>
      <c r="C168" s="3355" t="s">
        <v>3230</v>
      </c>
      <c r="D168">
        <v>156.61000000000001</v>
      </c>
    </row>
    <row r="169" spans="2:4">
      <c r="B169" s="3355" t="s">
        <v>3303</v>
      </c>
      <c r="C169" s="3355" t="s">
        <v>3230</v>
      </c>
      <c r="D169">
        <v>281.43</v>
      </c>
    </row>
    <row r="170" spans="2:4">
      <c r="B170" s="3355" t="s">
        <v>3304</v>
      </c>
      <c r="C170" s="3355" t="s">
        <v>3230</v>
      </c>
      <c r="D170">
        <v>82.59</v>
      </c>
    </row>
    <row r="171" spans="2:4">
      <c r="B171" s="3355" t="s">
        <v>3305</v>
      </c>
      <c r="C171" s="3355" t="s">
        <v>3230</v>
      </c>
      <c r="D171">
        <v>118.6</v>
      </c>
    </row>
    <row r="172" spans="2:4">
      <c r="B172" s="3355" t="s">
        <v>3306</v>
      </c>
      <c r="C172" s="3355" t="s">
        <v>3230</v>
      </c>
      <c r="D172">
        <v>123.54</v>
      </c>
    </row>
    <row r="173" spans="2:4">
      <c r="B173" s="3355" t="s">
        <v>3307</v>
      </c>
      <c r="C173" s="3355" t="s">
        <v>3230</v>
      </c>
      <c r="D173">
        <v>98.83</v>
      </c>
    </row>
    <row r="174" spans="2:4">
      <c r="B174" s="3355" t="s">
        <v>3308</v>
      </c>
      <c r="C174" s="3355" t="s">
        <v>3230</v>
      </c>
      <c r="D174">
        <v>281.43</v>
      </c>
    </row>
    <row r="175" spans="2:4">
      <c r="B175" s="3355" t="s">
        <v>3309</v>
      </c>
      <c r="C175" s="3355" t="s">
        <v>3230</v>
      </c>
      <c r="D175">
        <v>156.61000000000001</v>
      </c>
    </row>
    <row r="176" spans="2:4">
      <c r="B176" s="3355" t="s">
        <v>3310</v>
      </c>
      <c r="C176" s="3355" t="s">
        <v>3230</v>
      </c>
      <c r="D176">
        <v>281.43</v>
      </c>
    </row>
    <row r="177" spans="2:4">
      <c r="B177" s="3355" t="s">
        <v>3311</v>
      </c>
      <c r="C177" s="3355" t="s">
        <v>3230</v>
      </c>
      <c r="D177">
        <v>98.83</v>
      </c>
    </row>
    <row r="178" spans="2:4">
      <c r="B178" s="3355" t="s">
        <v>3312</v>
      </c>
      <c r="C178" s="3355" t="s">
        <v>3230</v>
      </c>
      <c r="D178">
        <v>123.54</v>
      </c>
    </row>
    <row r="179" spans="2:4">
      <c r="B179" s="3355" t="s">
        <v>3313</v>
      </c>
      <c r="C179" s="3355" t="s">
        <v>3230</v>
      </c>
      <c r="D179">
        <v>118.6</v>
      </c>
    </row>
    <row r="180" spans="2:4">
      <c r="B180" s="3355" t="s">
        <v>3314</v>
      </c>
      <c r="C180" s="3355" t="s">
        <v>3230</v>
      </c>
      <c r="D180">
        <v>82.59</v>
      </c>
    </row>
    <row r="181" spans="2:4">
      <c r="B181" s="3355" t="s">
        <v>3315</v>
      </c>
      <c r="C181" s="3355" t="s">
        <v>3230</v>
      </c>
      <c r="D181">
        <v>281.43</v>
      </c>
    </row>
    <row r="182" spans="2:4">
      <c r="B182" s="3355" t="s">
        <v>3316</v>
      </c>
      <c r="C182" s="3355" t="s">
        <v>3230</v>
      </c>
      <c r="D182">
        <v>156.61000000000001</v>
      </c>
    </row>
    <row r="183" spans="2:4">
      <c r="B183" s="3355" t="s">
        <v>3317</v>
      </c>
      <c r="C183" s="3355" t="s">
        <v>3230</v>
      </c>
      <c r="D183">
        <v>281.43</v>
      </c>
    </row>
    <row r="184" spans="2:4">
      <c r="B184" s="3355" t="s">
        <v>3318</v>
      </c>
      <c r="C184" s="3355" t="s">
        <v>3230</v>
      </c>
      <c r="D184">
        <v>98.83</v>
      </c>
    </row>
    <row r="185" spans="2:4">
      <c r="B185" s="3355" t="s">
        <v>3319</v>
      </c>
      <c r="C185" s="3355" t="s">
        <v>3230</v>
      </c>
      <c r="D185">
        <v>123.54</v>
      </c>
    </row>
    <row r="186" spans="2:4">
      <c r="B186" s="3355" t="s">
        <v>3320</v>
      </c>
      <c r="C186" s="3355" t="s">
        <v>3230</v>
      </c>
      <c r="D186">
        <v>123.54</v>
      </c>
    </row>
    <row r="187" spans="2:4">
      <c r="B187" s="3355" t="s">
        <v>3321</v>
      </c>
      <c r="C187" s="3355" t="s">
        <v>3230</v>
      </c>
      <c r="D187">
        <v>98.83</v>
      </c>
    </row>
    <row r="188" spans="2:4">
      <c r="B188" s="3355" t="s">
        <v>3322</v>
      </c>
      <c r="C188" s="3355" t="s">
        <v>3230</v>
      </c>
      <c r="D188">
        <v>281.42</v>
      </c>
    </row>
    <row r="189" spans="2:4">
      <c r="B189" s="3355" t="s">
        <v>3323</v>
      </c>
      <c r="C189" s="3355" t="s">
        <v>3230</v>
      </c>
      <c r="D189">
        <v>156.61000000000001</v>
      </c>
    </row>
    <row r="190" spans="2:4">
      <c r="B190" s="3355" t="s">
        <v>3324</v>
      </c>
      <c r="C190" s="3355" t="s">
        <v>3230</v>
      </c>
      <c r="D190">
        <v>281.43</v>
      </c>
    </row>
    <row r="191" spans="2:4">
      <c r="B191" s="3355" t="s">
        <v>3325</v>
      </c>
      <c r="C191" s="3355" t="s">
        <v>3230</v>
      </c>
      <c r="D191">
        <v>98.83</v>
      </c>
    </row>
    <row r="192" spans="2:4">
      <c r="B192" s="3355" t="s">
        <v>3326</v>
      </c>
      <c r="C192" s="3355" t="s">
        <v>3230</v>
      </c>
      <c r="D192">
        <v>123.54</v>
      </c>
    </row>
    <row r="193" spans="2:4">
      <c r="B193" s="3355" t="s">
        <v>3327</v>
      </c>
      <c r="C193" s="3355" t="s">
        <v>3230</v>
      </c>
      <c r="D193">
        <v>123.54</v>
      </c>
    </row>
    <row r="194" spans="2:4">
      <c r="B194" s="3355" t="s">
        <v>3243</v>
      </c>
      <c r="C194" s="3355" t="s">
        <v>3230</v>
      </c>
      <c r="D194">
        <v>98.83</v>
      </c>
    </row>
    <row r="195" spans="2:4">
      <c r="B195" s="3355" t="s">
        <v>3244</v>
      </c>
      <c r="C195" s="3355" t="s">
        <v>3230</v>
      </c>
      <c r="D195">
        <v>281.43</v>
      </c>
    </row>
    <row r="196" spans="2:4">
      <c r="B196" s="3355" t="s">
        <v>3245</v>
      </c>
      <c r="C196" s="3355" t="s">
        <v>3230</v>
      </c>
      <c r="D196">
        <v>156.61000000000001</v>
      </c>
    </row>
    <row r="197" spans="2:4">
      <c r="B197" s="3355" t="s">
        <v>3246</v>
      </c>
      <c r="C197" s="3355" t="s">
        <v>3230</v>
      </c>
      <c r="D197">
        <v>281.43</v>
      </c>
    </row>
    <row r="198" spans="2:4">
      <c r="B198" s="3355" t="s">
        <v>3247</v>
      </c>
      <c r="C198" s="3355" t="s">
        <v>3230</v>
      </c>
      <c r="D198">
        <v>98.83</v>
      </c>
    </row>
    <row r="199" spans="2:4">
      <c r="B199" s="3355" t="s">
        <v>3248</v>
      </c>
      <c r="C199" s="3355" t="s">
        <v>3230</v>
      </c>
      <c r="D199">
        <v>123.54</v>
      </c>
    </row>
    <row r="200" spans="2:4">
      <c r="B200" s="3355" t="s">
        <v>3249</v>
      </c>
      <c r="C200" s="3355" t="s">
        <v>3230</v>
      </c>
      <c r="D200">
        <v>123.54</v>
      </c>
    </row>
    <row r="201" spans="2:4">
      <c r="B201" s="3355" t="s">
        <v>3250</v>
      </c>
      <c r="C201" s="3355" t="s">
        <v>3230</v>
      </c>
      <c r="D201">
        <v>98.83</v>
      </c>
    </row>
    <row r="202" spans="2:4">
      <c r="B202" s="3355" t="s">
        <v>3251</v>
      </c>
      <c r="C202" s="3355" t="s">
        <v>3230</v>
      </c>
      <c r="D202">
        <v>281.42</v>
      </c>
    </row>
    <row r="203" spans="2:4">
      <c r="B203" s="3355" t="s">
        <v>3252</v>
      </c>
      <c r="C203" s="3355" t="s">
        <v>3230</v>
      </c>
      <c r="D203">
        <v>156.61000000000001</v>
      </c>
    </row>
    <row r="204" spans="2:4">
      <c r="B204" s="3355" t="s">
        <v>3253</v>
      </c>
      <c r="C204" s="3355" t="s">
        <v>3230</v>
      </c>
      <c r="D204">
        <v>281.43</v>
      </c>
    </row>
    <row r="205" spans="2:4">
      <c r="B205" s="3355" t="s">
        <v>3254</v>
      </c>
      <c r="C205" s="3355" t="s">
        <v>3230</v>
      </c>
      <c r="D205">
        <v>98.83</v>
      </c>
    </row>
    <row r="206" spans="2:4">
      <c r="B206" s="3355" t="s">
        <v>3255</v>
      </c>
      <c r="C206" s="3355" t="s">
        <v>3230</v>
      </c>
      <c r="D206">
        <v>123.54</v>
      </c>
    </row>
    <row r="207" spans="2:4">
      <c r="B207" s="3355" t="s">
        <v>3256</v>
      </c>
      <c r="C207" s="3355" t="s">
        <v>3230</v>
      </c>
      <c r="D207">
        <v>123.54</v>
      </c>
    </row>
    <row r="208" spans="2:4">
      <c r="B208" s="3355" t="s">
        <v>3257</v>
      </c>
      <c r="C208" s="3355" t="s">
        <v>3230</v>
      </c>
      <c r="D208">
        <v>98.83</v>
      </c>
    </row>
    <row r="209" spans="2:4">
      <c r="B209" s="3355" t="s">
        <v>3258</v>
      </c>
      <c r="C209" s="3355" t="s">
        <v>3230</v>
      </c>
      <c r="D209">
        <v>281.43</v>
      </c>
    </row>
    <row r="210" spans="2:4">
      <c r="B210" s="3355" t="s">
        <v>3259</v>
      </c>
      <c r="C210" s="3355" t="s">
        <v>3230</v>
      </c>
      <c r="D210">
        <v>156.61000000000001</v>
      </c>
    </row>
    <row r="211" spans="2:4">
      <c r="B211" s="3355" t="s">
        <v>3260</v>
      </c>
      <c r="C211" s="3355" t="s">
        <v>3230</v>
      </c>
      <c r="D211">
        <v>281.43</v>
      </c>
    </row>
    <row r="212" spans="2:4">
      <c r="B212" s="3355" t="s">
        <v>3261</v>
      </c>
      <c r="C212" s="3355" t="s">
        <v>3230</v>
      </c>
      <c r="D212">
        <v>98.83</v>
      </c>
    </row>
    <row r="213" spans="2:4">
      <c r="B213" s="3355" t="s">
        <v>3262</v>
      </c>
      <c r="C213" s="3355" t="s">
        <v>3230</v>
      </c>
      <c r="D213">
        <v>123.54</v>
      </c>
    </row>
    <row r="214" spans="2:4">
      <c r="B214" s="3355" t="s">
        <v>3263</v>
      </c>
      <c r="C214" s="3355" t="s">
        <v>3230</v>
      </c>
      <c r="D214">
        <v>123.54</v>
      </c>
    </row>
    <row r="215" spans="2:4">
      <c r="B215" s="3355" t="s">
        <v>3264</v>
      </c>
      <c r="C215" s="3355" t="s">
        <v>3230</v>
      </c>
      <c r="D215">
        <v>98.83</v>
      </c>
    </row>
    <row r="216" spans="2:4">
      <c r="B216" s="3355" t="s">
        <v>3265</v>
      </c>
      <c r="C216" s="3355" t="s">
        <v>3230</v>
      </c>
      <c r="D216">
        <v>281.42</v>
      </c>
    </row>
    <row r="217" spans="2:4">
      <c r="B217" s="3355" t="s">
        <v>3266</v>
      </c>
      <c r="C217" s="3355" t="s">
        <v>3230</v>
      </c>
      <c r="D217">
        <v>156.61000000000001</v>
      </c>
    </row>
    <row r="218" spans="2:4">
      <c r="B218" s="3355" t="s">
        <v>3267</v>
      </c>
      <c r="C218" s="3355" t="s">
        <v>3230</v>
      </c>
      <c r="D218">
        <v>281.43</v>
      </c>
    </row>
    <row r="219" spans="2:4">
      <c r="B219" s="3355" t="s">
        <v>3268</v>
      </c>
      <c r="C219" s="3355" t="s">
        <v>3230</v>
      </c>
      <c r="D219">
        <v>98.83</v>
      </c>
    </row>
    <row r="220" spans="2:4">
      <c r="B220" s="3355" t="s">
        <v>3269</v>
      </c>
      <c r="C220" s="3355" t="s">
        <v>3230</v>
      </c>
      <c r="D220">
        <v>123.54</v>
      </c>
    </row>
    <row r="221" spans="2:4">
      <c r="B221" s="3355" t="s">
        <v>3270</v>
      </c>
      <c r="C221" s="3355" t="s">
        <v>3230</v>
      </c>
      <c r="D221">
        <v>123.54</v>
      </c>
    </row>
    <row r="222" spans="2:4">
      <c r="B222" s="3355" t="s">
        <v>3271</v>
      </c>
      <c r="C222" s="3355" t="s">
        <v>3230</v>
      </c>
      <c r="D222">
        <v>98.83</v>
      </c>
    </row>
    <row r="223" spans="2:4">
      <c r="B223" s="3355" t="s">
        <v>3272</v>
      </c>
      <c r="C223" s="3355" t="s">
        <v>3230</v>
      </c>
      <c r="D223">
        <v>281.43</v>
      </c>
    </row>
    <row r="224" spans="2:4">
      <c r="B224" s="3355" t="s">
        <v>3273</v>
      </c>
      <c r="C224" s="3355" t="s">
        <v>3230</v>
      </c>
      <c r="D224">
        <v>156.61000000000001</v>
      </c>
    </row>
    <row r="225" spans="2:4">
      <c r="B225" s="3355" t="s">
        <v>3274</v>
      </c>
      <c r="C225" s="3355" t="s">
        <v>3230</v>
      </c>
      <c r="D225">
        <v>281.43</v>
      </c>
    </row>
    <row r="226" spans="2:4">
      <c r="B226" s="3355" t="s">
        <v>3275</v>
      </c>
      <c r="C226" s="3355" t="s">
        <v>3230</v>
      </c>
      <c r="D226">
        <v>98.83</v>
      </c>
    </row>
    <row r="227" spans="2:4">
      <c r="B227" s="3355" t="s">
        <v>3276</v>
      </c>
      <c r="C227" s="3355" t="s">
        <v>3230</v>
      </c>
      <c r="D227">
        <v>123.54</v>
      </c>
    </row>
    <row r="228" spans="2:4">
      <c r="B228" s="3355" t="s">
        <v>3277</v>
      </c>
      <c r="C228" s="3355" t="s">
        <v>3230</v>
      </c>
      <c r="D228">
        <v>123.54</v>
      </c>
    </row>
    <row r="229" spans="2:4">
      <c r="B229" s="3355" t="s">
        <v>3278</v>
      </c>
      <c r="C229" s="3355" t="s">
        <v>3230</v>
      </c>
      <c r="D229">
        <v>98.83</v>
      </c>
    </row>
    <row r="230" spans="2:4">
      <c r="B230" s="3355" t="s">
        <v>3279</v>
      </c>
      <c r="C230" s="3355" t="s">
        <v>3230</v>
      </c>
      <c r="D230">
        <v>281.42</v>
      </c>
    </row>
    <row r="231" spans="2:4">
      <c r="B231" s="3355" t="s">
        <v>3280</v>
      </c>
      <c r="C231" s="3355" t="s">
        <v>3230</v>
      </c>
      <c r="D231">
        <v>156.61000000000001</v>
      </c>
    </row>
    <row r="232" spans="2:4">
      <c r="B232" s="3355" t="s">
        <v>3281</v>
      </c>
      <c r="C232" s="3355" t="s">
        <v>3230</v>
      </c>
      <c r="D232">
        <v>281.43</v>
      </c>
    </row>
    <row r="233" spans="2:4">
      <c r="B233" s="3355" t="s">
        <v>3282</v>
      </c>
      <c r="C233" s="3355" t="s">
        <v>3230</v>
      </c>
      <c r="D233">
        <v>98.83</v>
      </c>
    </row>
    <row r="234" spans="2:4">
      <c r="B234" s="3355" t="s">
        <v>3283</v>
      </c>
      <c r="C234" s="3355" t="s">
        <v>3230</v>
      </c>
      <c r="D234">
        <v>123.54</v>
      </c>
    </row>
    <row r="235" spans="2:4">
      <c r="B235" s="3355" t="s">
        <v>3284</v>
      </c>
      <c r="C235" s="3355" t="s">
        <v>3230</v>
      </c>
      <c r="D235">
        <v>123.54</v>
      </c>
    </row>
    <row r="236" spans="2:4">
      <c r="B236" s="3355" t="s">
        <v>3285</v>
      </c>
      <c r="C236" s="3355" t="s">
        <v>3230</v>
      </c>
      <c r="D236">
        <v>98.83</v>
      </c>
    </row>
    <row r="237" spans="2:4">
      <c r="B237" s="3355" t="s">
        <v>3286</v>
      </c>
      <c r="C237" s="3355" t="s">
        <v>3230</v>
      </c>
      <c r="D237">
        <v>255.79</v>
      </c>
    </row>
    <row r="238" spans="2:4">
      <c r="B238" s="3355" t="s">
        <v>3287</v>
      </c>
      <c r="C238" s="3355" t="s">
        <v>3230</v>
      </c>
      <c r="D238">
        <v>98.83</v>
      </c>
    </row>
    <row r="239" spans="2:4">
      <c r="B239" s="3355" t="s">
        <v>3288</v>
      </c>
      <c r="C239" s="3355" t="s">
        <v>3230</v>
      </c>
      <c r="D239">
        <v>281.42</v>
      </c>
    </row>
    <row r="240" spans="2:4">
      <c r="B240" s="3355" t="s">
        <v>3289</v>
      </c>
      <c r="C240" s="3355" t="s">
        <v>3230</v>
      </c>
      <c r="D240">
        <v>156.61000000000001</v>
      </c>
    </row>
    <row r="241" spans="2:4">
      <c r="B241" s="3355" t="s">
        <v>3290</v>
      </c>
      <c r="C241" s="3355" t="s">
        <v>3230</v>
      </c>
      <c r="D241">
        <v>281.43</v>
      </c>
    </row>
    <row r="242" spans="2:4">
      <c r="B242" s="3355" t="s">
        <v>3291</v>
      </c>
      <c r="C242" s="3355" t="s">
        <v>3230</v>
      </c>
      <c r="D242">
        <v>98.83</v>
      </c>
    </row>
    <row r="243" spans="2:4">
      <c r="B243" s="3355" t="s">
        <v>3292</v>
      </c>
      <c r="C243" s="3355" t="s">
        <v>3230</v>
      </c>
      <c r="D243">
        <v>255.79</v>
      </c>
    </row>
    <row r="244" spans="2:4">
      <c r="B244" s="3355" t="s">
        <v>3293</v>
      </c>
      <c r="C244" s="3355" t="s">
        <v>3230</v>
      </c>
      <c r="D244">
        <v>255.79</v>
      </c>
    </row>
    <row r="245" spans="2:4">
      <c r="B245" s="3355" t="s">
        <v>3294</v>
      </c>
      <c r="C245" s="3355" t="s">
        <v>3230</v>
      </c>
      <c r="D245">
        <v>98.83</v>
      </c>
    </row>
    <row r="246" spans="2:4">
      <c r="B246" s="3355" t="s">
        <v>3295</v>
      </c>
      <c r="C246" s="3355" t="s">
        <v>3230</v>
      </c>
      <c r="D246">
        <v>281.42</v>
      </c>
    </row>
    <row r="247" spans="2:4">
      <c r="B247" s="3355" t="s">
        <v>3296</v>
      </c>
      <c r="C247" s="3355" t="s">
        <v>3230</v>
      </c>
      <c r="D247">
        <v>156.61000000000001</v>
      </c>
    </row>
    <row r="248" spans="2:4">
      <c r="B248" s="3355" t="s">
        <v>3297</v>
      </c>
      <c r="C248" s="3355" t="s">
        <v>3230</v>
      </c>
      <c r="D248">
        <v>281.43</v>
      </c>
    </row>
    <row r="249" spans="2:4">
      <c r="B249" s="3355" t="s">
        <v>3298</v>
      </c>
      <c r="C249" s="3355" t="s">
        <v>3230</v>
      </c>
      <c r="D249">
        <v>98.83</v>
      </c>
    </row>
    <row r="250" spans="2:4">
      <c r="B250" s="3355" t="s">
        <v>3299</v>
      </c>
      <c r="C250" s="3355" t="s">
        <v>3230</v>
      </c>
      <c r="D250">
        <v>255.79</v>
      </c>
    </row>
    <row r="251" spans="2:4">
      <c r="D251">
        <f>SUM(D150:D250)</f>
        <v>18798.100000000028</v>
      </c>
    </row>
    <row r="252" spans="2:4">
      <c r="B252" s="3355" t="s">
        <v>3331</v>
      </c>
      <c r="C252" s="3355" t="s">
        <v>3218</v>
      </c>
      <c r="D252">
        <v>258.08</v>
      </c>
    </row>
    <row r="253" spans="2:4">
      <c r="B253" s="3355" t="s">
        <v>3332</v>
      </c>
      <c r="C253" s="3355" t="s">
        <v>3218</v>
      </c>
      <c r="D253">
        <v>231.03</v>
      </c>
    </row>
    <row r="254" spans="2:4">
      <c r="B254" s="3355" t="s">
        <v>3333</v>
      </c>
      <c r="C254" s="3355" t="s">
        <v>3218</v>
      </c>
      <c r="D254">
        <v>544.37</v>
      </c>
    </row>
    <row r="255" spans="2:4">
      <c r="B255" s="3355" t="s">
        <v>3334</v>
      </c>
      <c r="C255" s="3355" t="s">
        <v>3218</v>
      </c>
      <c r="D255">
        <v>448.24</v>
      </c>
    </row>
    <row r="256" spans="2:4">
      <c r="B256" s="3355" t="s">
        <v>3335</v>
      </c>
      <c r="C256" s="3355" t="s">
        <v>3218</v>
      </c>
      <c r="D256">
        <v>356.42</v>
      </c>
    </row>
    <row r="257" spans="2:4">
      <c r="B257" s="3355" t="s">
        <v>3336</v>
      </c>
      <c r="C257" s="3355" t="s">
        <v>3218</v>
      </c>
      <c r="D257">
        <v>410.57</v>
      </c>
    </row>
    <row r="258" spans="2:4">
      <c r="B258" s="3355" t="s">
        <v>3337</v>
      </c>
      <c r="C258" s="3355" t="s">
        <v>3218</v>
      </c>
      <c r="D258">
        <v>985.68</v>
      </c>
    </row>
    <row r="259" spans="2:4">
      <c r="B259" s="3355" t="s">
        <v>3338</v>
      </c>
      <c r="C259" s="3355" t="s">
        <v>3218</v>
      </c>
      <c r="D259">
        <v>120.79</v>
      </c>
    </row>
    <row r="260" spans="2:4">
      <c r="B260" s="3355" t="s">
        <v>3339</v>
      </c>
      <c r="C260" s="3355" t="s">
        <v>3218</v>
      </c>
      <c r="D260">
        <v>136.29</v>
      </c>
    </row>
    <row r="261" spans="2:4">
      <c r="B261" s="3355" t="s">
        <v>3340</v>
      </c>
      <c r="C261" s="3355" t="s">
        <v>3219</v>
      </c>
      <c r="D261">
        <v>276.51</v>
      </c>
    </row>
    <row r="262" spans="2:4">
      <c r="B262" s="3355" t="s">
        <v>3341</v>
      </c>
      <c r="C262" s="3355" t="s">
        <v>3219</v>
      </c>
      <c r="D262">
        <v>153.86000000000001</v>
      </c>
    </row>
    <row r="263" spans="2:4">
      <c r="B263" s="3355" t="s">
        <v>3342</v>
      </c>
      <c r="C263" s="3355" t="s">
        <v>3219</v>
      </c>
      <c r="D263">
        <v>276.51</v>
      </c>
    </row>
    <row r="264" spans="2:4">
      <c r="B264" s="3355" t="s">
        <v>3343</v>
      </c>
      <c r="C264" s="3355" t="s">
        <v>3219</v>
      </c>
      <c r="D264">
        <v>97.1</v>
      </c>
    </row>
    <row r="265" spans="2:4">
      <c r="B265" s="3355" t="s">
        <v>3344</v>
      </c>
      <c r="C265" s="3355" t="s">
        <v>3219</v>
      </c>
      <c r="D265">
        <v>121.38</v>
      </c>
    </row>
    <row r="266" spans="2:4">
      <c r="B266" s="3355" t="s">
        <v>3345</v>
      </c>
      <c r="C266" s="3355" t="s">
        <v>3219</v>
      </c>
      <c r="D266">
        <v>121.38</v>
      </c>
    </row>
    <row r="267" spans="2:4">
      <c r="B267" s="3355" t="s">
        <v>3346</v>
      </c>
      <c r="C267" s="3355" t="s">
        <v>3219</v>
      </c>
      <c r="D267">
        <v>97.1</v>
      </c>
    </row>
    <row r="268" spans="2:4">
      <c r="B268" s="3355" t="s">
        <v>3347</v>
      </c>
      <c r="C268" s="3355" t="s">
        <v>3219</v>
      </c>
      <c r="D268">
        <v>276.51</v>
      </c>
    </row>
    <row r="269" spans="2:4">
      <c r="B269" s="3355" t="s">
        <v>3348</v>
      </c>
      <c r="C269" s="3355" t="s">
        <v>3219</v>
      </c>
      <c r="D269">
        <v>153.86000000000001</v>
      </c>
    </row>
    <row r="270" spans="2:4">
      <c r="B270" s="3355" t="s">
        <v>3349</v>
      </c>
      <c r="C270" s="3355" t="s">
        <v>3219</v>
      </c>
      <c r="D270">
        <v>276.51</v>
      </c>
    </row>
    <row r="271" spans="2:4">
      <c r="B271" s="3355" t="s">
        <v>3350</v>
      </c>
      <c r="C271" s="3355" t="s">
        <v>3219</v>
      </c>
      <c r="D271">
        <v>97.1</v>
      </c>
    </row>
    <row r="272" spans="2:4">
      <c r="B272" s="3355" t="s">
        <v>3351</v>
      </c>
      <c r="C272" s="3355" t="s">
        <v>3219</v>
      </c>
      <c r="D272">
        <v>121.38</v>
      </c>
    </row>
    <row r="273" spans="2:4">
      <c r="B273" s="3355" t="s">
        <v>3352</v>
      </c>
      <c r="C273" s="3355" t="s">
        <v>3219</v>
      </c>
      <c r="D273">
        <v>121.38</v>
      </c>
    </row>
    <row r="274" spans="2:4">
      <c r="B274" s="3355" t="s">
        <v>3353</v>
      </c>
      <c r="C274" s="3355" t="s">
        <v>3219</v>
      </c>
      <c r="D274">
        <v>74.900000000000006</v>
      </c>
    </row>
    <row r="275" spans="2:4">
      <c r="B275" s="3355" t="s">
        <v>3354</v>
      </c>
      <c r="C275" s="3355" t="s">
        <v>3219</v>
      </c>
      <c r="D275">
        <v>276.51</v>
      </c>
    </row>
    <row r="276" spans="2:4">
      <c r="B276" s="3355" t="s">
        <v>3355</v>
      </c>
      <c r="C276" s="3355" t="s">
        <v>3219</v>
      </c>
      <c r="D276">
        <v>153.86000000000001</v>
      </c>
    </row>
    <row r="277" spans="2:4">
      <c r="B277" s="3355" t="s">
        <v>3356</v>
      </c>
      <c r="C277" s="3355" t="s">
        <v>3219</v>
      </c>
      <c r="D277">
        <v>276.51</v>
      </c>
    </row>
    <row r="278" spans="2:4">
      <c r="B278" s="3355" t="s">
        <v>3357</v>
      </c>
      <c r="C278" s="3355" t="s">
        <v>3219</v>
      </c>
      <c r="D278">
        <v>97.1</v>
      </c>
    </row>
    <row r="279" spans="2:4">
      <c r="B279" s="3355" t="s">
        <v>3358</v>
      </c>
      <c r="C279" s="3355" t="s">
        <v>3219</v>
      </c>
      <c r="D279">
        <v>121.38</v>
      </c>
    </row>
    <row r="280" spans="2:4">
      <c r="B280" s="3355" t="s">
        <v>3359</v>
      </c>
      <c r="C280" s="3355" t="s">
        <v>3219</v>
      </c>
      <c r="D280">
        <v>121.38</v>
      </c>
    </row>
    <row r="281" spans="2:4">
      <c r="B281" s="3355" t="s">
        <v>3360</v>
      </c>
      <c r="C281" s="3355" t="s">
        <v>3219</v>
      </c>
      <c r="D281">
        <v>97.1</v>
      </c>
    </row>
    <row r="282" spans="2:4">
      <c r="B282" s="3355" t="s">
        <v>3361</v>
      </c>
      <c r="C282" s="3355" t="s">
        <v>3219</v>
      </c>
      <c r="D282">
        <v>276.51</v>
      </c>
    </row>
    <row r="283" spans="2:4">
      <c r="B283" s="3355" t="s">
        <v>3362</v>
      </c>
      <c r="C283" s="3355" t="s">
        <v>3219</v>
      </c>
      <c r="D283">
        <v>153.86000000000001</v>
      </c>
    </row>
    <row r="284" spans="2:4">
      <c r="B284" s="3355" t="s">
        <v>3363</v>
      </c>
      <c r="C284" s="3355" t="s">
        <v>3219</v>
      </c>
      <c r="D284">
        <v>276.51</v>
      </c>
    </row>
    <row r="285" spans="2:4">
      <c r="B285" s="3355" t="s">
        <v>3364</v>
      </c>
      <c r="C285" s="3355" t="s">
        <v>3219</v>
      </c>
      <c r="D285">
        <v>97.1</v>
      </c>
    </row>
    <row r="286" spans="2:4">
      <c r="B286" s="3355" t="s">
        <v>3365</v>
      </c>
      <c r="C286" s="3355" t="s">
        <v>3219</v>
      </c>
      <c r="D286">
        <v>121.38</v>
      </c>
    </row>
    <row r="287" spans="2:4">
      <c r="B287" s="3355" t="s">
        <v>3366</v>
      </c>
      <c r="C287" s="3355" t="s">
        <v>3219</v>
      </c>
      <c r="D287">
        <v>121.38</v>
      </c>
    </row>
    <row r="288" spans="2:4">
      <c r="B288" s="3355" t="s">
        <v>3367</v>
      </c>
      <c r="C288" s="3355" t="s">
        <v>3219</v>
      </c>
      <c r="D288">
        <v>74.900000000000006</v>
      </c>
    </row>
    <row r="289" spans="2:4">
      <c r="B289" s="3355" t="s">
        <v>3368</v>
      </c>
      <c r="C289" s="3355" t="s">
        <v>3219</v>
      </c>
      <c r="D289">
        <v>276.51</v>
      </c>
    </row>
    <row r="290" spans="2:4">
      <c r="B290" s="3355" t="s">
        <v>3369</v>
      </c>
      <c r="C290" s="3355" t="s">
        <v>3219</v>
      </c>
      <c r="D290">
        <v>153.86000000000001</v>
      </c>
    </row>
    <row r="291" spans="2:4">
      <c r="B291" s="3355" t="s">
        <v>3370</v>
      </c>
      <c r="C291" s="3355" t="s">
        <v>3219</v>
      </c>
      <c r="D291">
        <v>276.51</v>
      </c>
    </row>
    <row r="292" spans="2:4">
      <c r="B292" s="3355" t="s">
        <v>3371</v>
      </c>
      <c r="C292" s="3355" t="s">
        <v>3219</v>
      </c>
      <c r="D292">
        <v>97.1</v>
      </c>
    </row>
    <row r="293" spans="2:4">
      <c r="B293" s="3355" t="s">
        <v>3372</v>
      </c>
      <c r="C293" s="3355" t="s">
        <v>3219</v>
      </c>
      <c r="D293">
        <v>121.38</v>
      </c>
    </row>
    <row r="294" spans="2:4">
      <c r="B294" s="3355" t="s">
        <v>3373</v>
      </c>
      <c r="C294" s="3355" t="s">
        <v>3219</v>
      </c>
      <c r="D294">
        <v>121.38</v>
      </c>
    </row>
    <row r="295" spans="2:4">
      <c r="B295" s="3355" t="s">
        <v>3374</v>
      </c>
      <c r="C295" s="3355" t="s">
        <v>3219</v>
      </c>
      <c r="D295">
        <v>97.1</v>
      </c>
    </row>
    <row r="296" spans="2:4">
      <c r="B296" s="3355" t="s">
        <v>3375</v>
      </c>
      <c r="C296" s="3355" t="s">
        <v>3219</v>
      </c>
      <c r="D296">
        <v>276.49</v>
      </c>
    </row>
    <row r="297" spans="2:4">
      <c r="B297" s="3355" t="s">
        <v>3376</v>
      </c>
      <c r="C297" s="3355" t="s">
        <v>3219</v>
      </c>
      <c r="D297">
        <v>153.86000000000001</v>
      </c>
    </row>
    <row r="298" spans="2:4">
      <c r="B298" s="3355" t="s">
        <v>3377</v>
      </c>
      <c r="C298" s="3355" t="s">
        <v>3219</v>
      </c>
      <c r="D298">
        <v>276.51</v>
      </c>
    </row>
    <row r="299" spans="2:4">
      <c r="B299" s="3355" t="s">
        <v>3378</v>
      </c>
      <c r="C299" s="3355" t="s">
        <v>3219</v>
      </c>
      <c r="D299">
        <v>97.1</v>
      </c>
    </row>
    <row r="300" spans="2:4">
      <c r="B300" s="3355" t="s">
        <v>3379</v>
      </c>
      <c r="C300" s="3355" t="s">
        <v>3219</v>
      </c>
      <c r="D300">
        <v>121.38</v>
      </c>
    </row>
    <row r="301" spans="2:4">
      <c r="B301" s="3355" t="s">
        <v>3380</v>
      </c>
      <c r="C301" s="3355" t="s">
        <v>3219</v>
      </c>
      <c r="D301">
        <v>121.38</v>
      </c>
    </row>
    <row r="302" spans="2:4">
      <c r="B302" s="3355" t="s">
        <v>3381</v>
      </c>
      <c r="C302" s="3355" t="s">
        <v>3219</v>
      </c>
      <c r="D302">
        <v>97.1</v>
      </c>
    </row>
    <row r="303" spans="2:4">
      <c r="B303" s="3355" t="s">
        <v>3382</v>
      </c>
      <c r="C303" s="3355" t="s">
        <v>3219</v>
      </c>
      <c r="D303">
        <v>276.51</v>
      </c>
    </row>
    <row r="304" spans="2:4">
      <c r="B304" s="3355" t="s">
        <v>3383</v>
      </c>
      <c r="C304" s="3355" t="s">
        <v>3219</v>
      </c>
      <c r="D304">
        <v>153.86000000000001</v>
      </c>
    </row>
    <row r="305" spans="2:4">
      <c r="B305" s="3355" t="s">
        <v>3384</v>
      </c>
      <c r="C305" s="3355" t="s">
        <v>3219</v>
      </c>
      <c r="D305">
        <v>276.51</v>
      </c>
    </row>
    <row r="306" spans="2:4">
      <c r="B306" s="3355" t="s">
        <v>3385</v>
      </c>
      <c r="C306" s="3355" t="s">
        <v>3219</v>
      </c>
      <c r="D306">
        <v>97.1</v>
      </c>
    </row>
    <row r="307" spans="2:4">
      <c r="B307" s="3355" t="s">
        <v>3386</v>
      </c>
      <c r="C307" s="3355" t="s">
        <v>3219</v>
      </c>
      <c r="D307">
        <v>121.38</v>
      </c>
    </row>
    <row r="308" spans="2:4">
      <c r="B308" s="3355" t="s">
        <v>3387</v>
      </c>
      <c r="C308" s="3355" t="s">
        <v>3219</v>
      </c>
      <c r="D308">
        <v>121.38</v>
      </c>
    </row>
    <row r="309" spans="2:4">
      <c r="B309" s="3355" t="s">
        <v>3388</v>
      </c>
      <c r="C309" s="3355" t="s">
        <v>3219</v>
      </c>
      <c r="D309">
        <v>97.1</v>
      </c>
    </row>
    <row r="310" spans="2:4">
      <c r="B310" s="3355" t="s">
        <v>3389</v>
      </c>
      <c r="C310" s="3355" t="s">
        <v>3219</v>
      </c>
      <c r="D310">
        <v>276.49</v>
      </c>
    </row>
    <row r="311" spans="2:4">
      <c r="B311" s="3355" t="s">
        <v>3390</v>
      </c>
      <c r="C311" s="3355" t="s">
        <v>3219</v>
      </c>
      <c r="D311">
        <v>153.86000000000001</v>
      </c>
    </row>
    <row r="312" spans="2:4">
      <c r="B312" s="3355" t="s">
        <v>3391</v>
      </c>
      <c r="C312" s="3355" t="s">
        <v>3219</v>
      </c>
      <c r="D312">
        <v>276.51</v>
      </c>
    </row>
    <row r="313" spans="2:4">
      <c r="B313" s="3355" t="s">
        <v>3392</v>
      </c>
      <c r="C313" s="3355" t="s">
        <v>3219</v>
      </c>
      <c r="D313">
        <v>97.1</v>
      </c>
    </row>
    <row r="314" spans="2:4">
      <c r="B314" s="3355" t="s">
        <v>3393</v>
      </c>
      <c r="C314" s="3355" t="s">
        <v>3219</v>
      </c>
      <c r="D314">
        <v>121.38</v>
      </c>
    </row>
    <row r="315" spans="2:4">
      <c r="B315" s="3355" t="s">
        <v>3394</v>
      </c>
      <c r="C315" s="3355" t="s">
        <v>3219</v>
      </c>
      <c r="D315">
        <v>121.38</v>
      </c>
    </row>
    <row r="316" spans="2:4">
      <c r="B316" s="3355" t="s">
        <v>3395</v>
      </c>
      <c r="C316" s="3355" t="s">
        <v>3219</v>
      </c>
      <c r="D316">
        <v>97.1</v>
      </c>
    </row>
    <row r="317" spans="2:4">
      <c r="B317" s="3355" t="s">
        <v>3396</v>
      </c>
      <c r="C317" s="3355" t="s">
        <v>3219</v>
      </c>
      <c r="D317">
        <v>276.51</v>
      </c>
    </row>
    <row r="318" spans="2:4">
      <c r="B318" s="3355" t="s">
        <v>3397</v>
      </c>
      <c r="C318" s="3355" t="s">
        <v>3219</v>
      </c>
      <c r="D318">
        <v>153.86000000000001</v>
      </c>
    </row>
    <row r="319" spans="2:4">
      <c r="B319" s="3355" t="s">
        <v>3398</v>
      </c>
      <c r="C319" s="3355" t="s">
        <v>3219</v>
      </c>
      <c r="D319">
        <v>276.51</v>
      </c>
    </row>
    <row r="320" spans="2:4">
      <c r="B320" s="3355" t="s">
        <v>3399</v>
      </c>
      <c r="C320" s="3355" t="s">
        <v>3219</v>
      </c>
      <c r="D320">
        <v>97.1</v>
      </c>
    </row>
    <row r="321" spans="2:4">
      <c r="B321" s="3355" t="s">
        <v>3400</v>
      </c>
      <c r="C321" s="3355" t="s">
        <v>3219</v>
      </c>
      <c r="D321">
        <v>121.38</v>
      </c>
    </row>
    <row r="322" spans="2:4">
      <c r="B322" s="3355" t="s">
        <v>3401</v>
      </c>
      <c r="C322" s="3355" t="s">
        <v>3219</v>
      </c>
      <c r="D322">
        <v>121.38</v>
      </c>
    </row>
    <row r="323" spans="2:4">
      <c r="B323" s="3355" t="s">
        <v>3402</v>
      </c>
      <c r="C323" s="3355" t="s">
        <v>3219</v>
      </c>
      <c r="D323">
        <v>97.1</v>
      </c>
    </row>
    <row r="324" spans="2:4">
      <c r="B324" s="3355" t="s">
        <v>3403</v>
      </c>
      <c r="C324" s="3355" t="s">
        <v>3219</v>
      </c>
      <c r="D324">
        <v>276.49</v>
      </c>
    </row>
    <row r="325" spans="2:4">
      <c r="B325" s="3355" t="s">
        <v>3404</v>
      </c>
      <c r="C325" s="3355" t="s">
        <v>3219</v>
      </c>
      <c r="D325">
        <v>153.86000000000001</v>
      </c>
    </row>
    <row r="326" spans="2:4">
      <c r="B326" s="3355" t="s">
        <v>3405</v>
      </c>
      <c r="C326" s="3355" t="s">
        <v>3219</v>
      </c>
      <c r="D326">
        <v>276.51</v>
      </c>
    </row>
    <row r="327" spans="2:4">
      <c r="B327" s="3355" t="s">
        <v>3406</v>
      </c>
      <c r="C327" s="3355" t="s">
        <v>3219</v>
      </c>
      <c r="D327">
        <v>97.1</v>
      </c>
    </row>
    <row r="328" spans="2:4">
      <c r="B328" s="3355" t="s">
        <v>3407</v>
      </c>
      <c r="C328" s="3355" t="s">
        <v>3219</v>
      </c>
      <c r="D328">
        <v>121.38</v>
      </c>
    </row>
    <row r="329" spans="2:4">
      <c r="B329" s="3355" t="s">
        <v>3408</v>
      </c>
      <c r="C329" s="3355" t="s">
        <v>3219</v>
      </c>
      <c r="D329">
        <v>121.38</v>
      </c>
    </row>
    <row r="330" spans="2:4">
      <c r="B330" s="3355" t="s">
        <v>3409</v>
      </c>
      <c r="C330" s="3355" t="s">
        <v>3219</v>
      </c>
      <c r="D330">
        <v>97.1</v>
      </c>
    </row>
    <row r="331" spans="2:4">
      <c r="B331" s="3355" t="s">
        <v>3410</v>
      </c>
      <c r="C331" s="3355" t="s">
        <v>3219</v>
      </c>
      <c r="D331">
        <v>276.51</v>
      </c>
    </row>
    <row r="332" spans="2:4">
      <c r="B332" s="3355" t="s">
        <v>3411</v>
      </c>
      <c r="C332" s="3355" t="s">
        <v>3219</v>
      </c>
      <c r="D332">
        <v>153.86000000000001</v>
      </c>
    </row>
    <row r="333" spans="2:4">
      <c r="B333" s="3355" t="s">
        <v>3412</v>
      </c>
      <c r="C333" s="3355" t="s">
        <v>3219</v>
      </c>
      <c r="D333">
        <v>276.51</v>
      </c>
    </row>
    <row r="334" spans="2:4">
      <c r="B334" s="3355" t="s">
        <v>3413</v>
      </c>
      <c r="C334" s="3355" t="s">
        <v>3219</v>
      </c>
      <c r="D334">
        <v>97.1</v>
      </c>
    </row>
    <row r="335" spans="2:4">
      <c r="B335" s="3355" t="s">
        <v>3414</v>
      </c>
      <c r="C335" s="3355" t="s">
        <v>3219</v>
      </c>
      <c r="D335">
        <v>121.38</v>
      </c>
    </row>
    <row r="336" spans="2:4">
      <c r="B336" s="3355" t="s">
        <v>3415</v>
      </c>
      <c r="C336" s="3355" t="s">
        <v>3219</v>
      </c>
      <c r="D336">
        <v>121.38</v>
      </c>
    </row>
    <row r="337" spans="2:4">
      <c r="B337" s="3355" t="s">
        <v>3416</v>
      </c>
      <c r="C337" s="3355" t="s">
        <v>3219</v>
      </c>
      <c r="D337">
        <v>97.1</v>
      </c>
    </row>
    <row r="338" spans="2:4">
      <c r="B338" s="3355" t="s">
        <v>3417</v>
      </c>
      <c r="C338" s="3355" t="s">
        <v>3219</v>
      </c>
      <c r="D338">
        <v>276.49</v>
      </c>
    </row>
    <row r="339" spans="2:4">
      <c r="B339" s="3355" t="s">
        <v>3418</v>
      </c>
      <c r="C339" s="3355" t="s">
        <v>3219</v>
      </c>
      <c r="D339">
        <v>153.86000000000001</v>
      </c>
    </row>
    <row r="340" spans="2:4">
      <c r="B340" s="3355" t="s">
        <v>3419</v>
      </c>
      <c r="C340" s="3355" t="s">
        <v>3219</v>
      </c>
      <c r="D340">
        <v>276.51</v>
      </c>
    </row>
    <row r="341" spans="2:4">
      <c r="B341" s="3355" t="s">
        <v>3420</v>
      </c>
      <c r="C341" s="3355" t="s">
        <v>3219</v>
      </c>
      <c r="D341">
        <v>97.1</v>
      </c>
    </row>
    <row r="342" spans="2:4">
      <c r="B342" s="3355" t="s">
        <v>3421</v>
      </c>
      <c r="C342" s="3355" t="s">
        <v>3219</v>
      </c>
      <c r="D342">
        <v>121.38</v>
      </c>
    </row>
    <row r="343" spans="2:4">
      <c r="B343" s="3355" t="s">
        <v>3422</v>
      </c>
      <c r="C343" s="3355" t="s">
        <v>3219</v>
      </c>
      <c r="D343">
        <v>121.38</v>
      </c>
    </row>
    <row r="344" spans="2:4">
      <c r="B344" s="3355" t="s">
        <v>3423</v>
      </c>
      <c r="C344" s="3355" t="s">
        <v>3219</v>
      </c>
      <c r="D344">
        <v>97.1</v>
      </c>
    </row>
    <row r="345" spans="2:4">
      <c r="B345" s="3355" t="s">
        <v>3424</v>
      </c>
      <c r="C345" s="3355" t="s">
        <v>3219</v>
      </c>
      <c r="D345">
        <v>276.51</v>
      </c>
    </row>
    <row r="346" spans="2:4">
      <c r="B346" s="3355" t="s">
        <v>3425</v>
      </c>
      <c r="C346" s="3355" t="s">
        <v>3219</v>
      </c>
      <c r="D346">
        <v>153.86000000000001</v>
      </c>
    </row>
    <row r="347" spans="2:4">
      <c r="B347" s="3355" t="s">
        <v>3426</v>
      </c>
      <c r="C347" s="3355" t="s">
        <v>3219</v>
      </c>
      <c r="D347">
        <v>276.51</v>
      </c>
    </row>
    <row r="348" spans="2:4">
      <c r="B348" s="3355" t="s">
        <v>3427</v>
      </c>
      <c r="C348" s="3355" t="s">
        <v>3219</v>
      </c>
      <c r="D348">
        <v>97.1</v>
      </c>
    </row>
    <row r="349" spans="2:4">
      <c r="B349" s="3355" t="s">
        <v>3428</v>
      </c>
      <c r="C349" s="3355" t="s">
        <v>3219</v>
      </c>
      <c r="D349">
        <v>121.38</v>
      </c>
    </row>
    <row r="350" spans="2:4">
      <c r="B350" s="3355" t="s">
        <v>3429</v>
      </c>
      <c r="C350" s="3355" t="s">
        <v>3219</v>
      </c>
      <c r="D350">
        <v>121.38</v>
      </c>
    </row>
    <row r="351" spans="2:4">
      <c r="B351" s="3355" t="s">
        <v>3430</v>
      </c>
      <c r="C351" s="3355" t="s">
        <v>3219</v>
      </c>
      <c r="D351">
        <v>97.1</v>
      </c>
    </row>
    <row r="352" spans="2:4">
      <c r="B352" s="3355" t="s">
        <v>3431</v>
      </c>
      <c r="C352" s="3355" t="s">
        <v>3219</v>
      </c>
      <c r="D352">
        <v>276.49</v>
      </c>
    </row>
    <row r="353" spans="2:4">
      <c r="B353" s="3355" t="s">
        <v>3432</v>
      </c>
      <c r="C353" s="3355" t="s">
        <v>3219</v>
      </c>
      <c r="D353">
        <v>153.86000000000001</v>
      </c>
    </row>
    <row r="354" spans="2:4">
      <c r="B354" s="3355" t="s">
        <v>3433</v>
      </c>
      <c r="C354" s="3355" t="s">
        <v>3219</v>
      </c>
      <c r="D354">
        <v>276.51</v>
      </c>
    </row>
    <row r="355" spans="2:4">
      <c r="B355" s="3355" t="s">
        <v>3434</v>
      </c>
      <c r="C355" s="3355" t="s">
        <v>3219</v>
      </c>
      <c r="D355">
        <v>97.1</v>
      </c>
    </row>
    <row r="356" spans="2:4">
      <c r="B356" s="3355" t="s">
        <v>3435</v>
      </c>
      <c r="C356" s="3355" t="s">
        <v>3219</v>
      </c>
      <c r="D356">
        <v>121.38</v>
      </c>
    </row>
    <row r="357" spans="2:4">
      <c r="B357" s="3355" t="s">
        <v>3436</v>
      </c>
      <c r="C357" s="3355" t="s">
        <v>3219</v>
      </c>
      <c r="D357">
        <v>121.38</v>
      </c>
    </row>
    <row r="358" spans="2:4">
      <c r="B358" s="3355" t="s">
        <v>3437</v>
      </c>
      <c r="C358" s="3355" t="s">
        <v>3219</v>
      </c>
      <c r="D358">
        <v>97.1</v>
      </c>
    </row>
    <row r="359" spans="2:4">
      <c r="B359" s="3355" t="s">
        <v>3438</v>
      </c>
      <c r="C359" s="3355" t="s">
        <v>3219</v>
      </c>
      <c r="D359">
        <v>249.38</v>
      </c>
    </row>
    <row r="360" spans="2:4">
      <c r="B360" s="3355" t="s">
        <v>3439</v>
      </c>
      <c r="C360" s="3355" t="s">
        <v>3219</v>
      </c>
      <c r="D360">
        <v>97.1</v>
      </c>
    </row>
    <row r="361" spans="2:4">
      <c r="B361" s="3355" t="s">
        <v>3440</v>
      </c>
      <c r="C361" s="3355" t="s">
        <v>3219</v>
      </c>
      <c r="D361">
        <v>276.49</v>
      </c>
    </row>
    <row r="362" spans="2:4">
      <c r="B362" s="3355" t="s">
        <v>3441</v>
      </c>
      <c r="C362" s="3355" t="s">
        <v>3219</v>
      </c>
      <c r="D362">
        <v>153.86000000000001</v>
      </c>
    </row>
    <row r="363" spans="2:4">
      <c r="B363" s="3355" t="s">
        <v>3442</v>
      </c>
      <c r="C363" s="3355" t="s">
        <v>3219</v>
      </c>
      <c r="D363">
        <v>276.51</v>
      </c>
    </row>
    <row r="364" spans="2:4">
      <c r="B364" s="3355" t="s">
        <v>3443</v>
      </c>
      <c r="C364" s="3355" t="s">
        <v>3219</v>
      </c>
      <c r="D364">
        <v>97.1</v>
      </c>
    </row>
    <row r="365" spans="2:4">
      <c r="B365" s="3355" t="s">
        <v>3330</v>
      </c>
      <c r="C365" s="3355" t="s">
        <v>3219</v>
      </c>
      <c r="D365">
        <v>249.38</v>
      </c>
    </row>
    <row r="366" spans="2:4">
      <c r="D366">
        <f>SUM(D252:D365)</f>
        <v>20860.549999999996</v>
      </c>
    </row>
  </sheetData>
  <mergeCells count="6">
    <mergeCell ref="H26:I26"/>
    <mergeCell ref="L21:M21"/>
    <mergeCell ref="H21:H22"/>
    <mergeCell ref="I21:I22"/>
    <mergeCell ref="J21:J22"/>
    <mergeCell ref="K21:K22"/>
  </mergeCells>
  <phoneticPr fontId="20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4" workbookViewId="0">
      <selection activeCell="I156" sqref="I156"/>
    </sheetView>
  </sheetViews>
  <sheetFormatPr defaultRowHeight="13.5"/>
  <sheetData/>
  <phoneticPr fontId="20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1" t="s">
        <v>2035</v>
      </c>
      <c r="B1" s="3381"/>
      <c r="C1" s="3381"/>
      <c r="D1" s="3381"/>
      <c r="E1" s="3381"/>
      <c r="F1" s="3381"/>
      <c r="G1" s="3381"/>
      <c r="H1" s="3381"/>
      <c r="I1" s="3381"/>
    </row>
    <row r="2" spans="1:9" ht="30" customHeight="1" thickTop="1">
      <c r="A2" s="3382" t="s">
        <v>2875</v>
      </c>
      <c r="B2" s="3382" t="s">
        <v>2036</v>
      </c>
      <c r="C2" s="3382" t="s">
        <v>2037</v>
      </c>
      <c r="D2" s="3382" t="str">
        <f>'结果表（商业）'!D116</f>
        <v>出让国有建设用地使用权价值</v>
      </c>
      <c r="E2" s="3382"/>
      <c r="F2" s="3382" t="str">
        <f>'结果表（商业）'!F116</f>
        <v>在建建筑物价值</v>
      </c>
      <c r="G2" s="3382"/>
      <c r="H2" s="3382" t="s">
        <v>6</v>
      </c>
      <c r="I2" s="3382"/>
    </row>
    <row r="3" spans="1:9" ht="14.25">
      <c r="A3" s="3383"/>
      <c r="B3" s="3383"/>
      <c r="C3" s="3383"/>
      <c r="D3" s="1911" t="s">
        <v>7</v>
      </c>
      <c r="E3" s="1911" t="s">
        <v>2038</v>
      </c>
      <c r="F3" s="1911" t="s">
        <v>7</v>
      </c>
      <c r="G3" s="1911" t="s">
        <v>8</v>
      </c>
      <c r="H3" s="1911" t="s">
        <v>7</v>
      </c>
      <c r="I3" s="1911" t="s">
        <v>8</v>
      </c>
    </row>
    <row r="4" spans="1:9" ht="28.5">
      <c r="A4" s="1981" t="str">
        <f>项目基本情况!S2</f>
        <v>北京市丰台区汽车博物馆西路8号院1、2、3号楼房地产</v>
      </c>
      <c r="B4" s="1975">
        <f>项目基本情况!C17</f>
        <v>66965.320000000065</v>
      </c>
      <c r="C4" s="1975">
        <f>项目基本情况!C18</f>
        <v>15994.67</v>
      </c>
      <c r="D4" s="1975">
        <f ca="1">'结果表（商业）'!D118</f>
        <v>18358</v>
      </c>
      <c r="E4" s="1975">
        <f ca="1">'结果表（商业）'!E118</f>
        <v>41837</v>
      </c>
      <c r="F4" s="1975">
        <f ca="1">'结果表（商业）'!F118</f>
        <v>3787</v>
      </c>
      <c r="G4" s="1975">
        <f ca="1">'结果表（商业）'!G118</f>
        <v>8631</v>
      </c>
      <c r="H4" s="1975">
        <f ca="1">'结果表（商业）'!H118</f>
        <v>22145</v>
      </c>
      <c r="I4" s="1975">
        <f ca="1">'结果表（商业）'!I118</f>
        <v>50468</v>
      </c>
    </row>
    <row r="5" spans="1:9" ht="30" customHeight="1">
      <c r="A5" s="3383" t="s">
        <v>9</v>
      </c>
      <c r="B5" s="3383"/>
      <c r="C5" s="3383"/>
      <c r="D5" s="3384" t="str">
        <f ca="1">'结果表（商业）'!D119</f>
        <v>壹亿捌仟叁佰伍拾捌万元整</v>
      </c>
      <c r="E5" s="3384"/>
      <c r="F5" s="3384" t="str">
        <f ca="1">'结果表（商业）'!F119</f>
        <v>叁仟柒佰捌拾柒万元整</v>
      </c>
      <c r="G5" s="3384"/>
      <c r="H5" s="3384" t="str">
        <f ca="1">'结果表（商业）'!H119</f>
        <v>贰亿贰仟壹佰肆拾伍万元整</v>
      </c>
      <c r="I5" s="3384"/>
    </row>
    <row r="6" spans="1:9" ht="15.75">
      <c r="A6" s="3385" t="str">
        <f>'结果表（商业）'!A120</f>
        <v>估价师知悉的法定优先受偿款</v>
      </c>
      <c r="B6" s="3385"/>
      <c r="C6" s="3385"/>
      <c r="D6" s="3386">
        <f>'结果表（商业）'!D120</f>
        <v>0</v>
      </c>
      <c r="E6" s="3386"/>
      <c r="F6" s="3386"/>
      <c r="G6" s="3386"/>
      <c r="H6" s="3386"/>
      <c r="I6" s="3386"/>
    </row>
    <row r="7" spans="1:9" ht="14.25">
      <c r="A7" s="3383" t="s">
        <v>9</v>
      </c>
      <c r="B7" s="3383"/>
      <c r="C7" s="3383"/>
      <c r="D7" s="3387" t="str">
        <f>'结果表（商业）'!D121</f>
        <v>零元整</v>
      </c>
      <c r="E7" s="3388"/>
      <c r="F7" s="3388"/>
      <c r="G7" s="3388"/>
      <c r="H7" s="3388"/>
      <c r="I7" s="3389"/>
    </row>
    <row r="8" spans="1:9" ht="15.75">
      <c r="A8" s="3385" t="str">
        <f>'结果表（商业）'!A122</f>
        <v>房地产抵押价值</v>
      </c>
      <c r="B8" s="3385"/>
      <c r="C8" s="3385"/>
      <c r="D8" s="3386">
        <f ca="1">'结果表（商业）'!D122</f>
        <v>22145</v>
      </c>
      <c r="E8" s="3386"/>
      <c r="F8" s="3386"/>
      <c r="G8" s="3386"/>
      <c r="H8" s="3386"/>
      <c r="I8" s="3386"/>
    </row>
    <row r="9" spans="1:9" ht="14.25">
      <c r="A9" s="3383" t="s">
        <v>9</v>
      </c>
      <c r="B9" s="3383"/>
      <c r="C9" s="3383"/>
      <c r="D9" s="3384" t="str">
        <f ca="1">'结果表（商业）'!D123</f>
        <v>贰亿贰仟壹佰肆拾伍万元整</v>
      </c>
      <c r="E9" s="3384"/>
      <c r="F9" s="3384"/>
      <c r="G9" s="3384"/>
      <c r="H9" s="3384"/>
      <c r="I9" s="3384"/>
    </row>
    <row r="10" spans="1:9" ht="15.75">
      <c r="A10" s="3385" t="str">
        <f>'结果表（商业）'!A124</f>
        <v/>
      </c>
      <c r="B10" s="3385"/>
      <c r="C10" s="3385"/>
      <c r="D10" s="3386" t="str">
        <f>'结果表（商业）'!D124</f>
        <v>——</v>
      </c>
      <c r="E10" s="3386"/>
      <c r="F10" s="3386"/>
      <c r="G10" s="3386"/>
      <c r="H10" s="3386"/>
      <c r="I10" s="3386"/>
    </row>
    <row r="11" spans="1:9" ht="14.25">
      <c r="A11" s="3383" t="s">
        <v>9</v>
      </c>
      <c r="B11" s="3383"/>
      <c r="C11" s="3383"/>
      <c r="D11" s="3384" t="e">
        <f>'结果表（商业）'!D125</f>
        <v>#VALUE!</v>
      </c>
      <c r="E11" s="3384"/>
      <c r="F11" s="3384"/>
      <c r="G11" s="3384"/>
      <c r="H11" s="3384"/>
      <c r="I11" s="3384"/>
    </row>
    <row r="12" spans="1:9" ht="15.75">
      <c r="A12" s="3385" t="str">
        <f>'结果表（商业）'!A126</f>
        <v/>
      </c>
      <c r="B12" s="3385"/>
      <c r="C12" s="3385"/>
      <c r="D12" s="3386" t="str">
        <f>'结果表（商业）'!D126</f>
        <v>——</v>
      </c>
      <c r="E12" s="3386"/>
      <c r="F12" s="3386"/>
      <c r="G12" s="3386"/>
      <c r="H12" s="3386"/>
      <c r="I12" s="3386"/>
    </row>
    <row r="13" spans="1:9" ht="15" thickBot="1">
      <c r="A13" s="3390" t="s">
        <v>9</v>
      </c>
      <c r="B13" s="3390"/>
      <c r="C13" s="3390"/>
      <c r="D13" s="3391" t="e">
        <f>'结果表（商业）'!D127</f>
        <v>#VALUE!</v>
      </c>
      <c r="E13" s="3391"/>
      <c r="F13" s="3391"/>
      <c r="G13" s="3391"/>
      <c r="H13" s="3391"/>
      <c r="I13" s="3391"/>
    </row>
    <row r="14" spans="1:9" ht="14.25" thickTop="1">
      <c r="A14" s="3392" t="s">
        <v>2039</v>
      </c>
      <c r="B14" s="3392"/>
      <c r="C14" s="3392"/>
      <c r="D14" s="3392"/>
      <c r="E14" s="3392"/>
      <c r="F14" s="3392"/>
      <c r="G14" s="3392"/>
      <c r="H14" s="3392"/>
      <c r="I14" s="3392"/>
    </row>
    <row r="16" spans="1:9" ht="18.75">
      <c r="A16" s="1990" t="s">
        <v>2040</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393" t="s">
        <v>2851</v>
      </c>
      <c r="B1" s="3393"/>
      <c r="C1" s="3393"/>
      <c r="D1" s="3393"/>
    </row>
    <row r="2" spans="1:4" ht="18.75">
      <c r="A2" s="3394" t="s">
        <v>2110</v>
      </c>
      <c r="B2" s="3394"/>
      <c r="C2" s="3394"/>
      <c r="D2" s="3394"/>
    </row>
    <row r="3" spans="1:4" ht="18.75">
      <c r="A3" s="2609" t="s">
        <v>2111</v>
      </c>
      <c r="B3" s="2609" t="s">
        <v>2112</v>
      </c>
      <c r="C3" s="2609" t="s">
        <v>2113</v>
      </c>
      <c r="D3" s="2609" t="s">
        <v>2114</v>
      </c>
    </row>
    <row r="4" spans="1:4" ht="56.25" customHeight="1">
      <c r="A4" s="2615" t="str">
        <f>项目基本情况!B4</f>
        <v>刘梅</v>
      </c>
      <c r="B4" s="2610">
        <f ca="1">项目基本情况!C4</f>
        <v>1120140022</v>
      </c>
      <c r="C4" s="2613"/>
      <c r="D4" s="2611" t="s">
        <v>2115</v>
      </c>
    </row>
    <row r="5" spans="1:4" ht="56.25" customHeight="1">
      <c r="A5" s="2615" t="str">
        <f>项目基本情况!D4</f>
        <v>吴薇</v>
      </c>
      <c r="B5" s="2610">
        <f ca="1">项目基本情况!E4</f>
        <v>1419970001</v>
      </c>
      <c r="C5" s="2614"/>
      <c r="D5" s="2611" t="s">
        <v>2115</v>
      </c>
    </row>
    <row r="6" spans="1:4" ht="18.75">
      <c r="A6" s="3394" t="s">
        <v>2612</v>
      </c>
      <c r="B6" s="3394"/>
      <c r="C6" s="3394"/>
      <c r="D6" s="3394"/>
    </row>
    <row r="7" spans="1:4" ht="18.75">
      <c r="A7" s="2609" t="s">
        <v>2111</v>
      </c>
      <c r="B7" s="2610" t="s">
        <v>2116</v>
      </c>
      <c r="C7" s="2609" t="s">
        <v>2113</v>
      </c>
      <c r="D7" s="2609" t="s">
        <v>2114</v>
      </c>
    </row>
    <row r="8" spans="1:4" ht="56.25" customHeight="1">
      <c r="A8" s="2612" t="s">
        <v>2117</v>
      </c>
      <c r="B8" s="2612" t="s">
        <v>23</v>
      </c>
      <c r="C8" s="2613"/>
      <c r="D8" s="2611" t="s">
        <v>2115</v>
      </c>
    </row>
    <row r="9" spans="1:4">
      <c r="A9" s="1493"/>
      <c r="B9" s="1493"/>
      <c r="C9" s="1493"/>
      <c r="D9" s="1493"/>
    </row>
    <row r="10" spans="1:4" ht="18.75">
      <c r="A10" s="2091" t="s">
        <v>2118</v>
      </c>
      <c r="B10" s="1493"/>
      <c r="C10" s="1493"/>
      <c r="D10" s="1493"/>
    </row>
    <row r="11" spans="1:4" ht="30" customHeight="1">
      <c r="A11" s="3395" t="s">
        <v>2705</v>
      </c>
      <c r="B11" s="3396"/>
      <c r="C11" s="3396"/>
      <c r="D11" s="3396"/>
    </row>
    <row r="12" spans="1:4" ht="14.25">
      <c r="A12" s="3396" t="str">
        <f>IF(项目基本情况!B8="抵押","2.本《评估意见函》仅供金融机构进行内部审核使用，不做其他目的之用。","")</f>
        <v>2.本《评估意见函》仅供金融机构进行内部审核使用，不做其他目的之用。</v>
      </c>
      <c r="B12" s="3397"/>
      <c r="C12" s="3397"/>
      <c r="D12" s="3397"/>
    </row>
    <row r="13" spans="1:4" ht="30" customHeight="1">
      <c r="A13" s="33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7"/>
      <c r="C13" s="3397"/>
      <c r="D13" s="3397"/>
    </row>
    <row r="14" spans="1:4" ht="15.75" customHeight="1">
      <c r="A14" s="3396" t="str">
        <f>IF(项目基本情况!B8="抵押","4.本次评估估价师所知悉的法定优先受偿款情况说明如下：","")</f>
        <v>4.本次评估估价师所知悉的法定优先受偿款情况说明如下：</v>
      </c>
      <c r="B14" s="3397"/>
      <c r="C14" s="3397"/>
      <c r="D14" s="3397"/>
    </row>
    <row r="15" spans="1:4" ht="42" customHeight="1">
      <c r="A15" s="3396" t="str">
        <f>IF(项目基本情况!B8="抵押","（1）"&amp;CONCATENATE(项目基本情况!L20,项目基本情况!L21,项目基本情况!L22),"")</f>
        <v>（1）根据估价对象《房屋所有权证》复印件、《国有土地使用权》复印件，截至价值时点，估价对象抵押权未见登记。</v>
      </c>
      <c r="B15" s="3396"/>
      <c r="C15" s="3396"/>
      <c r="D15" s="3396"/>
    </row>
    <row r="16" spans="1:4" ht="30" customHeight="1">
      <c r="A16" s="3399" t="s">
        <v>2122</v>
      </c>
      <c r="B16" s="3399"/>
      <c r="C16" s="3399"/>
      <c r="D16" s="3399"/>
    </row>
    <row r="17" spans="1:4" ht="144" customHeight="1">
      <c r="A17" s="3399" t="s">
        <v>2123</v>
      </c>
      <c r="B17" s="3399"/>
      <c r="C17" s="3399"/>
      <c r="D17" s="3399"/>
    </row>
    <row r="18" spans="1:4" ht="15.75" customHeight="1">
      <c r="A18" s="3396" t="str">
        <f>IF(项目基本情况!B8="抵押",'结果表（商业）'!K120,"")</f>
        <v>故，本次评估不存在估价师知悉的法定优先受偿款</v>
      </c>
      <c r="B18" s="3396"/>
      <c r="C18" s="3396"/>
      <c r="D18" s="3396"/>
    </row>
    <row r="19" spans="1:4" ht="46.5" customHeight="1">
      <c r="A19" s="3396"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6"/>
      <c r="C19" s="3396"/>
      <c r="D19" s="3396"/>
    </row>
    <row r="20" spans="1:4" ht="57.75" customHeight="1">
      <c r="A20" s="3396" t="str">
        <f>IF('结果表（商业）'!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96"/>
      <c r="C20" s="3396"/>
      <c r="D20" s="3396"/>
    </row>
    <row r="21" spans="1:4" ht="57.75" customHeight="1">
      <c r="A21" s="3400" t="str">
        <f>IF('结果表（商业）'!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400"/>
      <c r="C21" s="3400"/>
      <c r="D21" s="3400"/>
    </row>
    <row r="22" spans="1:4" ht="18.75" customHeight="1">
      <c r="A22" s="3401" t="s">
        <v>2873</v>
      </c>
      <c r="B22" s="3401"/>
      <c r="C22" s="3401"/>
      <c r="D22" s="3401"/>
    </row>
    <row r="23" spans="1:4">
      <c r="A23" s="1982"/>
      <c r="B23" s="1991"/>
      <c r="C23" s="1991"/>
      <c r="D23" s="1991"/>
    </row>
    <row r="24" spans="1:4">
      <c r="A24" s="1982"/>
      <c r="B24" s="1991"/>
      <c r="C24" s="1991"/>
      <c r="D24" s="1991"/>
    </row>
    <row r="25" spans="1:4" ht="18.75">
      <c r="A25" s="1980" t="s">
        <v>2119</v>
      </c>
    </row>
    <row r="26" spans="1:4" ht="18.75">
      <c r="A26" s="1952"/>
    </row>
    <row r="27" spans="1:4" ht="18.75">
      <c r="A27" s="1952" t="s">
        <v>2120</v>
      </c>
    </row>
    <row r="30" spans="1:4" ht="18.75">
      <c r="D30" s="1980" t="s">
        <v>2121</v>
      </c>
    </row>
    <row r="31" spans="1:4" ht="13.5" customHeight="1">
      <c r="C31" s="3398">
        <v>42551</v>
      </c>
      <c r="D31" s="3398"/>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71" t="s">
        <v>2126</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3" customWidth="1"/>
    <col min="2" max="16384" width="14.5" style="1141"/>
  </cols>
  <sheetData>
    <row r="1" spans="1:7" s="1139" customFormat="1" ht="18.75">
      <c r="A1" s="1138" t="s">
        <v>573</v>
      </c>
    </row>
    <row r="3" spans="1:7">
      <c r="A3" s="1140" t="s">
        <v>546</v>
      </c>
      <c r="B3" s="1141" t="s">
        <v>547</v>
      </c>
      <c r="G3" s="1142"/>
    </row>
    <row r="4" spans="1:7">
      <c r="G4" s="1142"/>
    </row>
    <row r="5" spans="1:7">
      <c r="A5" s="1144" t="s">
        <v>537</v>
      </c>
      <c r="B5" s="1141" t="s">
        <v>548</v>
      </c>
      <c r="G5" s="1142"/>
    </row>
    <row r="6" spans="1:7">
      <c r="G6" s="1142"/>
    </row>
    <row r="7" spans="1:7">
      <c r="A7" s="1145" t="s">
        <v>1128</v>
      </c>
      <c r="B7" s="1141" t="s">
        <v>549</v>
      </c>
      <c r="G7" s="1142"/>
    </row>
    <row r="8" spans="1:7">
      <c r="G8" s="1142"/>
    </row>
    <row r="9" spans="1:7">
      <c r="A9" s="1146" t="s">
        <v>538</v>
      </c>
      <c r="B9" s="1141" t="s">
        <v>550</v>
      </c>
    </row>
    <row r="11" spans="1:7">
      <c r="A11" s="1147" t="s">
        <v>539</v>
      </c>
      <c r="B11" s="1148" t="s">
        <v>536</v>
      </c>
    </row>
    <row r="13" spans="1:7">
      <c r="A13" s="1149" t="s">
        <v>551</v>
      </c>
    </row>
    <row r="15" spans="1:7" ht="13.5">
      <c r="A15" s="3407" t="s">
        <v>552</v>
      </c>
      <c r="B15" s="3402" t="s">
        <v>1129</v>
      </c>
      <c r="C15" s="3403"/>
    </row>
    <row r="16" spans="1:7" ht="13.5">
      <c r="A16" s="3408"/>
      <c r="B16" s="3402" t="s">
        <v>525</v>
      </c>
      <c r="C16" s="3403"/>
    </row>
    <row r="17" spans="1:3" ht="13.5">
      <c r="A17" s="3408"/>
      <c r="B17" s="3405" t="s">
        <v>553</v>
      </c>
      <c r="C17" s="1150" t="s">
        <v>552</v>
      </c>
    </row>
    <row r="18" spans="1:3" ht="13.5">
      <c r="A18" s="3408"/>
      <c r="B18" s="3405"/>
      <c r="C18" s="1150" t="s">
        <v>554</v>
      </c>
    </row>
    <row r="19" spans="1:3" ht="13.5">
      <c r="A19" s="3408"/>
      <c r="B19" s="3405"/>
      <c r="C19" s="1150" t="s">
        <v>555</v>
      </c>
    </row>
    <row r="20" spans="1:3" ht="13.5">
      <c r="A20" s="3409"/>
      <c r="B20" s="3404" t="s">
        <v>556</v>
      </c>
      <c r="C20" s="3403"/>
    </row>
    <row r="21" spans="1:3" ht="13.5">
      <c r="A21" s="1151" t="s">
        <v>557</v>
      </c>
      <c r="B21" s="1152"/>
      <c r="C21" s="1153"/>
    </row>
    <row r="22" spans="1:3" ht="13.5">
      <c r="A22" s="3406" t="s">
        <v>558</v>
      </c>
      <c r="B22" s="3404" t="s">
        <v>559</v>
      </c>
      <c r="C22" s="3403"/>
    </row>
    <row r="23" spans="1:3" ht="13.5">
      <c r="A23" s="3406"/>
      <c r="B23" s="3404" t="s">
        <v>560</v>
      </c>
      <c r="C23" s="3403"/>
    </row>
    <row r="24" spans="1:3" ht="13.5">
      <c r="A24" s="3406"/>
      <c r="B24" s="3404" t="s">
        <v>561</v>
      </c>
      <c r="C24" s="3403"/>
    </row>
    <row r="25" spans="1:3" ht="13.5">
      <c r="A25" s="3406"/>
      <c r="B25" s="3405" t="s">
        <v>562</v>
      </c>
      <c r="C25" s="1150" t="s">
        <v>563</v>
      </c>
    </row>
    <row r="26" spans="1:3" ht="13.5">
      <c r="A26" s="3406"/>
      <c r="B26" s="3405"/>
      <c r="C26" s="1150" t="s">
        <v>564</v>
      </c>
    </row>
    <row r="27" spans="1:3" ht="13.5">
      <c r="A27" s="3406"/>
      <c r="B27" s="3405"/>
      <c r="C27" s="1150" t="s">
        <v>565</v>
      </c>
    </row>
    <row r="28" spans="1:3" ht="13.5">
      <c r="A28" s="3406"/>
      <c r="B28" s="3405"/>
      <c r="C28" s="1150" t="s">
        <v>566</v>
      </c>
    </row>
    <row r="29" spans="1:3" ht="13.5">
      <c r="A29" s="3406"/>
      <c r="B29" s="3405"/>
      <c r="C29" s="1150" t="s">
        <v>567</v>
      </c>
    </row>
    <row r="30" spans="1:3" ht="13.5">
      <c r="A30" s="3406"/>
      <c r="B30" s="3405"/>
      <c r="C30" s="1150" t="s">
        <v>568</v>
      </c>
    </row>
    <row r="31" spans="1:3" ht="13.5">
      <c r="A31" s="3406"/>
      <c r="B31" s="3405"/>
      <c r="C31" s="1150" t="s">
        <v>569</v>
      </c>
    </row>
    <row r="32" spans="1:3" ht="13.5">
      <c r="A32" s="3406"/>
      <c r="B32" s="3405"/>
      <c r="C32" s="1150" t="s">
        <v>570</v>
      </c>
    </row>
    <row r="33" spans="1:3" ht="13.5">
      <c r="A33" s="3406"/>
      <c r="B33" s="3405"/>
      <c r="C33" s="1150" t="s">
        <v>571</v>
      </c>
    </row>
    <row r="34" spans="1:3">
      <c r="A34" s="1154" t="s">
        <v>540</v>
      </c>
    </row>
    <row r="37" spans="1:3">
      <c r="A37" s="1154" t="s">
        <v>572</v>
      </c>
    </row>
    <row r="38" spans="1:3" ht="13.5">
      <c r="A38" s="1155" t="s">
        <v>541</v>
      </c>
    </row>
    <row r="39" spans="1:3" ht="13.5">
      <c r="A39" s="1155" t="s">
        <v>542</v>
      </c>
    </row>
    <row r="40" spans="1:3" ht="13.5">
      <c r="A40" s="1155" t="s">
        <v>543</v>
      </c>
    </row>
    <row r="41" spans="1:3" ht="13.5">
      <c r="A41" s="1156" t="s">
        <v>544</v>
      </c>
    </row>
    <row r="42" spans="1:3" ht="13.5">
      <c r="A42" s="1155" t="s">
        <v>545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1963</v>
      </c>
      <c r="B2" s="1889">
        <f ca="1">TODAY()</f>
        <v>42964</v>
      </c>
      <c r="C2" s="1890" t="s">
        <v>1964</v>
      </c>
      <c r="D2" s="1890"/>
    </row>
    <row r="3" spans="1:6" ht="24" customHeight="1">
      <c r="A3" s="1891" t="s">
        <v>1965</v>
      </c>
      <c r="B3" s="1892" t="s">
        <v>1966</v>
      </c>
      <c r="C3" s="1892" t="s">
        <v>1967</v>
      </c>
      <c r="D3" s="1893" t="s">
        <v>1968</v>
      </c>
      <c r="E3" s="1894" t="s">
        <v>1969</v>
      </c>
      <c r="F3" s="1892" t="s">
        <v>1967</v>
      </c>
    </row>
    <row r="4" spans="1:6" ht="24" customHeight="1">
      <c r="A4" s="3206" t="s">
        <v>1970</v>
      </c>
      <c r="B4" s="1894">
        <f ca="1">IF(C4&lt;B2,"已过期",1119970066)</f>
        <v>1119970066</v>
      </c>
      <c r="C4" s="3207">
        <v>43849</v>
      </c>
      <c r="D4" s="3206" t="s">
        <v>1970</v>
      </c>
      <c r="E4" s="1894">
        <f ca="1">IF(F4&lt;B2,"已过期",96010014)</f>
        <v>96010014</v>
      </c>
      <c r="F4" s="1903">
        <v>47118</v>
      </c>
    </row>
    <row r="5" spans="1:6" ht="24" customHeight="1">
      <c r="A5" s="3206" t="s">
        <v>1971</v>
      </c>
      <c r="B5" s="1894">
        <f ca="1">IF(C5&lt;B2,"已过期",1119970074)</f>
        <v>1119970074</v>
      </c>
      <c r="C5" s="3207">
        <v>43849</v>
      </c>
      <c r="D5" s="3206" t="s">
        <v>1971</v>
      </c>
      <c r="E5" s="1894">
        <f ca="1">IF(F5&lt;B2,"已过期",2002110027)</f>
        <v>2002110027</v>
      </c>
      <c r="F5" s="1903">
        <v>46752</v>
      </c>
    </row>
    <row r="6" spans="1:6" ht="24" customHeight="1">
      <c r="A6" s="3206" t="s">
        <v>1972</v>
      </c>
      <c r="B6" s="1894">
        <f ca="1">IF(C6&lt;B2,"已过期",1119970111)</f>
        <v>1119970111</v>
      </c>
      <c r="C6" s="3207">
        <v>43849</v>
      </c>
      <c r="D6" s="3206" t="s">
        <v>1972</v>
      </c>
      <c r="E6" s="1894">
        <f ca="1">IF(F6&lt;B2,"已过期",94010078)</f>
        <v>94010078</v>
      </c>
      <c r="F6" s="1903">
        <v>46387</v>
      </c>
    </row>
    <row r="7" spans="1:6" ht="24" customHeight="1">
      <c r="A7" s="3206" t="s">
        <v>1973</v>
      </c>
      <c r="B7" s="1894">
        <f ca="1">IF(C7&lt;B2,"已过期",1120050019)</f>
        <v>1120050019</v>
      </c>
      <c r="C7" s="3207">
        <v>43359</v>
      </c>
      <c r="D7" s="3206" t="s">
        <v>1973</v>
      </c>
      <c r="E7" s="1894">
        <f ca="1">IF(F7&lt;B2,"已过期",2002110030)</f>
        <v>2002110030</v>
      </c>
      <c r="F7" s="1903">
        <v>46387</v>
      </c>
    </row>
    <row r="8" spans="1:6" ht="24" customHeight="1">
      <c r="A8" s="3206" t="s">
        <v>1974</v>
      </c>
      <c r="B8" s="1894">
        <f ca="1">IF(C8&lt;B2,"已过期",1120000080)</f>
        <v>1120000080</v>
      </c>
      <c r="C8" s="3207">
        <v>43849</v>
      </c>
      <c r="D8" s="3206" t="s">
        <v>1974</v>
      </c>
      <c r="E8" s="1894">
        <f ca="1">IF(F8&lt;B2,"已过期",2000110082)</f>
        <v>2000110082</v>
      </c>
      <c r="F8" s="1903">
        <v>46387</v>
      </c>
    </row>
    <row r="9" spans="1:6" ht="24" customHeight="1">
      <c r="A9" s="3206" t="s">
        <v>1975</v>
      </c>
      <c r="B9" s="1894">
        <f ca="1">IF(C9&lt;B2,"已过期",1419970001)</f>
        <v>1419970001</v>
      </c>
      <c r="C9" s="3207">
        <v>43867</v>
      </c>
      <c r="D9" s="3206" t="s">
        <v>1975</v>
      </c>
      <c r="E9" s="1894">
        <f ca="1">IF(F9&lt;B2,"已过期",2002110125)</f>
        <v>2002110125</v>
      </c>
      <c r="F9" s="1903">
        <v>47118</v>
      </c>
    </row>
    <row r="10" spans="1:6" ht="24" customHeight="1">
      <c r="A10" s="3206" t="s">
        <v>1976</v>
      </c>
      <c r="B10" s="1894">
        <f ca="1">IF(C10&lt;B2,"已过期",1120060040)</f>
        <v>1120060040</v>
      </c>
      <c r="C10" s="3207">
        <v>43483</v>
      </c>
      <c r="D10" s="3206" t="s">
        <v>1976</v>
      </c>
      <c r="E10" s="1894">
        <f ca="1">IF(F10&lt;B2,"已过期",2004110096)</f>
        <v>2004110096</v>
      </c>
      <c r="F10" s="1903">
        <v>47118</v>
      </c>
    </row>
    <row r="11" spans="1:6" ht="24" customHeight="1">
      <c r="A11" s="3206" t="s">
        <v>1977</v>
      </c>
      <c r="B11" s="1894">
        <f ca="1">IF(C11&lt;B2,"已过期",1120100036)</f>
        <v>1120100036</v>
      </c>
      <c r="C11" s="3207">
        <v>43622</v>
      </c>
      <c r="D11" s="3206" t="s">
        <v>1977</v>
      </c>
      <c r="E11" s="1894">
        <f ca="1">IF(F11&lt;B2,"已过期",2010110070)</f>
        <v>2010110070</v>
      </c>
      <c r="F11" s="1903">
        <v>47907</v>
      </c>
    </row>
    <row r="12" spans="1:6" ht="24" customHeight="1">
      <c r="A12" s="3206"/>
      <c r="B12" s="1894"/>
      <c r="C12" s="3207"/>
      <c r="D12" s="3206"/>
      <c r="E12" s="1894"/>
      <c r="F12" s="1894"/>
    </row>
    <row r="13" spans="1:6" ht="24" customHeight="1">
      <c r="A13" s="3206" t="s">
        <v>1978</v>
      </c>
      <c r="B13" s="1894">
        <f ca="1">IF(C13&lt;B2,"已过期",1120070131)</f>
        <v>1120070131</v>
      </c>
      <c r="C13" s="3207">
        <v>43814</v>
      </c>
      <c r="D13" s="3206" t="s">
        <v>1978</v>
      </c>
      <c r="E13" s="1894">
        <v>2014110011</v>
      </c>
      <c r="F13" s="1903">
        <v>49302</v>
      </c>
    </row>
    <row r="14" spans="1:6" ht="24" customHeight="1">
      <c r="A14" s="3206" t="s">
        <v>1979</v>
      </c>
      <c r="B14" s="1894">
        <f ca="1">IF(C14&lt;B2,"已过期",1120130020)</f>
        <v>1120130020</v>
      </c>
      <c r="C14" s="3207">
        <v>43622</v>
      </c>
      <c r="D14" s="3206"/>
      <c r="E14" s="1894"/>
      <c r="F14" s="1894"/>
    </row>
    <row r="15" spans="1:6" ht="24" customHeight="1">
      <c r="A15" s="3208" t="s">
        <v>2703</v>
      </c>
      <c r="B15" s="1894">
        <v>1120070085</v>
      </c>
      <c r="C15" s="3207">
        <v>43814</v>
      </c>
      <c r="D15" s="3208" t="s">
        <v>2703</v>
      </c>
      <c r="E15" s="1894">
        <v>2004110128</v>
      </c>
      <c r="F15" s="1895">
        <v>47118</v>
      </c>
    </row>
    <row r="16" spans="1:6" ht="24" customHeight="1">
      <c r="A16" s="3206" t="s">
        <v>1980</v>
      </c>
      <c r="B16" s="1894">
        <f ca="1">IF(C16&lt;B2,"已过期",1120140022)</f>
        <v>1120140022</v>
      </c>
      <c r="C16" s="3207">
        <v>42987</v>
      </c>
      <c r="D16" s="3206" t="s">
        <v>1980</v>
      </c>
      <c r="E16" s="1894">
        <f ca="1">IF(F16&lt;B2,"已过期",2008110059)</f>
        <v>2008110059</v>
      </c>
      <c r="F16" s="1903">
        <v>47177</v>
      </c>
    </row>
    <row r="17" spans="1:7" ht="24" customHeight="1">
      <c r="A17" s="3206" t="s">
        <v>1981</v>
      </c>
      <c r="B17" s="1894">
        <f ca="1">IF(C17&lt;B2,"已过期",1120140020)</f>
        <v>1120140020</v>
      </c>
      <c r="C17" s="3207">
        <v>42987</v>
      </c>
      <c r="D17" s="3206"/>
      <c r="E17" s="1894"/>
      <c r="F17" s="1903"/>
    </row>
    <row r="18" spans="1:7" ht="24" customHeight="1">
      <c r="A18" s="3206" t="s">
        <v>1982</v>
      </c>
      <c r="B18" s="1894">
        <f ca="1">IF(C18&lt;B2,"已过期",1120140024)</f>
        <v>1120140024</v>
      </c>
      <c r="C18" s="3207">
        <v>42987</v>
      </c>
      <c r="D18" s="3206" t="s">
        <v>1982</v>
      </c>
      <c r="E18" s="1894">
        <f ca="1">IF(F18&lt;B2,"已过期",2011110048)</f>
        <v>2011110048</v>
      </c>
      <c r="F18" s="1903">
        <v>48302</v>
      </c>
    </row>
    <row r="19" spans="1:7" ht="24" customHeight="1">
      <c r="A19" s="3206" t="s">
        <v>1983</v>
      </c>
      <c r="B19" s="1894">
        <f ca="1">IF(C19&lt;B2,"已过期",1120140019)</f>
        <v>1120140019</v>
      </c>
      <c r="C19" s="3207">
        <v>42987</v>
      </c>
      <c r="D19" s="3206"/>
      <c r="E19" s="1894"/>
      <c r="F19" s="1894"/>
    </row>
    <row r="20" spans="1:7" ht="24" customHeight="1">
      <c r="A20" s="3206" t="s">
        <v>1984</v>
      </c>
      <c r="B20" s="1894">
        <f ca="1">IF(C20&lt;B2,"已过期",1120140023)</f>
        <v>1120140023</v>
      </c>
      <c r="C20" s="3207">
        <v>42987</v>
      </c>
      <c r="D20" s="3206"/>
      <c r="E20" s="1894"/>
      <c r="F20" s="1894"/>
    </row>
    <row r="21" spans="1:7" ht="24" customHeight="1">
      <c r="A21" s="3206"/>
      <c r="B21" s="1894"/>
      <c r="C21" s="3207"/>
      <c r="D21" s="3206" t="s">
        <v>1985</v>
      </c>
      <c r="E21" s="1894">
        <f ca="1">IF(F21&lt;B2,"已过期",2011110090)</f>
        <v>2011110090</v>
      </c>
      <c r="F21" s="1903">
        <v>48302</v>
      </c>
    </row>
    <row r="22" spans="1:7" ht="24" customHeight="1">
      <c r="A22" s="3206" t="s">
        <v>1986</v>
      </c>
      <c r="B22" s="1894">
        <f ca="1">IF(C22&lt;B2,"已过期",1120020033)</f>
        <v>1120020033</v>
      </c>
      <c r="C22" s="3207">
        <v>43304</v>
      </c>
      <c r="D22" s="3206" t="s">
        <v>1986</v>
      </c>
      <c r="E22" s="1894">
        <f ca="1">IF(F22&lt;B2,"已过期",2000110137)</f>
        <v>2000110137</v>
      </c>
      <c r="F22" s="1903">
        <v>46387</v>
      </c>
    </row>
    <row r="23" spans="1:7" ht="24" customHeight="1">
      <c r="A23" s="3206" t="s">
        <v>1987</v>
      </c>
      <c r="B23" s="1894">
        <f ca="1">IF(C23&lt;B2,"已过期",1120130048)</f>
        <v>1120130048</v>
      </c>
      <c r="C23" s="3207">
        <v>43686</v>
      </c>
      <c r="D23" s="3206"/>
      <c r="E23" s="1894"/>
      <c r="F23" s="1894"/>
    </row>
    <row r="24" spans="1:7" s="1896" customFormat="1" ht="24" customHeight="1">
      <c r="A24" s="3208" t="s">
        <v>2939</v>
      </c>
      <c r="B24" s="3208" t="s">
        <v>2939</v>
      </c>
      <c r="C24" s="3208" t="s">
        <v>2939</v>
      </c>
      <c r="D24" s="3208" t="s">
        <v>2939</v>
      </c>
      <c r="E24" s="3208" t="s">
        <v>2939</v>
      </c>
      <c r="F24" s="3208" t="s">
        <v>2939</v>
      </c>
    </row>
    <row r="25" spans="1:7" ht="24" customHeight="1">
      <c r="A25" s="3410" t="s">
        <v>1988</v>
      </c>
      <c r="B25" s="3410"/>
      <c r="C25" s="3410"/>
      <c r="D25" s="3410"/>
      <c r="E25" s="3410"/>
      <c r="F25" s="3410"/>
      <c r="G25" s="3410"/>
    </row>
    <row r="26" spans="1:7" s="1898" customFormat="1" ht="24" customHeight="1">
      <c r="A26" s="3411" t="s">
        <v>1989</v>
      </c>
      <c r="B26" s="3411"/>
      <c r="C26" s="3411"/>
      <c r="D26" s="1897"/>
      <c r="E26" s="3411" t="s">
        <v>1990</v>
      </c>
      <c r="F26" s="3411"/>
      <c r="G26" s="3411"/>
    </row>
    <row r="27" spans="1:7" s="1900" customFormat="1" ht="24" customHeight="1">
      <c r="A27" s="1899" t="s">
        <v>1991</v>
      </c>
      <c r="B27" s="1892" t="s">
        <v>1992</v>
      </c>
      <c r="C27" s="1892" t="s">
        <v>1993</v>
      </c>
      <c r="D27" s="1892"/>
      <c r="E27" s="1894" t="s">
        <v>1991</v>
      </c>
      <c r="F27" s="1892" t="s">
        <v>1992</v>
      </c>
      <c r="G27" s="1892" t="s">
        <v>1993</v>
      </c>
    </row>
    <row r="28" spans="1:7" s="1900" customFormat="1" ht="24" customHeight="1">
      <c r="A28" s="1901" t="s">
        <v>1994</v>
      </c>
      <c r="B28" s="1902" t="s">
        <v>1995</v>
      </c>
      <c r="C28" s="1903">
        <v>43725</v>
      </c>
      <c r="D28" s="1903"/>
      <c r="E28" s="1901" t="s">
        <v>1996</v>
      </c>
      <c r="F28" s="1901" t="s">
        <v>1997</v>
      </c>
      <c r="G28" s="2110">
        <v>44377</v>
      </c>
    </row>
    <row r="29" spans="1:7" s="1900" customFormat="1" ht="24" customHeight="1">
      <c r="A29" s="1901"/>
      <c r="B29" s="1901"/>
      <c r="C29" s="1904"/>
      <c r="D29" s="1904"/>
      <c r="E29" s="1901" t="s">
        <v>1998</v>
      </c>
      <c r="F29" s="2436" t="s">
        <v>3051</v>
      </c>
      <c r="G29" s="2437">
        <v>43281</v>
      </c>
    </row>
    <row r="30" spans="1:7" ht="24" customHeight="1">
      <c r="C30" s="1905"/>
      <c r="D30" s="1905"/>
    </row>
  </sheetData>
  <sheetProtection password="C66D" sheet="1" objects="1" scenarios="1"/>
  <mergeCells count="3">
    <mergeCell ref="A25:G25"/>
    <mergeCell ref="A26:C26"/>
    <mergeCell ref="E26:G26"/>
  </mergeCells>
  <phoneticPr fontId="117" type="noConversion"/>
  <conditionalFormatting sqref="C28:D28">
    <cfRule type="expression" dxfId="238" priority="55">
      <formula>AND($C28-TODAY()&lt;30,TODAY()&lt;$C28)</formula>
    </cfRule>
  </conditionalFormatting>
  <conditionalFormatting sqref="C28:D28 F4">
    <cfRule type="cellIs" dxfId="237" priority="57" stopIfTrue="1" operator="lessThan">
      <formula>$B$2</formula>
    </cfRule>
  </conditionalFormatting>
  <conditionalFormatting sqref="C5">
    <cfRule type="expression" dxfId="236" priority="52">
      <formula>AND($C5-TODAY()&lt;30,TODAY()&lt;$C5)</formula>
    </cfRule>
  </conditionalFormatting>
  <conditionalFormatting sqref="C5 F5">
    <cfRule type="cellIs" dxfId="235" priority="53" stopIfTrue="1" operator="lessThan">
      <formula>$B$2</formula>
    </cfRule>
  </conditionalFormatting>
  <conditionalFormatting sqref="F6 F8 F10">
    <cfRule type="cellIs" dxfId="234" priority="51" stopIfTrue="1" operator="lessThan">
      <formula>$B$2</formula>
    </cfRule>
  </conditionalFormatting>
  <conditionalFormatting sqref="C4:C23">
    <cfRule type="expression" dxfId="233" priority="49">
      <formula>AND($C4-TODAY()&lt;30,TODAY()&lt;$C4)</formula>
    </cfRule>
  </conditionalFormatting>
  <conditionalFormatting sqref="F7 F9 F11 C4:C23">
    <cfRule type="cellIs" dxfId="232" priority="50" stopIfTrue="1" operator="lessThan">
      <formula>$B$2</formula>
    </cfRule>
  </conditionalFormatting>
  <conditionalFormatting sqref="C12">
    <cfRule type="expression" dxfId="231" priority="47">
      <formula>AND($C12-TODAY()&lt;30,TODAY()&lt;$C12)</formula>
    </cfRule>
  </conditionalFormatting>
  <conditionalFormatting sqref="C12">
    <cfRule type="cellIs" dxfId="230" priority="48" stopIfTrue="1" operator="lessThan">
      <formula>$B$2</formula>
    </cfRule>
  </conditionalFormatting>
  <conditionalFormatting sqref="C14">
    <cfRule type="expression" dxfId="229" priority="43">
      <formula>AND($C14-TODAY()&lt;30,TODAY()&lt;$C14)</formula>
    </cfRule>
  </conditionalFormatting>
  <conditionalFormatting sqref="C14">
    <cfRule type="cellIs" dxfId="228" priority="44" stopIfTrue="1" operator="lessThan">
      <formula>$B$2</formula>
    </cfRule>
  </conditionalFormatting>
  <conditionalFormatting sqref="C16">
    <cfRule type="expression" dxfId="227" priority="41">
      <formula>AND($C16-TODAY()&lt;30,TODAY()&lt;$C16)</formula>
    </cfRule>
  </conditionalFormatting>
  <conditionalFormatting sqref="C16">
    <cfRule type="cellIs" dxfId="226" priority="42" stopIfTrue="1" operator="lessThan">
      <formula>$B$2</formula>
    </cfRule>
  </conditionalFormatting>
  <conditionalFormatting sqref="C18">
    <cfRule type="expression" dxfId="225" priority="39">
      <formula>AND($C18-TODAY()&lt;30,TODAY()&lt;$C18)</formula>
    </cfRule>
  </conditionalFormatting>
  <conditionalFormatting sqref="C18">
    <cfRule type="cellIs" dxfId="224" priority="40" stopIfTrue="1" operator="lessThan">
      <formula>$B$2</formula>
    </cfRule>
  </conditionalFormatting>
  <conditionalFormatting sqref="C20">
    <cfRule type="expression" dxfId="223" priority="37">
      <formula>AND($C20-TODAY()&lt;30,TODAY()&lt;$C20)</formula>
    </cfRule>
  </conditionalFormatting>
  <conditionalFormatting sqref="C20">
    <cfRule type="cellIs" dxfId="222" priority="38" stopIfTrue="1" operator="lessThan">
      <formula>$B$2</formula>
    </cfRule>
  </conditionalFormatting>
  <conditionalFormatting sqref="C22">
    <cfRule type="expression" dxfId="221" priority="35">
      <formula>AND($C22-TODAY()&lt;30,TODAY()&lt;$C22)</formula>
    </cfRule>
  </conditionalFormatting>
  <conditionalFormatting sqref="C22">
    <cfRule type="cellIs" dxfId="220" priority="36" stopIfTrue="1" operator="lessThan">
      <formula>$B$2</formula>
    </cfRule>
  </conditionalFormatting>
  <conditionalFormatting sqref="C15">
    <cfRule type="expression" dxfId="219" priority="33">
      <formula>AND($C15-TODAY()&lt;30,TODAY()&lt;$C15)</formula>
    </cfRule>
  </conditionalFormatting>
  <conditionalFormatting sqref="C15">
    <cfRule type="cellIs" dxfId="218" priority="34" stopIfTrue="1" operator="lessThan">
      <formula>$B$2</formula>
    </cfRule>
  </conditionalFormatting>
  <conditionalFormatting sqref="C17">
    <cfRule type="expression" dxfId="217" priority="31">
      <formula>AND($C17-TODAY()&lt;30,TODAY()&lt;$C17)</formula>
    </cfRule>
  </conditionalFormatting>
  <conditionalFormatting sqref="C17">
    <cfRule type="cellIs" dxfId="216" priority="32" stopIfTrue="1" operator="lessThan">
      <formula>$B$2</formula>
    </cfRule>
  </conditionalFormatting>
  <conditionalFormatting sqref="C19">
    <cfRule type="expression" dxfId="215" priority="29">
      <formula>AND($C19-TODAY()&lt;30,TODAY()&lt;$C19)</formula>
    </cfRule>
  </conditionalFormatting>
  <conditionalFormatting sqref="C19">
    <cfRule type="cellIs" dxfId="214" priority="30" stopIfTrue="1" operator="lessThan">
      <formula>$B$2</formula>
    </cfRule>
  </conditionalFormatting>
  <conditionalFormatting sqref="C21">
    <cfRule type="expression" dxfId="213" priority="27">
      <formula>AND($C21-TODAY()&lt;30,TODAY()&lt;$C21)</formula>
    </cfRule>
  </conditionalFormatting>
  <conditionalFormatting sqref="C21">
    <cfRule type="cellIs" dxfId="212" priority="28" stopIfTrue="1" operator="lessThan">
      <formula>$B$2</formula>
    </cfRule>
  </conditionalFormatting>
  <conditionalFormatting sqref="C23">
    <cfRule type="expression" dxfId="211" priority="25">
      <formula>AND($C23-TODAY()&lt;30,TODAY()&lt;$C23)</formula>
    </cfRule>
  </conditionalFormatting>
  <conditionalFormatting sqref="C23">
    <cfRule type="cellIs" dxfId="210" priority="26" stopIfTrue="1" operator="lessThan">
      <formula>$B$2</formula>
    </cfRule>
  </conditionalFormatting>
  <conditionalFormatting sqref="F16">
    <cfRule type="cellIs" dxfId="209" priority="23" stopIfTrue="1" operator="lessThan">
      <formula>$B$2</formula>
    </cfRule>
  </conditionalFormatting>
  <conditionalFormatting sqref="F18">
    <cfRule type="cellIs" dxfId="208" priority="22" stopIfTrue="1" operator="lessThan">
      <formula>$B$2</formula>
    </cfRule>
  </conditionalFormatting>
  <conditionalFormatting sqref="F22">
    <cfRule type="cellIs" dxfId="207" priority="21" stopIfTrue="1" operator="lessThan">
      <formula>$B$2</formula>
    </cfRule>
  </conditionalFormatting>
  <conditionalFormatting sqref="F21">
    <cfRule type="cellIs" dxfId="206" priority="20" stopIfTrue="1" operator="lessThan">
      <formula>$B$2</formula>
    </cfRule>
  </conditionalFormatting>
  <conditionalFormatting sqref="F17">
    <cfRule type="cellIs" dxfId="205" priority="19" stopIfTrue="1" operator="lessThan">
      <formula>$B$2</formula>
    </cfRule>
  </conditionalFormatting>
  <conditionalFormatting sqref="B4:B14 E4:E14 B16:B23 E16:E23">
    <cfRule type="cellIs" dxfId="204" priority="18" stopIfTrue="1" operator="equal">
      <formula>"已过期"</formula>
    </cfRule>
  </conditionalFormatting>
  <conditionalFormatting sqref="A24:F24">
    <cfRule type="cellIs" dxfId="203" priority="14" stopIfTrue="1" operator="equal">
      <formula>"已过期"</formula>
    </cfRule>
  </conditionalFormatting>
  <conditionalFormatting sqref="G28">
    <cfRule type="expression" dxfId="202" priority="12">
      <formula>AND($F28-TODAY()&lt;30,TODAY()&lt;$F28)</formula>
    </cfRule>
  </conditionalFormatting>
  <conditionalFormatting sqref="G28">
    <cfRule type="cellIs" dxfId="201" priority="13" stopIfTrue="1" operator="lessThan">
      <formula>$B$2</formula>
    </cfRule>
  </conditionalFormatting>
  <conditionalFormatting sqref="G29">
    <cfRule type="expression" dxfId="200" priority="8" stopIfTrue="1">
      <formula>AND($F29-TODAY()&lt;30,TODAY()&lt;$F29)</formula>
    </cfRule>
  </conditionalFormatting>
  <conditionalFormatting sqref="G29">
    <cfRule type="cellIs" dxfId="199" priority="9" stopIfTrue="1" operator="lessThan">
      <formula>$B$2</formula>
    </cfRule>
  </conditionalFormatting>
  <conditionalFormatting sqref="B15">
    <cfRule type="cellIs" dxfId="198" priority="6" stopIfTrue="1" operator="equal">
      <formula>"已过期"</formula>
    </cfRule>
  </conditionalFormatting>
  <conditionalFormatting sqref="A15">
    <cfRule type="cellIs" dxfId="197" priority="5" stopIfTrue="1" operator="equal">
      <formula>"已过期"</formula>
    </cfRule>
  </conditionalFormatting>
  <conditionalFormatting sqref="C15">
    <cfRule type="expression" dxfId="196" priority="4">
      <formula>AND($C15-TODAY()&lt;30,TODAY()&lt;$C15)</formula>
    </cfRule>
  </conditionalFormatting>
  <conditionalFormatting sqref="E15">
    <cfRule type="cellIs" dxfId="195" priority="3" stopIfTrue="1" operator="equal">
      <formula>"已过期"</formula>
    </cfRule>
  </conditionalFormatting>
  <conditionalFormatting sqref="D15">
    <cfRule type="cellIs" dxfId="194" priority="2" stopIfTrue="1" operator="equal">
      <formula>"已过期"</formula>
    </cfRule>
  </conditionalFormatting>
  <conditionalFormatting sqref="F13">
    <cfRule type="cellIs" dxfId="193"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163</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结果表（商业）</vt:lpstr>
      <vt:lpstr>成本法</vt:lpstr>
      <vt:lpstr>成本法 (元)</vt:lpstr>
      <vt:lpstr>假设开发法</vt:lpstr>
      <vt:lpstr>结果表（办公）</vt:lpstr>
      <vt:lpstr>收益法（1层商业）</vt:lpstr>
      <vt:lpstr>收益法 (元)</vt:lpstr>
      <vt:lpstr>收益法（办公）</vt:lpstr>
      <vt:lpstr>收益法（汇总）</vt:lpstr>
      <vt:lpstr>酒店收入计算</vt:lpstr>
      <vt:lpstr>比较法-住宅</vt:lpstr>
      <vt:lpstr>比较法-商业</vt:lpstr>
      <vt:lpstr>比较法-商业 （租金）</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比较法-办公 (租金)</vt:lpstr>
      <vt:lpstr>典型户型修正</vt:lpstr>
      <vt:lpstr>成本法（废）</vt:lpstr>
      <vt:lpstr>区片价</vt:lpstr>
      <vt:lpstr>因素修正幅度</vt:lpstr>
      <vt:lpstr>存贷款利率</vt:lpstr>
      <vt:lpstr>区片价（范围）</vt:lpstr>
      <vt:lpstr>面积明细及结果汇总</vt:lpstr>
      <vt:lpstr>案例</vt:lpstr>
      <vt:lpstr>估价师及机构信息!Print_Area</vt:lpstr>
      <vt:lpstr>'收益法 (元)'!Print_Area</vt:lpstr>
      <vt:lpstr>'收益法（1层商业）'!Print_Area</vt:lpstr>
      <vt:lpstr>'收益法（办公）'!Print_Area</vt:lpstr>
      <vt:lpstr>'数据-汇总表'!Print_Area</vt:lpstr>
      <vt:lpstr>'预评函-4'!Print_Area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2017-08-17T07:00:11Z</dcterms:modified>
</cp:coreProperties>
</file>