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地下车库)"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r:id="rId47"/>
    <sheet name="Sheet4" sheetId="81"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(地下车库)'!$A$1:$AK$69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D27" i="9"/>
  <c r="C32" i="9"/>
  <c r="B3" i="68"/>
  <c r="C57" i="68"/>
  <c r="D35" i="9"/>
  <c r="C35" i="9"/>
  <c r="C34" i="9"/>
  <c r="D118" i="9"/>
  <c r="E71" i="39"/>
  <c r="F71" i="39"/>
  <c r="G71" i="39"/>
  <c r="H71" i="39"/>
  <c r="I71" i="39"/>
  <c r="J71" i="39"/>
  <c r="D71" i="39"/>
  <c r="C10" i="79"/>
  <c r="M13" i="3"/>
  <c r="I13" i="3"/>
  <c r="O16" i="81"/>
  <c r="P16" i="81"/>
  <c r="O15" i="81"/>
  <c r="P15" i="81"/>
  <c r="O14" i="81"/>
  <c r="P14" i="81"/>
  <c r="O13" i="81"/>
  <c r="P13" i="81"/>
  <c r="O12" i="81"/>
  <c r="P12" i="81"/>
  <c r="O11" i="81"/>
  <c r="P11" i="81"/>
  <c r="O10" i="81"/>
  <c r="P10" i="81"/>
  <c r="O9" i="81"/>
  <c r="P9" i="81"/>
  <c r="O8" i="81"/>
  <c r="P8" i="81"/>
  <c r="O7" i="81"/>
  <c r="P7" i="81"/>
  <c r="O6" i="81"/>
  <c r="P6" i="81"/>
  <c r="O5" i="81"/>
  <c r="P5" i="81"/>
  <c r="O4" i="81"/>
  <c r="P4" i="81"/>
  <c r="O3" i="81"/>
  <c r="P3" i="81"/>
  <c r="O2" i="81"/>
  <c r="P2" i="81"/>
  <c r="C2" i="79"/>
  <c r="E2" i="79"/>
  <c r="C9" i="79"/>
  <c r="E9" i="79"/>
  <c r="C4" i="79"/>
  <c r="E4" i="79"/>
  <c r="E10" i="79"/>
  <c r="U6" i="1"/>
  <c r="B2" i="79"/>
  <c r="G2" i="79"/>
  <c r="H2" i="79"/>
  <c r="H3" i="79"/>
  <c r="G4" i="79"/>
  <c r="H4" i="79"/>
  <c r="G5" i="79"/>
  <c r="H5" i="79"/>
  <c r="G6" i="79"/>
  <c r="H6" i="79"/>
  <c r="G7" i="79"/>
  <c r="H7" i="79"/>
  <c r="G8" i="79"/>
  <c r="H8" i="79"/>
  <c r="G9" i="79"/>
  <c r="H9" i="79"/>
  <c r="H10" i="79"/>
  <c r="B10" i="79"/>
  <c r="G10" i="79"/>
  <c r="E3" i="79"/>
  <c r="C5" i="79"/>
  <c r="E5" i="79"/>
  <c r="C6" i="79"/>
  <c r="E6" i="79"/>
  <c r="C7" i="79"/>
  <c r="E7" i="79"/>
  <c r="C8" i="79"/>
  <c r="E8" i="79"/>
  <c r="C38" i="39"/>
  <c r="C11" i="39"/>
  <c r="C10" i="39"/>
  <c r="D3" i="4"/>
  <c r="C1" i="73"/>
  <c r="L1" i="73"/>
  <c r="B2" i="1"/>
  <c r="C42" i="1"/>
  <c r="BC13" i="3"/>
  <c r="BD13" i="3"/>
  <c r="BA13" i="3"/>
  <c r="AZ13" i="3"/>
  <c r="AZ5" i="3"/>
  <c r="H13" i="3"/>
  <c r="G13" i="3"/>
  <c r="G5" i="3"/>
  <c r="B3" i="3"/>
  <c r="AY6" i="3"/>
  <c r="D3" i="6"/>
  <c r="E3" i="6"/>
  <c r="M5" i="3"/>
  <c r="G20" i="6"/>
  <c r="E20" i="6"/>
  <c r="D20" i="6"/>
  <c r="K5" i="3"/>
  <c r="G19" i="6"/>
  <c r="E19" i="6"/>
  <c r="BA5" i="3"/>
  <c r="E27" i="6"/>
  <c r="K20" i="6"/>
  <c r="L20" i="6"/>
  <c r="M20" i="6"/>
  <c r="I20" i="6"/>
  <c r="H20" i="6"/>
  <c r="R20" i="6"/>
  <c r="K7" i="1"/>
  <c r="M7" i="1"/>
  <c r="S7" i="1"/>
  <c r="T7" i="1"/>
  <c r="J1" i="73"/>
  <c r="C28" i="77"/>
  <c r="G15" i="4"/>
  <c r="F7" i="1"/>
  <c r="J51" i="77"/>
  <c r="B3" i="77"/>
  <c r="D6" i="12"/>
  <c r="G1" i="77"/>
  <c r="F15" i="77"/>
  <c r="F17" i="77"/>
  <c r="F18" i="77"/>
  <c r="F20" i="77"/>
  <c r="F23" i="77"/>
  <c r="F21" i="77"/>
  <c r="F28" i="77"/>
  <c r="F32" i="77"/>
  <c r="F33" i="77"/>
  <c r="F34" i="77"/>
  <c r="D19" i="6"/>
  <c r="K19" i="6"/>
  <c r="L19" i="6"/>
  <c r="M19" i="6"/>
  <c r="I19" i="6"/>
  <c r="H19" i="6"/>
  <c r="R19" i="6"/>
  <c r="E15" i="4"/>
  <c r="F6" i="1"/>
  <c r="J51" i="15"/>
  <c r="C83" i="77"/>
  <c r="C82" i="77"/>
  <c r="C76" i="77"/>
  <c r="C75" i="77"/>
  <c r="C80" i="77"/>
  <c r="C79" i="77"/>
  <c r="Q65" i="77"/>
  <c r="M47"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K6" i="1"/>
  <c r="M6" i="1"/>
  <c r="S6" i="1"/>
  <c r="T6" i="1"/>
  <c r="C28" i="15"/>
  <c r="B3" i="15"/>
  <c r="C6" i="12"/>
  <c r="E5" i="6"/>
  <c r="E6" i="6"/>
  <c r="R46" i="39"/>
  <c r="K8" i="1"/>
  <c r="K9" i="1"/>
  <c r="K10" i="1"/>
  <c r="K11" i="1"/>
  <c r="K12" i="1"/>
  <c r="K13"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R47" i="39"/>
  <c r="T46" i="39"/>
  <c r="H7" i="39"/>
  <c r="AB7" i="39"/>
  <c r="T47" i="39"/>
  <c r="V46" i="39"/>
  <c r="J7" i="39"/>
  <c r="AC7" i="39"/>
  <c r="J9" i="39"/>
  <c r="AC9" i="39"/>
  <c r="V47" i="39"/>
  <c r="R48" i="39"/>
  <c r="C48" i="39"/>
  <c r="B56" i="39"/>
  <c r="E8" i="6"/>
  <c r="E56" i="39"/>
  <c r="F56" i="39"/>
  <c r="B57" i="39"/>
  <c r="F57" i="39"/>
  <c r="B58" i="39"/>
  <c r="F58" i="39"/>
  <c r="B59" i="39"/>
  <c r="F59" i="39"/>
  <c r="B60" i="39"/>
  <c r="F60" i="39"/>
  <c r="B61" i="39"/>
  <c r="BC5" i="3"/>
  <c r="BD5" i="3"/>
  <c r="E11" i="6"/>
  <c r="E61" i="39"/>
  <c r="F61" i="39"/>
  <c r="B62" i="39"/>
  <c r="E12" i="6"/>
  <c r="E62" i="39"/>
  <c r="F62" i="39"/>
  <c r="B63" i="39"/>
  <c r="E13" i="6"/>
  <c r="E63" i="39"/>
  <c r="F63" i="39"/>
  <c r="B64" i="39"/>
  <c r="E14" i="6"/>
  <c r="E64" i="39"/>
  <c r="F64" i="39"/>
  <c r="B65" i="39"/>
  <c r="E15" i="6"/>
  <c r="E65" i="39"/>
  <c r="F65" i="39"/>
  <c r="F66" i="39"/>
  <c r="B2" i="39"/>
  <c r="C6" i="68"/>
  <c r="N14" i="1"/>
  <c r="N7" i="1"/>
  <c r="F19" i="6"/>
  <c r="AN13" i="3"/>
  <c r="AL13" i="3"/>
  <c r="C11" i="4"/>
  <c r="B7"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C19" i="43"/>
  <c r="I20" i="43"/>
  <c r="C20" i="43"/>
  <c r="G17" i="43"/>
  <c r="H17" i="43"/>
  <c r="I17" i="43"/>
  <c r="J17" i="43"/>
  <c r="C16" i="43"/>
  <c r="C5" i="43"/>
  <c r="C39" i="43"/>
  <c r="G39" i="43"/>
  <c r="C38" i="43"/>
  <c r="G38" i="43"/>
  <c r="C37" i="43"/>
  <c r="G37" i="43"/>
  <c r="D5" i="43"/>
  <c r="C36" i="43"/>
  <c r="G36" i="43"/>
  <c r="C35" i="43"/>
  <c r="G35" i="43"/>
  <c r="C34" i="43"/>
  <c r="G34" i="43"/>
  <c r="J53" i="67"/>
  <c r="M47" i="15"/>
  <c r="I5" i="3"/>
  <c r="AL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D9" i="71"/>
  <c r="AH7" i="71"/>
  <c r="AG7" i="71"/>
  <c r="AE7" i="71"/>
  <c r="AF7" i="71"/>
  <c r="AD7" i="71"/>
  <c r="BB13" i="3"/>
  <c r="BE13" i="3"/>
  <c r="BF13" i="3"/>
  <c r="BG13" i="3"/>
  <c r="BH13" i="3"/>
  <c r="BI13" i="3"/>
  <c r="BJ13" i="3"/>
  <c r="BK13" i="3"/>
  <c r="BM13" i="3"/>
  <c r="BN13" i="3"/>
  <c r="BO13" i="3"/>
  <c r="BP13" i="3"/>
  <c r="BQ13" i="3"/>
  <c r="BR13" i="3"/>
  <c r="BS13" i="3"/>
  <c r="BT13" i="3"/>
  <c r="BL13" i="3"/>
  <c r="AC13"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F27" i="6"/>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60" i="40"/>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L17" i="3"/>
  <c r="AZ17" i="3"/>
  <c r="G30" i="6"/>
  <c r="G31" i="6"/>
  <c r="J56" i="9"/>
  <c r="J57" i="9"/>
  <c r="A24" i="51"/>
  <c r="B18" i="72"/>
  <c r="U29" i="34"/>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M18" i="67"/>
  <c r="F32" i="67"/>
  <c r="F60" i="67"/>
  <c r="F30" i="69"/>
  <c r="C48" i="69"/>
  <c r="F32" i="15"/>
  <c r="F60" i="15"/>
  <c r="M18" i="15"/>
  <c r="F28" i="15"/>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D31" i="6"/>
  <c r="I6" i="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B6" i="76"/>
  <c r="I5" i="6"/>
  <c r="B2" i="76"/>
  <c r="B3" i="76"/>
  <c r="B3" i="43"/>
  <c r="C49" i="21"/>
  <c r="F63" i="67"/>
  <c r="C62" i="67"/>
  <c r="C34" i="67"/>
  <c r="J20" i="67"/>
  <c r="J20" i="15"/>
  <c r="F63" i="15"/>
  <c r="C62" i="15"/>
  <c r="R16" i="1"/>
  <c r="I63" i="40"/>
  <c r="H65" i="40"/>
  <c r="C39" i="11"/>
  <c r="C43" i="11"/>
  <c r="C41" i="11"/>
  <c r="B3" i="12"/>
  <c r="J63" i="40"/>
  <c r="I65" i="40"/>
  <c r="C46" i="11"/>
  <c r="C45" i="11"/>
  <c r="C49" i="11"/>
  <c r="C51" i="11"/>
  <c r="C52" i="11"/>
  <c r="B2" i="11"/>
  <c r="B3" i="11"/>
  <c r="K63" i="40"/>
  <c r="J65" i="40"/>
  <c r="C56" i="11"/>
  <c r="C57" i="11"/>
  <c r="C56"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4" i="43"/>
  <c r="B66" i="40"/>
  <c r="P25" i="43"/>
  <c r="G16" i="1"/>
  <c r="H10" i="39"/>
  <c r="U10" i="39"/>
  <c r="J10" i="39"/>
  <c r="W10" i="39"/>
  <c r="F10" i="40"/>
  <c r="S10" i="40"/>
  <c r="J10" i="40"/>
  <c r="AC10" i="40"/>
  <c r="AA10" i="40"/>
  <c r="W10" i="40"/>
  <c r="F10" i="39"/>
  <c r="S10" i="39"/>
  <c r="H10" i="40"/>
  <c r="AB10" i="40"/>
  <c r="U10" i="40"/>
  <c r="AC10" i="39"/>
  <c r="AB10" i="39"/>
  <c r="AA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<sst xmlns="http://schemas.openxmlformats.org/spreadsheetml/2006/main" count="7933" uniqueCount="3213">
  <si>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</si>
  <si>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</si>
  <si>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</si>
  <si>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</si>
  <si>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</si>
  <si>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</si>
  <si>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</si>
  <si>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</si>
  <si>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</si>
  <si>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</si>
  <si>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</si>
  <si>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</si>
  <si>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</si>
  <si>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</si>
  <si>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</si>
  <si>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</si>
  <si>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</si>
  <si>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</si>
  <si>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</si>
  <si>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</si>
  <si>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</si>
  <si>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</si>
  <si>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</si>
  <si>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</si>
  <si>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</si>
  <si>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</si>
  <si>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</si>
  <si>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</si>
  <si>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</si>
  <si>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</si>
  <si>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</si>
  <si>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</si>
  <si>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</si>
  <si>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</si>
  <si>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</si>
  <si>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</si>
  <si>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</si>
  <si>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</si>
  <si>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</si>
  <si>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</si>
  <si>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</si>
  <si>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</si>
  <si>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</si>
  <si>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</si>
  <si>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</si>
  <si>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</si>
  <si>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</si>
  <si>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</si>
  <si>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</si>
  <si>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</si>
  <si>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</si>
  <si>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</si>
  <si>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</si>
  <si>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</si>
  <si>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</si>
  <si>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</si>
  <si>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</si>
  <si>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</si>
  <si>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</si>
  <si>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</si>
  <si>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</si>
  <si>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</si>
  <si>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</si>
  <si>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</si>
  <si>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</si>
  <si>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</si>
  <si>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</si>
  <si>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</si>
  <si>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</si>
  <si>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</si>
  <si>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</si>
  <si>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</si>
  <si>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</si>
  <si>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</si>
  <si>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</si>
  <si>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</si>
  <si>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</si>
  <si>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</si>
  <si>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</si>
  <si>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</si>
  <si>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</si>
  <si>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</si>
  <si>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</si>
  <si>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</si>
  <si>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</si>
  <si>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</si>
  <si>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</si>
  <si>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</si>
  <si>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</si>
  <si>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</si>
  <si>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</si>
  <si>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</si>
  <si>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</si>
  <si>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</si>
  <si>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</si>
  <si>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</si>
  <si>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</si>
  <si>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</si>
  <si>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</si>
  <si>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</si>
  <si>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</si>
  <si>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</si>
  <si>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</si>
  <si>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</si>
  <si>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</si>
  <si>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</si>
  <si>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</si>
  <si>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</si>
  <si>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</si>
  <si>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</si>
  <si>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</si>
  <si>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</si>
  <si>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</si>
  <si>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</si>
  <si>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</si>
  <si>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</si>
  <si>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</si>
  <si>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</si>
  <si>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</si>
  <si>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</si>
  <si>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</si>
  <si>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</si>
  <si>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</si>
  <si>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</si>
  <si>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</si>
  <si>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</si>
  <si>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</si>
  <si>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</si>
  <si>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</si>
  <si>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</si>
  <si>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</si>
  <si>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</si>
  <si>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</si>
  <si>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</si>
  <si>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</si>
  <si>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</si>
  <si>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</si>
  <si>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</si>
  <si>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</si>
  <si>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</si>
  <si>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</si>
  <si>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</si>
  <si>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</si>
  <si>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</si>
  <si>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</si>
  <si>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</si>
  <si>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</si>
  <si>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</si>
  <si>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</si>
  <si>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</si>
  <si>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</si>
  <si>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</si>
  <si>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</si>
  <si>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</si>
  <si>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</si>
  <si>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</si>
  <si>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</si>
  <si>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</si>
  <si>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</si>
  <si>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</si>
  <si>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</si>
  <si>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</si>
  <si>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</si>
  <si>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</si>
  <si>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</si>
  <si>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</si>
  <si>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</si>
  <si>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</si>
  <si>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</si>
  <si>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</si>
  <si>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</si>
  <si>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</si>
  <si>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</si>
  <si>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</si>
  <si>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</si>
  <si>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</si>
  <si>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</si>
  <si>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</si>
  <si>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</si>
  <si>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</si>
  <si>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</si>
  <si>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</si>
  <si>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</si>
  <si>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</si>
  <si>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</si>
  <si>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</si>
  <si>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</si>
  <si>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</si>
  <si>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</si>
  <si>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</si>
  <si>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</si>
  <si>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</si>
  <si>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</si>
  <si>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</si>
  <si>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</si>
  <si>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</si>
  <si>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</si>
  <si>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</si>
  <si>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</si>
  <si>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</si>
  <si>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</si>
  <si>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</si>
  <si>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</si>
  <si>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</si>
  <si>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</si>
  <si>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</si>
  <si>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</si>
  <si>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</si>
  <si>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</si>
  <si>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</si>
  <si>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</si>
  <si>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</si>
  <si>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</si>
  <si>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</si>
  <si>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</si>
  <si>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</si>
  <si>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</si>
  <si>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</si>
  <si>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</si>
  <si>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</si>
  <si>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</si>
  <si>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</si>
  <si>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</si>
  <si>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</si>
  <si>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</si>
  <si>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</si>
  <si>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</si>
  <si>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</si>
  <si>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</si>
  <si>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</si>
  <si>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</si>
  <si>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</si>
  <si>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</si>
  <si>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</si>
  <si>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</si>
  <si>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</si>
  <si>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</si>
  <si>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</si>
  <si>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</si>
  <si>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</si>
  <si>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</si>
  <si>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</si>
  <si>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</si>
  <si>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</si>
  <si>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</si>
  <si>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</si>
  <si>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</si>
  <si>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</si>
  <si>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</si>
  <si>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</si>
  <si>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</si>
  <si>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</si>
  <si>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</si>
  <si>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</si>
  <si>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</si>
  <si>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</si>
  <si>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</si>
  <si>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</si>
  <si>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</si>
  <si>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</si>
  <si>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</si>
  <si>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</si>
  <si>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</si>
  <si>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</si>
  <si>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</si>
  <si>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</si>
  <si>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</si>
  <si>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</si>
  <si>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</si>
  <si>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</si>
  <si>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</si>
  <si>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</si>
  <si>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</si>
  <si>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</si>
  <si>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</si>
  <si>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</si>
  <si>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</si>
  <si>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</si>
  <si>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</si>
  <si>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</si>
  <si>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</si>
  <si>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</si>
  <si>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</si>
  <si>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</si>
  <si>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</si>
  <si>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</si>
  <si>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</si>
  <si>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</si>
  <si>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</si>
  <si>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</si>
  <si>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</si>
  <si>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</si>
  <si>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</si>
  <si>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</si>
  <si>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</si>
  <si>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</si>
  <si>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</si>
  <si>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</si>
  <si>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</si>
  <si>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</si>
  <si>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</si>
  <si>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</si>
  <si>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</si>
  <si>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</si>
  <si>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</si>
  <si>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</si>
  <si>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</si>
  <si>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</si>
  <si>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</si>
  <si>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</si>
  <si>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</si>
  <si>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</si>
  <si>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</si>
  <si>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</si>
  <si>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</si>
  <si>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</si>
  <si>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</si>
  <si>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</si>
  <si>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</si>
  <si>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</si>
  <si>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</si>
  <si>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</si>
  <si>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</si>
  <si>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</si>
  <si>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</si>
  <si>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</si>
  <si>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</si>
  <si>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</si>
  <si>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</si>
  <si>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</si>
  <si>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</si>
  <si>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</si>
  <si>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</si>
  <si>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</si>
  <si>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</si>
  <si>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</si>
  <si>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</si>
  <si>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</si>
  <si>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</si>
  <si>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</si>
  <si>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</si>
  <si>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</si>
  <si>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</si>
  <si>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</si>
  <si>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</si>
  <si>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</si>
  <si>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</si>
  <si>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</si>
  <si>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</si>
  <si>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</si>
  <si>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</si>
  <si>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</si>
  <si>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</si>
  <si>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</si>
  <si>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</si>
  <si>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</si>
  <si>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</si>
  <si>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</si>
  <si>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</si>
  <si>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</si>
  <si>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</si>
  <si>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</si>
  <si>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</si>
  <si>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</si>
  <si>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</si>
  <si>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</si>
  <si>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</si>
  <si>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</si>
  <si>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</si>
  <si>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</si>
  <si>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</si>
  <si>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</si>
  <si>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</si>
  <si>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</si>
  <si>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</si>
  <si>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</si>
  <si>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</si>
  <si>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</si>
  <si>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</si>
  <si>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</si>
  <si>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</si>
  <si>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</si>
  <si>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</si>
  <si>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</si>
  <si>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</si>
  <si>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</si>
  <si>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</si>
  <si>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</si>
  <si>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</si>
  <si>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</si>
  <si>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</si>
  <si>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</si>
  <si>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</si>
  <si>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</si>
  <si>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</si>
  <si>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</si>
  <si>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</si>
  <si>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</si>
  <si>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</si>
  <si>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</si>
  <si>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</si>
  <si>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</si>
  <si>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</si>
  <si>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</si>
  <si>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</si>
  <si>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</si>
  <si>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</si>
  <si>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</si>
  <si>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</si>
  <si>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</si>
  <si>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</si>
  <si>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</si>
  <si>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</si>
  <si>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</si>
  <si>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</si>
  <si>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</si>
  <si>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</si>
  <si>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</si>
  <si>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</si>
  <si>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</si>
  <si>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</si>
  <si>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</si>
  <si>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</si>
  <si>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</si>
  <si>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</si>
  <si>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</si>
  <si>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</si>
  <si>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</si>
  <si>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</si>
  <si>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</si>
  <si>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</si>
  <si>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</si>
  <si>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</si>
  <si>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</si>
  <si>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</si>
  <si>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</si>
  <si>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</si>
  <si>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</si>
  <si>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</si>
  <si>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</si>
  <si>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</si>
  <si>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</si>
  <si>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</si>
  <si>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</si>
  <si>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</si>
  <si>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</si>
  <si>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</si>
  <si>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</si>
  <si>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</si>
  <si>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</si>
  <si>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</si>
  <si>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</si>
  <si>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</si>
  <si>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</si>
  <si>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</si>
  <si>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</si>
  <si>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</si>
  <si>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</si>
  <si>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</si>
  <si>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</si>
  <si>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</si>
  <si>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</si>
  <si>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</si>
  <si>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</si>
  <si>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</si>
  <si>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</si>
  <si>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</si>
  <si>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</si>
  <si>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</si>
  <si>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</si>
  <si>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</si>
  <si>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</si>
  <si>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</si>
  <si>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</si>
  <si>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</si>
  <si>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</si>
  <si>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</si>
  <si>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</si>
  <si>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</si>
  <si>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</si>
  <si>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</si>
  <si>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</si>
  <si>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</si>
  <si>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</si>
  <si>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</si>
  <si>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</si>
  <si>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</si>
  <si>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</si>
  <si>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</si>
  <si>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</si>
  <si>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</si>
  <si>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</si>
  <si>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</si>
  <si>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</si>
  <si>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</si>
  <si>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</si>
  <si>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</si>
  <si>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</si>
  <si>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</si>
  <si>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</si>
  <si>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</si>
  <si>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</si>
  <si>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</si>
  <si>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</si>
  <si>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</si>
  <si>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</si>
  <si>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</si>
  <si>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</si>
  <si>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</si>
  <si>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</si>
  <si>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</si>
  <si>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</si>
  <si>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</si>
  <si>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</si>
  <si>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</si>
  <si>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</si>
  <si>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</si>
  <si>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</si>
  <si>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</si>
  <si>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</si>
  <si>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</si>
  <si>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</si>
  <si>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</si>
  <si>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</si>
  <si>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</si>
  <si>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</si>
  <si>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</si>
  <si>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</si>
  <si>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</si>
  <si>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</si>
  <si>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</si>
  <si>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</si>
  <si>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</si>
  <si>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</si>
  <si>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</si>
  <si>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</si>
  <si>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</si>
  <si>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</si>
  <si>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</si>
  <si>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</si>
  <si>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</si>
  <si>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</si>
  <si>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</si>
  <si>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</si>
  <si>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</si>
  <si>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</si>
  <si>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</si>
  <si>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</si>
  <si>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</si>
  <si>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</si>
  <si>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</si>
  <si>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</si>
  <si>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</si>
  <si>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</si>
  <si>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</si>
  <si>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</si>
  <si>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</si>
  <si>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</si>
  <si>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</si>
  <si>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</si>
  <si>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</si>
  <si>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</si>
  <si>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</si>
  <si>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</si>
  <si>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</si>
  <si>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</si>
  <si>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</si>
  <si>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</si>
  <si>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</si>
  <si>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</si>
  <si>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</si>
  <si>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</si>
  <si>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</si>
  <si>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</si>
  <si>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</si>
  <si>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</si>
  <si>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</si>
  <si>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</si>
  <si>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</si>
  <si>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</si>
  <si>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</si>
  <si>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</si>
  <si>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</si>
  <si>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</si>
  <si>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</si>
  <si>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</si>
  <si>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</si>
  <si>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</si>
  <si>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</si>
  <si>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</si>
  <si>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</si>
  <si>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</si>
  <si>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</si>
  <si>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</si>
  <si>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</si>
  <si>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</si>
  <si>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</si>
  <si>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</si>
  <si>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</si>
  <si>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</si>
  <si>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</si>
  <si>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</si>
  <si>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</si>
  <si>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</si>
  <si>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</si>
  <si>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</si>
  <si>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</si>
  <si>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</si>
  <si>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</si>
  <si>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</si>
  <si>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</si>
  <si>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</si>
  <si>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</si>
  <si>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</si>
  <si>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</si>
  <si>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</si>
  <si>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</si>
  <si>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</si>
  <si>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</si>
  <si>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</si>
  <si>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</si>
  <si>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</si>
  <si>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</si>
  <si>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</si>
  <si>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</si>
  <si>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</si>
  <si>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</si>
  <si>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</si>
  <si>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</si>
  <si>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</si>
  <si>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</si>
  <si>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</si>
  <si>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</si>
  <si>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</si>
  <si>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</si>
  <si>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</si>
  <si>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</si>
  <si>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</si>
  <si>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</si>
  <si>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</si>
  <si>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</si>
  <si>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</si>
  <si>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</si>
  <si>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</si>
  <si>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</si>
  <si>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</si>
  <si>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</si>
  <si>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</si>
  <si>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</si>
  <si>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</si>
  <si>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</si>
  <si>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</si>
  <si>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</si>
  <si>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</si>
  <si>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</si>
  <si>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</si>
  <si>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</si>
  <si>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</si>
  <si>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</si>
  <si>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</si>
  <si>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</si>
  <si>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</si>
  <si>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</si>
  <si>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</si>
  <si>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</si>
  <si>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</si>
  <si>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</si>
  <si>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</si>
  <si>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</si>
  <si>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</si>
  <si>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</si>
  <si>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</si>
  <si>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</si>
  <si>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</si>
  <si>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</si>
  <si>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</si>
  <si>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</si>
  <si>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</si>
  <si>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</si>
  <si>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</si>
  <si>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</si>
  <si>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</si>
  <si>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</si>
  <si>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</si>
  <si>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</si>
  <si>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</si>
  <si>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</si>
  <si>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</si>
  <si>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</si>
  <si>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</si>
  <si>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</si>
  <si>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</si>
  <si>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</si>
  <si>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</si>
  <si>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</si>
  <si>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</si>
  <si>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</si>
  <si>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</si>
  <si>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</si>
  <si>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</si>
  <si>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</si>
  <si>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</si>
  <si>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</si>
  <si>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</si>
  <si>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</si>
  <si>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</si>
  <si>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</si>
  <si>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</si>
  <si>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</si>
  <si>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</si>
  <si>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</si>
  <si>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</si>
  <si>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</si>
  <si>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</si>
  <si>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</si>
  <si>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</si>
  <si>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</si>
  <si>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</si>
  <si>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</si>
  <si>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</si>
  <si>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</si>
  <si>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</si>
  <si>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</si>
  <si>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</si>
  <si>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</si>
  <si>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</si>
  <si>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</si>
  <si>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</si>
  <si>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</si>
  <si>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</si>
  <si>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</si>
  <si>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</si>
  <si>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</si>
  <si>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</si>
  <si>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</si>
  <si>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</si>
  <si>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</si>
  <si>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</si>
  <si>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</si>
  <si>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</si>
  <si>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</si>
  <si>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</si>
  <si>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</si>
  <si>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</si>
  <si>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</si>
  <si>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</si>
  <si>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</si>
  <si>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</si>
  <si>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</si>
  <si>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</si>
  <si>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</si>
  <si>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</si>
  <si>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</si>
  <si>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</si>
  <si>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</si>
  <si>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</si>
  <si>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</si>
  <si>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</si>
  <si>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</si>
  <si>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</si>
  <si>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</si>
  <si>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</si>
  <si>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</si>
  <si>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</si>
  <si>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</si>
  <si>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</si>
  <si>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</si>
  <si>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</si>
  <si>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</si>
  <si>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</si>
  <si>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</si>
  <si>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</si>
  <si>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</si>
  <si>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</si>
  <si>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</si>
  <si>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</si>
  <si>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</si>
  <si>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</si>
  <si>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</si>
  <si>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</si>
  <si>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</si>
  <si>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</si>
  <si>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</si>
  <si>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</si>
  <si>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</si>
  <si>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</si>
  <si>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</si>
  <si>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</si>
  <si>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</si>
  <si>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</si>
  <si>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</si>
  <si>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</si>
  <si>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</si>
  <si>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</si>
  <si>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</si>
  <si>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</si>
  <si>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</si>
  <si>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</si>
  <si>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</si>
  <si>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</si>
  <si>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</si>
  <si>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</si>
  <si>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</si>
  <si>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</si>
  <si>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</si>
  <si>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</si>
  <si>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</si>
  <si>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</si>
  <si>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</si>
  <si>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</si>
  <si>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</si>
  <si>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</si>
  <si>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</si>
  <si>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</si>
  <si>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</si>
  <si>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</si>
  <si>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</si>
  <si>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</si>
  <si>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</si>
  <si>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</si>
  <si>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</si>
  <si>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</si>
  <si>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</si>
  <si>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</si>
  <si>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</si>
  <si>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</si>
  <si>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</si>
  <si>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</si>
  <si>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</si>
  <si>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</si>
  <si>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</si>
  <si>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</si>
  <si>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</si>
  <si>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</si>
  <si>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</si>
  <si>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</si>
  <si>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</si>
  <si>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</si>
  <si>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</si>
  <si>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</si>
  <si>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</si>
  <si>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</si>
  <si>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</si>
  <si>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</si>
  <si>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</si>
  <si>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</si>
  <si>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</si>
  <si>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</si>
  <si>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</si>
  <si>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</si>
  <si>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</si>
  <si>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</si>
  <si>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</si>
  <si>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</si>
  <si>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</si>
  <si>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</si>
  <si>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</si>
  <si>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</si>
  <si>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</si>
  <si>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</si>
  <si>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</si>
  <si>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</si>
  <si>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</si>
  <si>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</si>
  <si>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</si>
  <si>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</si>
  <si>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</si>
  <si>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</si>
  <si>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</si>
  <si>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</si>
  <si>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</si>
  <si>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</si>
  <si>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</si>
  <si>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</si>
  <si>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</si>
  <si>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</si>
  <si>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</si>
  <si>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</si>
  <si>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</si>
  <si>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</si>
  <si>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</si>
  <si>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</si>
  <si>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</si>
  <si>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</si>
  <si>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</si>
  <si>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</si>
  <si>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</si>
  <si>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</si>
  <si>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</si>
  <si>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</si>
  <si>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</si>
  <si>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</si>
  <si>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</si>
  <si>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</si>
  <si>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</si>
  <si>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</si>
  <si>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</si>
  <si>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</si>
  <si>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</si>
  <si>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</si>
  <si>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</si>
  <si>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</si>
  <si>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</si>
  <si>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</si>
  <si>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</si>
  <si>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</si>
  <si>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</si>
  <si>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</si>
  <si>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</si>
  <si>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</si>
  <si>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</si>
  <si>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</si>
  <si>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</si>
  <si>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</si>
  <si>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</si>
  <si>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</si>
  <si>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</si>
  <si>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</si>
  <si>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</si>
  <si>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</si>
  <si>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</si>
  <si>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</si>
  <si>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</si>
  <si>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</si>
  <si>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</si>
  <si>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</si>
  <si>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</si>
  <si>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</si>
  <si>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</si>
  <si>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</si>
  <si>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</si>
  <si>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</si>
  <si>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</si>
  <si>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</si>
  <si>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</si>
  <si>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</si>
  <si>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</si>
  <si>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</si>
  <si>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</si>
  <si>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</si>
  <si>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</si>
  <si>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</si>
  <si>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</si>
  <si>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</si>
  <si>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</si>
  <si>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</si>
  <si>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</si>
  <si>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</si>
  <si>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</si>
  <si>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</si>
  <si>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</si>
  <si>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</si>
  <si>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</si>
  <si>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</si>
  <si>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</si>
  <si>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</si>
  <si>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</si>
  <si>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</si>
  <si>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</si>
  <si>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</si>
  <si>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</si>
  <si>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</si>
  <si>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</si>
  <si>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</si>
  <si>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</si>
  <si>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</si>
  <si>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</si>
  <si>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</si>
  <si>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</si>
  <si>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</si>
  <si>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</si>
  <si>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</si>
  <si>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</si>
  <si>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</si>
  <si>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</si>
  <si>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</si>
  <si>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</si>
  <si>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</si>
  <si>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</si>
  <si>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</si>
  <si>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</si>
  <si>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</si>
  <si>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</si>
  <si>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</si>
  <si>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</si>
  <si>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</si>
  <si>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</si>
  <si>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</si>
  <si>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</si>
  <si>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</si>
  <si>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</si>
  <si>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</si>
  <si>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</si>
  <si>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</si>
  <si>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</si>
  <si>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</si>
  <si>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</si>
  <si>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</si>
  <si>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</si>
  <si>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</si>
  <si>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</si>
  <si>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</si>
  <si>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</si>
  <si>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</si>
  <si>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</si>
  <si>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</si>
  <si>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</si>
  <si>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</si>
  <si>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</si>
  <si>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</si>
  <si>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</si>
  <si>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</si>
  <si>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</si>
  <si>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</si>
  <si>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</si>
  <si>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</si>
  <si>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</si>
  <si>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</si>
  <si>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</si>
  <si>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</si>
  <si>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</si>
  <si>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</si>
  <si>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</si>
  <si>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</si>
  <si>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</si>
  <si>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</si>
  <si>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</si>
  <si>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</si>
  <si>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</si>
  <si>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</si>
  <si>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</si>
  <si>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</si>
  <si>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</si>
  <si>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</si>
  <si>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</si>
  <si>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</si>
  <si>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</si>
  <si>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</si>
  <si>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</si>
  <si>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</si>
  <si>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</si>
  <si>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</si>
  <si>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</si>
  <si>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</si>
  <si>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</si>
  <si>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</si>
  <si>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</si>
  <si>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</si>
  <si>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</si>
  <si>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</si>
  <si>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</si>
  <si>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</si>
  <si>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</si>
  <si>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</si>
  <si>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</si>
  <si>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</si>
  <si>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</si>
  <si>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</si>
  <si>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</si>
  <si>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</si>
  <si>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</si>
  <si>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</si>
  <si>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</si>
  <si>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</si>
  <si>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</si>
  <si>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</si>
  <si>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</si>
  <si>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</si>
  <si>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</si>
  <si>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</si>
  <si>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</si>
  <si>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</si>
  <si>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</si>
  <si>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</si>
  <si>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</si>
  <si>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</si>
  <si>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</si>
  <si>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</si>
  <si>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</si>
  <si>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</si>
  <si>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</si>
  <si>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</si>
  <si>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</si>
  <si>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</si>
  <si>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</si>
  <si>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</si>
  <si>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</si>
  <si>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</si>
  <si>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</si>
  <si>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</si>
  <si>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</si>
  <si>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</si>
  <si>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</si>
  <si>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</si>
  <si>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</si>
  <si>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</si>
  <si>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</si>
  <si>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</si>
  <si>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</si>
  <si>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</si>
  <si>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</si>
  <si>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</si>
  <si>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</si>
  <si>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</si>
  <si>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</si>
  <si>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</si>
  <si>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</si>
  <si>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</si>
  <si>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</si>
  <si>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</si>
  <si>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</si>
  <si>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</si>
  <si>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</si>
  <si>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</si>
  <si>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</si>
  <si>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</si>
  <si>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</si>
  <si>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</si>
  <si>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</si>
  <si>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</si>
  <si>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</si>
  <si>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</si>
  <si>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</si>
  <si>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</si>
  <si>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</si>
  <si>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</si>
  <si>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</si>
  <si>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</si>
  <si>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</si>
  <si>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</si>
  <si>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</si>
  <si>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</si>
  <si>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</si>
  <si>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</si>
  <si>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</si>
  <si>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</si>
  <si>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</si>
  <si>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</si>
  <si>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</si>
  <si>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</si>
  <si>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</si>
  <si>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</si>
  <si>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</si>
  <si>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</si>
  <si>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</si>
  <si>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</si>
  <si>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</si>
  <si>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</si>
  <si>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</si>
  <si>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</si>
  <si>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</si>
  <si>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</si>
  <si>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</si>
  <si>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</si>
  <si>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</si>
  <si>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</si>
  <si>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</si>
  <si>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</si>
  <si>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</si>
  <si>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</si>
  <si>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</si>
  <si>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</si>
  <si>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</si>
  <si>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</si>
  <si>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</si>
  <si>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</si>
  <si>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</si>
  <si>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</si>
  <si>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</si>
  <si>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</si>
  <si>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</si>
  <si>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</si>
  <si>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</si>
  <si>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</si>
  <si>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</si>
  <si>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</si>
  <si>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</si>
  <si>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</si>
  <si>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</si>
  <si>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</si>
  <si>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</si>
  <si>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</si>
  <si>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</si>
  <si>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</si>
  <si>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</si>
  <si>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</si>
  <si>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</si>
  <si>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</si>
  <si>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</si>
  <si>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</si>
  <si>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</si>
  <si>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</si>
  <si>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</si>
  <si>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</si>
  <si>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</si>
  <si>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</si>
  <si>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</si>
  <si>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</si>
  <si>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</si>
  <si>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</si>
  <si>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</si>
  <si>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</si>
  <si>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</si>
  <si>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</si>
  <si>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</si>
  <si>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</si>
  <si>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</si>
  <si>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</si>
  <si>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</si>
  <si>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</si>
  <si>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</si>
  <si>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</si>
  <si>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</si>
  <si>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</si>
  <si>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</si>
  <si>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</si>
  <si>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</si>
  <si>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</si>
  <si>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</si>
  <si>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</si>
  <si>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</si>
  <si>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</si>
  <si>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</si>
  <si>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</si>
  <si>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</si>
  <si>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</si>
  <si>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</si>
  <si>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</si>
  <si>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</si>
  <si>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</si>
  <si>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</si>
  <si>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</si>
  <si>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</si>
  <si>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</si>
  <si>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</si>
  <si>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</si>
  <si>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</si>
  <si>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</si>
  <si>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</si>
  <si>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</si>
  <si>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</si>
  <si>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</si>
  <si>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</si>
  <si>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</si>
  <si>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</si>
  <si>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</si>
  <si>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</si>
  <si>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</si>
  <si>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</si>
  <si>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</si>
  <si>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</si>
  <si>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</si>
  <si>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</si>
  <si>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</si>
  <si>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</si>
  <si>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</si>
  <si>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</si>
  <si>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</si>
  <si>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</si>
  <si>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</si>
  <si>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</si>
  <si>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</si>
  <si>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</si>
  <si>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</si>
  <si>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</si>
  <si>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</si>
  <si>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</si>
  <si>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</si>
  <si>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</si>
  <si>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</si>
  <si>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</si>
  <si>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</si>
  <si>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</si>
  <si>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</si>
  <si>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</si>
  <si>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</si>
  <si>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</si>
  <si>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</si>
  <si>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</si>
  <si>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</si>
  <si>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</si>
  <si>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</si>
  <si>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</si>
  <si>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</si>
  <si>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</si>
  <si>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</si>
  <si>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</si>
  <si>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</si>
  <si>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</si>
  <si>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</si>
  <si>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</si>
  <si>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</si>
  <si>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</si>
  <si>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</si>
  <si>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</si>
  <si>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</si>
  <si>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</si>
  <si>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</si>
  <si>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</si>
  <si>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</si>
  <si>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</si>
  <si>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</si>
  <si>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</si>
  <si>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</si>
  <si>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</si>
  <si>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</si>
  <si>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</si>
  <si>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</si>
  <si>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</si>
  <si>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</si>
  <si>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</si>
  <si>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</si>
  <si>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</si>
  <si>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</si>
  <si>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</si>
  <si>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</si>
  <si>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</si>
  <si>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</si>
  <si>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</si>
  <si>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</si>
  <si>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</si>
  <si>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</si>
  <si>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</si>
  <si>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</si>
  <si>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</si>
  <si>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</si>
  <si>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</si>
  <si>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</si>
  <si>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</si>
  <si>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</si>
  <si>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</si>
  <si>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</si>
  <si>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</si>
  <si>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</si>
  <si>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</si>
  <si>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</si>
  <si>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</si>
  <si>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</si>
  <si>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</si>
  <si>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</si>
  <si>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</si>
  <si>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</si>
  <si>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</si>
  <si>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</si>
  <si>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</si>
  <si>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</si>
  <si>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</si>
  <si>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</si>
  <si>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</si>
  <si>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</si>
  <si>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</si>
  <si>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</si>
  <si>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</si>
  <si>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</si>
  <si>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</si>
  <si>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</si>
  <si>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</si>
  <si>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</si>
  <si>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</si>
  <si>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</si>
  <si>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</si>
  <si>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</si>
  <si>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</si>
  <si>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</si>
  <si>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</si>
  <si>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</si>
  <si>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</si>
  <si>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</si>
  <si>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</si>
  <si>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</si>
  <si>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</si>
  <si>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</si>
  <si>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</si>
  <si>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</si>
  <si>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</si>
  <si>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</si>
  <si>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</si>
  <si>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</si>
  <si>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</si>
  <si>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</si>
  <si>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</si>
  <si>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</si>
  <si>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</si>
  <si>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</si>
  <si>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</si>
  <si>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</si>
  <si>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</si>
  <si>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</si>
  <si>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</si>
  <si>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</si>
  <si>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</si>
  <si>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</si>
  <si>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</si>
  <si>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</si>
  <si>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</si>
  <si>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</si>
  <si>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</si>
  <si>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</si>
  <si>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</si>
  <si>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</si>
  <si>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</si>
  <si>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</si>
  <si>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</si>
  <si>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</si>
  <si>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</si>
  <si>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</si>
  <si>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</si>
  <si>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</si>
  <si>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</si>
  <si>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</si>
  <si>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</si>
  <si>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</si>
  <si>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</si>
  <si>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</si>
  <si>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</si>
  <si>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</si>
  <si>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</si>
  <si>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</si>
  <si>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</si>
  <si>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</si>
  <si>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</si>
  <si>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</si>
  <si>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</si>
  <si>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</si>
  <si>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</si>
  <si>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</si>
  <si>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</si>
  <si>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</si>
  <si>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</si>
  <si>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</si>
  <si>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</si>
  <si>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</si>
  <si>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</si>
  <si>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</si>
  <si>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</si>
  <si>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</si>
  <si>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</si>
  <si>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</si>
  <si>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</si>
  <si>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</si>
  <si>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</si>
  <si>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</si>
  <si>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</si>
  <si>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</si>
  <si>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</si>
  <si>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</si>
  <si>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</si>
  <si>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</si>
  <si>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</si>
  <si>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</si>
  <si>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</si>
  <si>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</si>
  <si>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</si>
  <si>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</si>
  <si>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</si>
  <si>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</si>
  <si>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</si>
  <si>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</si>
  <si>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</si>
  <si>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</si>
  <si>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</si>
  <si>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</si>
  <si>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</si>
  <si>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</si>
  <si>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</si>
  <si>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</si>
  <si>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</si>
  <si>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</si>
  <si>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</si>
  <si>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</si>
  <si>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</si>
  <si>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</si>
  <si>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</si>
  <si>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</si>
  <si>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</si>
  <si>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</si>
  <si>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</si>
  <si>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</si>
  <si>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</si>
  <si>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</si>
  <si>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</si>
  <si>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</si>
  <si>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</si>
  <si>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</si>
  <si>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</si>
  <si>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</si>
  <si>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</si>
  <si>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</si>
  <si>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</si>
  <si>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</si>
  <si>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</si>
  <si>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</si>
  <si>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</si>
  <si>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</si>
  <si>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</si>
  <si>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</si>
  <si>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</si>
  <si>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</si>
  <si>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</si>
  <si>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</si>
  <si>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</si>
  <si>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</si>
  <si>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</si>
  <si>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</si>
  <si>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</si>
  <si>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</si>
  <si>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</si>
  <si>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</si>
  <si>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</si>
  <si>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</si>
  <si>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</si>
  <si>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</si>
  <si>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</si>
  <si>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</si>
  <si>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</si>
  <si>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</si>
  <si>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</si>
  <si>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</si>
  <si>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</si>
  <si>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</si>
  <si>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</si>
  <si>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</si>
  <si>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</si>
  <si>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</si>
  <si>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</si>
  <si>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</si>
  <si>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</si>
  <si>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</si>
  <si>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</si>
  <si>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</si>
  <si>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</si>
  <si>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</si>
  <si>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</si>
  <si>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</si>
  <si>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</si>
  <si>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</si>
  <si>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</si>
  <si>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</si>
  <si>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</si>
  <si>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</si>
  <si>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</si>
  <si>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</si>
  <si>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</si>
  <si>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</si>
  <si>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</si>
  <si>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</si>
  <si>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</si>
  <si>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</si>
  <si>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</si>
  <si>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</si>
  <si>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</si>
  <si>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</si>
  <si>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</si>
  <si>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</si>
  <si>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</si>
  <si>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</si>
  <si>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</si>
  <si>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</si>
  <si>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</si>
  <si>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</si>
  <si>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</si>
  <si>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</si>
  <si>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</si>
  <si>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</si>
  <si>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</si>
  <si>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</si>
  <si>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</si>
  <si>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</si>
  <si>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</si>
  <si>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</si>
  <si>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</si>
  <si>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</si>
  <si>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</si>
  <si>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</si>
  <si>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</si>
  <si>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</si>
  <si>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</si>
  <si>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</si>
  <si>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</si>
  <si>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</si>
  <si>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</si>
  <si>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</si>
  <si>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</si>
  <si>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</si>
  <si>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</si>
  <si>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</si>
  <si>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</si>
  <si>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</si>
  <si>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</si>
  <si>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</si>
  <si>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</si>
  <si>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</si>
  <si>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</si>
  <si>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</si>
  <si>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</si>
  <si>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</si>
  <si>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</si>
  <si>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</si>
  <si>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</si>
  <si>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</si>
  <si>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</si>
  <si>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</si>
  <si>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</si>
  <si>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</si>
  <si>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</si>
  <si>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</si>
  <si>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</si>
  <si>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</si>
  <si>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</si>
  <si>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</si>
  <si>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</si>
  <si>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</si>
  <si>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</si>
  <si>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</si>
  <si>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</si>
  <si>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</si>
  <si>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</si>
  <si>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</si>
  <si>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</si>
  <si>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</si>
  <si>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</si>
  <si>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</si>
  <si>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</si>
  <si>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</si>
  <si>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</si>
  <si>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</si>
  <si>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</si>
  <si>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</si>
  <si>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</si>
  <si>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</si>
  <si>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</si>
  <si>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</si>
  <si>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</si>
  <si>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</si>
  <si>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</si>
  <si>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</si>
  <si>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</si>
  <si>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</si>
  <si>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</si>
  <si>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</si>
  <si>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</si>
  <si>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</si>
  <si>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</si>
  <si>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</si>
  <si>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</si>
  <si>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</si>
  <si>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</si>
  <si>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</si>
  <si>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</si>
  <si>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</si>
  <si>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</si>
  <si>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</si>
  <si>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</si>
  <si>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</si>
  <si>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</si>
  <si>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</si>
  <si>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</si>
  <si>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</si>
  <si>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</si>
  <si>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</si>
  <si>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</si>
  <si>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</si>
  <si>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</si>
  <si>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</si>
  <si>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</si>
  <si>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</si>
  <si>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</si>
  <si>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</si>
  <si>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</si>
  <si>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</si>
  <si>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</si>
  <si>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</si>
  <si>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</si>
  <si>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</si>
  <si>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</si>
  <si>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</si>
  <si>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</si>
  <si>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</si>
  <si>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</si>
  <si>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</si>
  <si>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</si>
  <si>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</si>
  <si>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</si>
  <si>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</si>
  <si>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</si>
  <si>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</si>
  <si>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</si>
  <si>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</si>
  <si>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</si>
  <si>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</si>
  <si>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</si>
  <si>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</si>
  <si>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</si>
  <si>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</si>
  <si>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</si>
  <si>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</si>
  <si>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</si>
  <si>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</si>
  <si>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</si>
  <si>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</si>
  <si>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</si>
  <si>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</si>
  <si>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</si>
  <si>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</si>
  <si>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</si>
  <si>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</si>
  <si>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</si>
  <si>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</si>
  <si>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</si>
  <si>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</si>
  <si>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</si>
  <si>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</si>
  <si>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</si>
  <si>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</si>
  <si>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</si>
  <si>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</si>
  <si>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</si>
  <si>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</si>
  <si>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</si>
  <si>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</si>
  <si>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</si>
  <si>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</si>
  <si>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</si>
  <si>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</si>
  <si>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</si>
  <si>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</si>
  <si>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</si>
  <si>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</si>
  <si>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</si>
  <si>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</si>
  <si>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</si>
  <si>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</si>
  <si>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</si>
  <si>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</si>
  <si>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</si>
  <si>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</si>
  <si>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</si>
  <si>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</si>
  <si>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</si>
  <si>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</si>
  <si>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</si>
  <si>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</si>
  <si>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</si>
  <si>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</si>
  <si>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</si>
  <si>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</si>
  <si>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</si>
  <si>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</si>
  <si>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</si>
  <si>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</si>
  <si>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</si>
  <si>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</si>
  <si>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</si>
  <si>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</si>
  <si>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</si>
  <si>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</si>
  <si>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</si>
  <si>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</si>
  <si>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</si>
  <si>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</si>
  <si>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</si>
  <si>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</si>
  <si>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</si>
  <si>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</si>
  <si>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</si>
  <si>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</si>
  <si>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</si>
  <si>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</si>
  <si>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</si>
  <si>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</si>
  <si>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</si>
  <si>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</si>
  <si>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</si>
  <si>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</si>
  <si>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</si>
  <si>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</si>
  <si>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</si>
  <si>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</si>
  <si>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</si>
  <si>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</si>
  <si>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</si>
  <si>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</si>
  <si>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</si>
  <si>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</si>
  <si>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</si>
  <si>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</si>
  <si>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</si>
  <si>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</si>
  <si>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</si>
  <si>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</si>
  <si>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</si>
  <si>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</si>
  <si>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</si>
  <si>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</si>
  <si>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</si>
  <si>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</si>
  <si>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</si>
  <si>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</si>
  <si>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</si>
  <si>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</si>
  <si>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</si>
  <si>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</si>
  <si>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</si>
  <si>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</si>
  <si>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</si>
  <si>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</si>
  <si>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</si>
  <si>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</si>
  <si>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</si>
  <si>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</si>
  <si>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</si>
  <si>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</si>
  <si>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</si>
  <si>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</si>
  <si>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</si>
  <si>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</si>
  <si>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</si>
  <si>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</si>
  <si>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</si>
  <si>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</si>
  <si>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</si>
  <si>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</si>
  <si>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</si>
  <si>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</si>
  <si>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</si>
  <si>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</si>
  <si>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</si>
  <si>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</si>
  <si>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</si>
  <si>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</si>
  <si>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</si>
  <si>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</si>
  <si>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</si>
  <si>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</si>
  <si>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</si>
  <si>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</si>
  <si>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</si>
  <si>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</si>
  <si>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</si>
  <si>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</si>
  <si>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</si>
  <si>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</si>
  <si>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</si>
  <si>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</si>
  <si>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</si>
  <si>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</si>
  <si>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</si>
  <si>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</si>
  <si>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</si>
  <si>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</si>
  <si>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</si>
  <si>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</si>
  <si>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</si>
  <si>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</si>
  <si>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</si>
  <si>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</si>
  <si>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</si>
  <si>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</si>
  <si>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</si>
  <si>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</si>
  <si>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</si>
  <si>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</si>
  <si>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</si>
  <si>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</si>
  <si>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</si>
  <si>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</si>
  <si>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</si>
  <si>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</si>
  <si>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</si>
  <si>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</si>
  <si>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</si>
  <si>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</si>
  <si>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</si>
  <si>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</si>
  <si>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</si>
  <si>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</si>
  <si>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</si>
  <si>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</si>
  <si>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</si>
  <si>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</si>
  <si>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</si>
  <si>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</si>
  <si>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</si>
  <si>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</si>
  <si>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</si>
  <si>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</si>
  <si>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</si>
  <si>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</si>
  <si>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</si>
  <si>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</si>
  <si>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</si>
  <si>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</si>
  <si>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</si>
  <si>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</si>
  <si>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</si>
  <si>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</si>
  <si>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</si>
  <si>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</si>
  <si>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</si>
  <si>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</si>
  <si>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</si>
  <si>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</si>
  <si>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</si>
  <si>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</si>
  <si>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</si>
  <si>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</si>
  <si>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</si>
  <si>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</si>
  <si>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</si>
  <si>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</si>
  <si>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</si>
  <si>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</si>
  <si>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</si>
  <si>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</si>
  <si>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</si>
  <si>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</si>
  <si>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</si>
  <si>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</si>
  <si>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</si>
  <si>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</si>
  <si>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</si>
  <si>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</si>
  <si>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</si>
  <si>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</si>
  <si>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</si>
  <si>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</si>
  <si>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</si>
  <si>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</si>
  <si>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</si>
  <si>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</si>
  <si>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</si>
  <si>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</si>
  <si>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</si>
  <si>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</si>
  <si>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</si>
  <si>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</si>
  <si>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</si>
  <si>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</si>
  <si>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</si>
  <si>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</si>
  <si>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</si>
  <si>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</si>
  <si>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</si>
  <si>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</si>
  <si>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</si>
  <si>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</si>
  <si>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</si>
  <si>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</si>
  <si>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</si>
  <si>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</si>
  <si>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</si>
  <si>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</si>
  <si>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</si>
  <si>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</si>
  <si>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</si>
  <si>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</si>
  <si>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</si>
  <si>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</si>
  <si>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</si>
  <si>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</si>
  <si>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</si>
  <si>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</si>
  <si>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</si>
  <si>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</si>
  <si>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</si>
  <si>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</si>
  <si>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</si>
  <si>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</si>
  <si>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</si>
  <si>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</si>
  <si>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</si>
  <si>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</si>
  <si>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</si>
  <si>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</si>
  <si>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</si>
  <si>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</si>
  <si>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</si>
  <si>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</si>
  <si>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</si>
  <si>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</si>
  <si>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</si>
  <si>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</si>
  <si>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</si>
  <si>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</si>
  <si>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</si>
  <si>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</si>
  <si>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</si>
  <si>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</si>
  <si>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</si>
  <si>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</si>
  <si>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</si>
  <si>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</si>
  <si>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</si>
  <si>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</si>
  <si>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</si>
  <si>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</si>
  <si>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</si>
  <si>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</si>
  <si>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</si>
  <si>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</si>
  <si>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</si>
  <si>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</si>
  <si>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</si>
  <si>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</si>
  <si>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</si>
  <si>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</si>
  <si>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</si>
  <si>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</si>
  <si>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</si>
  <si>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</si>
  <si>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</si>
  <si>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</si>
  <si>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</si>
  <si>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</si>
  <si>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</si>
  <si>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</si>
  <si>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</si>
  <si>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</si>
  <si>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</si>
  <si>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</si>
  <si>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</si>
  <si>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</si>
  <si>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</si>
  <si>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</si>
  <si>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</si>
  <si>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</si>
  <si>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</si>
  <si>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</si>
  <si>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</si>
  <si>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</si>
  <si>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</si>
  <si>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</si>
  <si>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</si>
  <si>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</si>
  <si>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</si>
  <si>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</si>
  <si>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</si>
  <si>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</si>
  <si>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</si>
  <si>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</si>
  <si>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</si>
  <si>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</si>
  <si>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</si>
  <si>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</si>
  <si>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</si>
  <si>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</si>
  <si>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</si>
  <si>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</si>
  <si>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</si>
  <si>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</si>
  <si>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</si>
  <si>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</si>
  <si>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</si>
  <si>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</si>
  <si>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</si>
  <si>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</si>
  <si>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</si>
  <si>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</si>
  <si>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</si>
  <si>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</si>
  <si>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</si>
  <si>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</si>
  <si>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</si>
  <si>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</si>
  <si>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</si>
  <si>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</si>
  <si>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</si>
  <si>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</si>
  <si>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</si>
  <si>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</si>
  <si>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</si>
  <si>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</si>
  <si>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</si>
  <si>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</si>
  <si>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</si>
  <si>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</si>
  <si>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</si>
  <si>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</si>
  <si>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</si>
  <si>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</si>
  <si>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</si>
  <si>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</si>
  <si>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</si>
  <si>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</si>
  <si>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</si>
  <si>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</si>
  <si>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</si>
  <si>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</si>
  <si>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</si>
  <si>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</si>
  <si>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</si>
  <si>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</si>
  <si>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</si>
  <si>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</si>
  <si>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</si>
  <si>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</si>
  <si>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</si>
  <si>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</si>
  <si>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</si>
  <si>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</si>
  <si>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</si>
  <si>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</si>
  <si>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</si>
  <si>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</si>
  <si>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</si>
  <si>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</si>
  <si>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</si>
  <si>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</si>
  <si>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</si>
  <si>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</si>
  <si>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</si>
  <si>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</si>
  <si>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</si>
  <si>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</si>
  <si>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</si>
  <si>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</si>
  <si>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</si>
  <si>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</si>
  <si>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</si>
  <si>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</si>
  <si>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</si>
  <si>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</si>
  <si>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</si>
  <si>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</si>
  <si>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</si>
  <si>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</si>
  <si>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</si>
  <si>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</si>
  <si>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</si>
  <si>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</si>
  <si>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</si>
  <si>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</si>
  <si>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</si>
  <si>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</si>
  <si>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</si>
  <si>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</si>
  <si>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</si>
  <si>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</si>
  <si>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</si>
  <si>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</si>
  <si>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</si>
  <si>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</si>
  <si>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</si>
  <si>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</si>
  <si>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</si>
  <si>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</si>
  <si>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</si>
  <si>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</si>
  <si>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</si>
  <si>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</si>
  <si>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</si>
  <si>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</si>
  <si>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</si>
  <si>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</si>
  <si>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</si>
  <si>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</si>
  <si>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</si>
  <si>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</si>
  <si>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</si>
  <si>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</si>
  <si>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</si>
  <si>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</si>
  <si>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</si>
  <si>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</si>
  <si>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</si>
  <si>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</si>
  <si>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</si>
  <si>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</si>
  <si>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</si>
  <si>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</si>
  <si>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</si>
  <si>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</si>
  <si>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</si>
  <si>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</si>
  <si>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</si>
  <si>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</si>
  <si>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</si>
  <si>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</si>
  <si>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</si>
  <si>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</si>
  <si>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</si>
  <si>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</si>
  <si>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</si>
  <si>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</si>
  <si>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</si>
  <si>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</si>
  <si>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</si>
  <si>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</si>
  <si>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</si>
  <si>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</si>
  <si>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</si>
  <si>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</si>
  <si>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</si>
  <si>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</si>
  <si>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</si>
  <si>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</si>
  <si>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</si>
  <si>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</si>
  <si>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</si>
  <si>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</si>
  <si>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</si>
  <si>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</si>
  <si>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</si>
  <si>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</si>
  <si>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</si>
  <si>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</si>
  <si>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</si>
  <si>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</si>
  <si>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</si>
  <si>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</si>
  <si>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</si>
  <si>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</si>
  <si>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</si>
  <si>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</si>
  <si>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</si>
  <si>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</si>
  <si>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</si>
  <si>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</si>
  <si>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</si>
  <si>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</si>
  <si>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</si>
  <si>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</si>
  <si>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</si>
  <si>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</si>
  <si>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</si>
  <si>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</si>
  <si>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</si>
  <si>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</si>
  <si>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</si>
  <si>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</si>
  <si>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</si>
  <si>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</si>
  <si>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</si>
  <si>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</si>
  <si>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</si>
  <si>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</si>
  <si>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</si>
  <si>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</si>
  <si>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</si>
  <si>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</si>
  <si>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</si>
  <si>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</si>
  <si>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</si>
  <si>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</si>
  <si>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</si>
  <si>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</si>
  <si>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</si>
  <si>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</si>
  <si>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</si>
  <si>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</si>
  <si>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</si>
  <si>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</si>
  <si>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</si>
  <si>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</si>
  <si>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</si>
  <si>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</si>
  <si>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</si>
  <si>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</si>
  <si>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</si>
  <si>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</si>
  <si>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</si>
  <si>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</si>
  <si>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</si>
  <si>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</si>
  <si>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</si>
  <si>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</si>
  <si>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</si>
  <si>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</si>
  <si>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</si>
  <si>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</si>
  <si>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</si>
  <si>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</si>
  <si>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</si>
  <si>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</si>
  <si>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</si>
  <si>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</si>
  <si>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</si>
  <si>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</si>
  <si>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</si>
  <si>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</si>
  <si>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</si>
  <si>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</si>
  <si>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</si>
  <si>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</si>
  <si>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</si>
  <si>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</si>
  <si>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</si>
  <si>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</si>
  <si>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</si>
  <si>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</si>
  <si>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</si>
  <si>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</si>
  <si>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</si>
  <si>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</si>
  <si>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</si>
  <si>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</si>
  <si>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</si>
  <si>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</si>
  <si>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</si>
  <si>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</si>
  <si>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</si>
  <si>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</si>
  <si>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</si>
  <si>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</si>
  <si>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</si>
  <si>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</si>
  <si>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</si>
  <si>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</si>
  <si>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</si>
  <si>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</si>
  <si>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</si>
  <si>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</si>
  <si>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</si>
  <si>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</si>
  <si>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</si>
  <si>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</si>
  <si>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</si>
  <si>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</si>
  <si>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</si>
  <si>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</si>
  <si>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</si>
  <si>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</si>
  <si>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</si>
  <si>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</si>
  <si>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</si>
  <si>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</si>
  <si>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</si>
  <si>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</si>
  <si>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</si>
  <si>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</si>
  <si>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</si>
  <si>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</si>
  <si>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</si>
  <si>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</si>
  <si>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</si>
  <si>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</si>
  <si>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</si>
  <si>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</si>
  <si>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</si>
  <si>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</si>
  <si>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</si>
  <si>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</si>
  <si>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</si>
  <si>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</si>
  <si>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</si>
  <si>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</si>
  <si>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</si>
  <si>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</si>
  <si>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</si>
  <si>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</si>
  <si>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</si>
  <si>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</si>
  <si>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</si>
  <si>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</si>
  <si>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</si>
  <si>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</si>
  <si>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</si>
  <si>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</si>
  <si>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</si>
  <si>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</si>
  <si>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</si>
  <si>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</si>
  <si>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</si>
  <si>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</si>
  <si>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</si>
  <si>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</si>
  <si>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</si>
  <si>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</si>
  <si>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</si>
  <si>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</si>
  <si>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</si>
  <si>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</si>
  <si>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</si>
  <si>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</si>
  <si>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</si>
  <si>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</si>
  <si>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</si>
  <si>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</si>
  <si>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</si>
  <si>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</si>
  <si>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</si>
  <si>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</si>
  <si>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</si>
  <si>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</si>
  <si>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</si>
  <si>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</si>
  <si>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</si>
  <si>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</si>
  <si>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</si>
  <si>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</si>
  <si>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</si>
  <si>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</si>
  <si>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</si>
  <si>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</si>
  <si>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</si>
  <si>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</si>
  <si>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</si>
  <si>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</si>
  <si>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</si>
  <si>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</si>
  <si>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</si>
  <si>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</si>
  <si>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</si>
  <si>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</si>
  <si>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</si>
  <si>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</si>
  <si>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</si>
  <si>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</si>
  <si>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</si>
  <si>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</si>
  <si>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</si>
  <si>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</si>
  <si>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</si>
  <si>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</si>
  <si>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</si>
  <si>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</si>
  <si>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</si>
  <si>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</si>
  <si>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</si>
  <si>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</si>
  <si>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</si>
  <si>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</si>
  <si>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</si>
  <si>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</si>
  <si>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</si>
  <si>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</si>
  <si>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</si>
  <si>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</si>
  <si>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</si>
  <si>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</si>
  <si>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</si>
  <si>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</si>
  <si>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</si>
  <si>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</si>
  <si>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</si>
  <si>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</si>
  <si>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</si>
  <si>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</si>
  <si>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</si>
  <si>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</si>
  <si>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</si>
  <si>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</si>
  <si>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</si>
  <si>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</si>
  <si>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</si>
  <si>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</si>
  <si>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</si>
  <si>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</si>
  <si>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</si>
  <si>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</si>
  <si>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</si>
  <si>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</si>
  <si>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</si>
  <si>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</si>
  <si>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</si>
  <si>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</si>
  <si>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</si>
  <si>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</si>
  <si>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</si>
  <si>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</si>
  <si>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</si>
  <si>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</si>
  <si>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</si>
  <si>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</si>
  <si>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</si>
  <si>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</si>
  <si>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</si>
  <si>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</si>
  <si>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</si>
  <si>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</si>
  <si>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</si>
  <si>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</si>
  <si>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</si>
  <si>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</si>
  <si>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</si>
  <si>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</si>
  <si>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</si>
  <si>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</si>
  <si>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</si>
  <si>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</si>
  <si>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</si>
  <si>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</si>
  <si>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</si>
  <si>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</si>
  <si>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</si>
  <si>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</si>
  <si>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</si>
  <si>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</si>
  <si>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</si>
  <si>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</si>
  <si>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</si>
  <si>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</si>
  <si>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</si>
  <si>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</si>
  <si>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</si>
  <si>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</si>
  <si>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</si>
  <si>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</si>
  <si>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</si>
  <si>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</si>
  <si>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</si>
  <si>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</si>
  <si>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</si>
  <si>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</si>
  <si>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</si>
  <si>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</si>
  <si>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</si>
  <si>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</si>
  <si>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</si>
  <si>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</si>
  <si>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</si>
  <si>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</si>
  <si>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</si>
  <si>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</si>
  <si>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</si>
  <si>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</si>
  <si>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</si>
  <si>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</si>
  <si>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</si>
  <si>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</si>
  <si>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</si>
  <si>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</si>
  <si>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</si>
  <si>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</si>
  <si>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</si>
  <si>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</si>
  <si>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</si>
  <si>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</si>
  <si>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</si>
  <si>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</si>
  <si>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</si>
  <si>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</si>
  <si>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</si>
  <si>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</si>
  <si>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</si>
  <si>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</si>
  <si>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</si>
  <si>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</si>
  <si>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</si>
  <si>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</si>
  <si>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</si>
  <si>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</si>
  <si>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</si>
  <si>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</si>
  <si>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</si>
  <si>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</si>
  <si>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</si>
  <si>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</si>
  <si>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</si>
  <si>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</si>
  <si>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</si>
  <si>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</si>
  <si>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</si>
  <si>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</si>
  <si>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</si>
  <si>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</si>
  <si>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</si>
  <si>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</si>
  <si>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</si>
  <si>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</si>
  <si>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</si>
  <si>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</si>
  <si>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</si>
  <si>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</si>
  <si>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</si>
  <si>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</si>
  <si>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</si>
  <si>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</si>
  <si>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</si>
  <si>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</si>
  <si>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</si>
  <si>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</si>
  <si>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</si>
  <si>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</si>
  <si>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</si>
  <si>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</si>
  <si>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</si>
  <si>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</si>
  <si>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</si>
  <si>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</si>
  <si>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</si>
  <si>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</si>
  <si>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</si>
  <si>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</si>
  <si>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</si>
  <si>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</si>
  <si>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</si>
  <si>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</si>
  <si>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</si>
  <si>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</si>
  <si>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</si>
  <si>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</si>
  <si>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</si>
  <si>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</si>
  <si>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</si>
  <si>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</si>
  <si>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</si>
  <si>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</si>
  <si>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</si>
  <si>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</si>
  <si>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</si>
  <si>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</si>
  <si>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</si>
  <si>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</si>
  <si>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</si>
  <si>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</si>
  <si>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</si>
  <si>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</si>
  <si>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</si>
  <si>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</si>
  <si>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</si>
  <si>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</si>
  <si>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</si>
  <si>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</si>
  <si>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</si>
  <si>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</si>
  <si>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</si>
  <si>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</si>
  <si>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</si>
  <si>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</si>
  <si>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</si>
  <si>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</si>
  <si>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</si>
  <si>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</si>
  <si>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</si>
  <si>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</si>
  <si>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</si>
  <si>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</si>
  <si>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</si>
  <si>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</si>
  <si>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</si>
  <si>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</si>
  <si>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</si>
  <si>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</si>
  <si>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</si>
  <si>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</si>
  <si>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</si>
  <si>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</si>
  <si>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</si>
  <si>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</si>
  <si>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</si>
  <si>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</si>
  <si>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</si>
  <si>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</si>
  <si>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</si>
  <si>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</si>
  <si>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</si>
  <si>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</si>
  <si>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</si>
  <si>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</si>
  <si>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</si>
  <si>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</si>
  <si>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</si>
  <si>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</si>
  <si>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</si>
  <si>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</si>
  <si>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</si>
  <si>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</si>
  <si>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</si>
  <si>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</si>
  <si>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</si>
  <si>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</si>
  <si>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</si>
  <si>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</si>
  <si>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</si>
  <si>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</si>
  <si>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</si>
  <si>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</si>
  <si>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</si>
  <si>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</si>
  <si>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</si>
  <si>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</si>
  <si>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</si>
  <si>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</si>
  <si>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</si>
  <si>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</si>
  <si>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</si>
  <si>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</si>
  <si>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</si>
  <si>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</si>
  <si>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</si>
  <si>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</si>
  <si>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</si>
  <si>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</si>
  <si>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</si>
  <si>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</si>
  <si>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</si>
  <si>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</si>
  <si>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</si>
  <si>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</si>
  <si>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</si>
  <si>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</si>
  <si>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</si>
  <si>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</si>
  <si>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</si>
  <si>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</si>
  <si>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</si>
  <si>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</si>
  <si>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</si>
  <si>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</si>
  <si>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</si>
  <si>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</si>
  <si>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</si>
  <si>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</si>
  <si>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</si>
  <si>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</si>
  <si>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</si>
  <si>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</si>
  <si>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</si>
  <si>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</si>
  <si>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</si>
  <si>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</si>
  <si>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</si>
  <si>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</si>
  <si>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</si>
  <si>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</si>
  <si>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</si>
  <si>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</si>
  <si>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</si>
  <si>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</si>
  <si>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</si>
  <si>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</si>
  <si>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</si>
  <si>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</si>
  <si>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</si>
  <si>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</si>
  <si>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</si>
  <si>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</si>
  <si>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</si>
  <si>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</si>
  <si>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</si>
  <si>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</si>
  <si>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</si>
  <si>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</si>
  <si>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</si>
  <si>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</si>
  <si>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</si>
  <si>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</si>
  <si>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</si>
  <si>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</si>
  <si>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</si>
  <si>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</si>
  <si>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</si>
  <si>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</si>
  <si>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</si>
  <si>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</si>
  <si>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</si>
  <si>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</si>
  <si>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</si>
  <si>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</si>
  <si>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</si>
  <si>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</si>
  <si>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</si>
  <si>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</si>
  <si>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</si>
  <si>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</si>
  <si>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</si>
  <si>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</si>
  <si>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</si>
  <si>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</si>
  <si>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</si>
  <si>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</si>
  <si>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</si>
  <si>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</si>
  <si>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</si>
  <si>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</si>
  <si>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</si>
  <si>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</si>
  <si>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</si>
  <si>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</si>
  <si>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</si>
  <si>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</si>
  <si>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</si>
  <si>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</si>
  <si>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</si>
  <si>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</si>
  <si>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</si>
  <si>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</si>
  <si>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</si>
  <si>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</si>
  <si>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</si>
  <si>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</si>
  <si>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</si>
  <si>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</si>
  <si>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</si>
  <si>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</si>
  <si>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</si>
  <si>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</si>
  <si>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</si>
  <si>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</si>
  <si>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</si>
  <si>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</si>
  <si>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</si>
  <si>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</si>
  <si>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</si>
  <si>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</si>
  <si>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</si>
  <si>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</si>
  <si>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</si>
  <si>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</si>
  <si>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</si>
  <si>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</si>
  <si>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</si>
  <si>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</si>
  <si>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</si>
  <si>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</si>
  <si>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</si>
  <si>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</si>
  <si>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</si>
  <si>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</si>
  <si>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</si>
  <si>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</si>
  <si>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</si>
  <si>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</si>
  <si>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</si>
  <si>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</si>
  <si>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</si>
  <si>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</si>
  <si>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</si>
  <si>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</si>
  <si>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</si>
  <si>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</si>
  <si>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</si>
  <si>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</si>
  <si>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</si>
  <si>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</si>
  <si>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</si>
  <si>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</si>
  <si>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</si>
  <si>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</si>
  <si>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</si>
  <si>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</si>
  <si>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</si>
  <si>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</si>
  <si>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</si>
  <si>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</si>
  <si>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</si>
  <si>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</si>
  <si>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</si>
  <si>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</si>
  <si>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</si>
  <si>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</si>
  <si>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</si>
  <si>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</si>
  <si>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</si>
  <si>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</si>
  <si>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</si>
  <si>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</si>
  <si>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</si>
  <si>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</si>
  <si>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</si>
  <si>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</si>
  <si>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</si>
  <si>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</si>
  <si>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</si>
  <si>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</si>
  <si>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</si>
  <si>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</si>
  <si>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</si>
  <si>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</si>
  <si>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</si>
  <si>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</si>
  <si>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</si>
  <si>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</si>
  <si>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</si>
  <si>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</si>
  <si>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</si>
  <si>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</si>
  <si>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</si>
  <si>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</si>
  <si>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</si>
  <si>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</si>
  <si>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</si>
  <si>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</si>
  <si>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</si>
  <si>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</si>
  <si>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</si>
  <si>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</si>
  <si>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</si>
  <si>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</si>
  <si>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</si>
  <si>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</si>
  <si>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</si>
  <si>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</si>
  <si>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</si>
  <si>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</si>
  <si>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</si>
  <si>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</si>
  <si>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</si>
  <si>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</si>
  <si>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</si>
  <si>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</si>
  <si>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</si>
  <si>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</si>
  <si>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</si>
  <si>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</si>
  <si>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</si>
  <si>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</si>
  <si>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</si>
  <si>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</si>
  <si>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</si>
  <si>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</si>
  <si>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</si>
  <si>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</si>
  <si>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</si>
  <si>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</si>
  <si>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</si>
  <si>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</si>
  <si>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</si>
  <si>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</si>
  <si>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</si>
  <si>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</si>
  <si>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</si>
  <si>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</si>
  <si>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</si>
  <si>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</si>
  <si>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</si>
  <si>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</si>
  <si>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</si>
  <si>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</si>
  <si>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</si>
  <si>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</si>
  <si>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</si>
  <si>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</si>
  <si>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</si>
  <si>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</si>
  <si>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</si>
  <si>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</si>
  <si>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</si>
  <si>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</si>
  <si>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</si>
  <si>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</si>
  <si>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</si>
  <si>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</si>
  <si>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</si>
  <si>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</si>
  <si>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</si>
  <si>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</si>
  <si>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</si>
  <si>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</si>
  <si>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</si>
  <si>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</si>
  <si>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</si>
  <si>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</si>
  <si>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</si>
  <si>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</si>
  <si>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</si>
  <si>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</si>
  <si>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</si>
  <si>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</si>
  <si>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</si>
  <si>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</si>
  <si>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</si>
  <si>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</si>
  <si>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</si>
  <si>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</si>
  <si>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</si>
  <si>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</si>
  <si>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</si>
  <si>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</si>
  <si>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</si>
  <si>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</si>
  <si>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</si>
  <si>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</si>
  <si>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</si>
  <si>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</si>
  <si>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</si>
  <si>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</si>
  <si>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</si>
  <si>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</si>
  <si>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</si>
  <si>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</si>
  <si>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</si>
  <si>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</si>
  <si>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</si>
  <si>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</si>
  <si>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</si>
  <si>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</si>
  <si>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</si>
  <si>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</si>
  <si>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</si>
  <si>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</si>
  <si>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</si>
  <si>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</si>
  <si>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</si>
  <si>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</si>
  <si>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</si>
  <si>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</si>
  <si>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</si>
  <si>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</si>
  <si>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</si>
  <si>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</si>
  <si>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</si>
  <si>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</si>
  <si>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</si>
  <si>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</si>
  <si>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</si>
  <si>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</si>
  <si>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</si>
  <si>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</si>
  <si>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</si>
  <si>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</si>
  <si>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</si>
  <si>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</si>
  <si>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</si>
  <si>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</si>
  <si>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</si>
  <si>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</si>
  <si>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</si>
  <si>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</si>
  <si>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</si>
  <si>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</si>
  <si>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</si>
  <si>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</si>
  <si>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</si>
  <si>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</si>
  <si>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</si>
  <si>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</si>
  <si>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</si>
  <si>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</si>
  <si>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</si>
  <si>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</si>
  <si>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</si>
  <si>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</si>
  <si>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</si>
  <si>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</si>
  <si>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</si>
  <si>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</si>
  <si>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</si>
  <si>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</si>
  <si>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</si>
  <si>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</si>
  <si>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</si>
  <si>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</si>
  <si>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</si>
  <si>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</si>
  <si>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</si>
  <si>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</si>
  <si>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</si>
  <si>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</si>
  <si>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</si>
  <si>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</si>
  <si>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</si>
  <si>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</si>
  <si>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</si>
  <si>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</si>
  <si>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</si>
  <si>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</si>
  <si>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</si>
  <si>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</si>
  <si>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</si>
  <si>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</si>
  <si>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</si>
  <si>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青岛北曲后汇豪置业有限公司</t>
    <phoneticPr fontId="6" type="noConversion"/>
  </si>
  <si>
    <t>抵押</t>
  </si>
  <si>
    <t>房地产抵押价值</t>
  </si>
  <si>
    <t>其他：</t>
  </si>
  <si>
    <t>青岛市城阳街道大北曲后社区青岛北曲后汇豪置业有限公司</t>
    <phoneticPr fontId="6" type="noConversion"/>
  </si>
  <si>
    <t>山东省</t>
    <phoneticPr fontId="6" type="noConversion"/>
  </si>
  <si>
    <t>企业</t>
  </si>
  <si>
    <t>中粮信托有限责任公司</t>
    <phoneticPr fontId="6" type="noConversion"/>
  </si>
  <si>
    <t>出让</t>
  </si>
  <si>
    <t>通路</t>
  </si>
  <si>
    <t>通电</t>
  </si>
  <si>
    <t>通讯</t>
  </si>
  <si>
    <t>通上水</t>
  </si>
  <si>
    <t>通下水</t>
  </si>
  <si>
    <t>燃气</t>
  </si>
  <si>
    <t>商业</t>
    <phoneticPr fontId="3" type="noConversion"/>
  </si>
  <si>
    <t>是</t>
  </si>
  <si>
    <t>地上</t>
  </si>
  <si>
    <t>地下</t>
  </si>
  <si>
    <t>车库</t>
  </si>
  <si>
    <t>商业</t>
    <phoneticPr fontId="7" type="noConversion"/>
  </si>
  <si>
    <t>地下车库</t>
    <phoneticPr fontId="7" type="noConversion"/>
  </si>
  <si>
    <t>收益法</t>
  </si>
  <si>
    <t>全部缴纳</t>
  </si>
  <si>
    <t>已包含在土地取得成本中</t>
  </si>
  <si>
    <t>未包含在土地购买价格中</t>
  </si>
  <si>
    <t>成本法</t>
  </si>
  <si>
    <t>假设开发法</t>
  </si>
  <si>
    <t>项目全部</t>
  </si>
  <si>
    <t>押一</t>
  </si>
  <si>
    <t>按租金收入计税</t>
  </si>
  <si>
    <t>钢混</t>
  </si>
  <si>
    <t>非生产用房</t>
  </si>
  <si>
    <t>在建（套用方法）</t>
  </si>
  <si>
    <t>自定义</t>
  </si>
  <si>
    <t>收益法 (地下车库)</t>
  </si>
  <si>
    <t>收益法 (地下车库)</t>
    <phoneticPr fontId="16" type="noConversion"/>
  </si>
  <si>
    <t>已全部缴纳</t>
  </si>
  <si>
    <t>成本比率</t>
  </si>
  <si>
    <t>青岛市城阳街道大北曲后社区青岛北曲后汇豪置业有限公司</t>
  </si>
  <si>
    <t>城阳区城阳街道正阳路南侧、黑龙江北路西侧</t>
  </si>
  <si>
    <t>城阳区流亭街道双流高架西、胶州湾高速南</t>
  </si>
  <si>
    <t>高新区智力岛路以北、岙东路以东、和融路以西、广博路以南</t>
  </si>
  <si>
    <t>2018-08-20</t>
  </si>
  <si>
    <t>2018-02-11</t>
  </si>
  <si>
    <t>商业</t>
    <phoneticPr fontId="31" type="noConversion"/>
  </si>
  <si>
    <t>40</t>
    <phoneticPr fontId="31" type="noConversion"/>
  </si>
  <si>
    <t>较好</t>
  </si>
  <si>
    <t>较差</t>
  </si>
  <si>
    <t>一般</t>
  </si>
  <si>
    <t>七通</t>
  </si>
  <si>
    <t>正阳中路</t>
  </si>
  <si>
    <t>黑龙江北路</t>
  </si>
  <si>
    <t>岙东路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</si>
  <si>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</si>
  <si>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</si>
  <si>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</si>
  <si>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</si>
  <si>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</si>
  <si>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城市主干道</t>
  </si>
  <si>
    <t>城市快速路</t>
  </si>
  <si>
    <t>城市支路</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</si>
  <si>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</si>
  <si>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</si>
  <si>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</si>
  <si>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</si>
  <si>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</si>
  <si>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</si>
  <si>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</si>
  <si>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</si>
  <si>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</si>
  <si>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</si>
  <si>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</si>
  <si>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</si>
  <si>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</si>
  <si>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规则</t>
  </si>
  <si>
    <t>六通</t>
  </si>
  <si>
    <t>较规则</t>
  </si>
  <si>
    <t>楼层</t>
    <phoneticPr fontId="143" type="noConversion"/>
  </si>
  <si>
    <t>面积</t>
    <phoneticPr fontId="143" type="noConversion"/>
  </si>
  <si>
    <t>租金单价</t>
    <phoneticPr fontId="143" type="noConversion"/>
  </si>
  <si>
    <t>地下1层</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</si>
  <si>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</si>
  <si>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</si>
  <si>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</si>
  <si>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</si>
  <si>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</si>
  <si>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影院夹层</t>
    <phoneticPr fontId="143" type="noConversion"/>
  </si>
  <si>
    <t>屋顶层</t>
    <phoneticPr fontId="143" type="noConversion"/>
  </si>
  <si>
    <t>一层35000-40000</t>
    <phoneticPr fontId="143" type="noConversion"/>
  </si>
  <si>
    <t>二层位置好的30000，差的20000</t>
    <phoneticPr fontId="143" type="noConversion"/>
  </si>
  <si>
    <r>
      <t>三层1</t>
    </r>
    <r>
      <rPr>
        <sz val="11"/>
        <color theme="1"/>
        <rFont val="宋体"/>
        <family val="3"/>
        <charset val="134"/>
        <scheme val="minor"/>
      </rPr>
      <t>5000-20000</t>
    </r>
    <phoneticPr fontId="143" type="noConversion"/>
  </si>
  <si>
    <r>
      <t>有返祖3年</t>
    </r>
    <r>
      <rPr>
        <sz val="11"/>
        <color theme="1"/>
        <rFont val="宋体"/>
        <family val="3"/>
        <charset val="134"/>
        <scheme val="minor"/>
      </rPr>
      <t>19%，5年26%，6年30%。</t>
    </r>
    <phoneticPr fontId="143" type="noConversion"/>
  </si>
  <si>
    <r>
      <t>折扣二层位置好的2</t>
    </r>
    <r>
      <rPr>
        <sz val="11"/>
        <color theme="1"/>
        <rFont val="宋体"/>
        <family val="3"/>
        <charset val="134"/>
        <scheme val="minor"/>
      </rPr>
      <t>1000-23000</t>
    </r>
    <phoneticPr fontId="143" type="noConversion"/>
  </si>
  <si>
    <t>不临街6米可建夹层37000</t>
    <phoneticPr fontId="143" type="noConversion"/>
  </si>
  <si>
    <r>
      <t>临街小面积6米可建夹层</t>
    </r>
    <r>
      <rPr>
        <sz val="11"/>
        <color theme="1"/>
        <rFont val="宋体"/>
        <family val="3"/>
        <charset val="134"/>
        <scheme val="minor"/>
      </rPr>
      <t>43000</t>
    </r>
    <phoneticPr fontId="143" type="noConversion"/>
  </si>
  <si>
    <t>临主街（正阳中路）只租不售，1-2层租金4块，400平米</t>
    <phoneticPr fontId="143" type="noConversion"/>
  </si>
  <si>
    <t>正阳路主街1层街铺 租金5-6块</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</si>
  <si>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</si>
  <si>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</si>
  <si>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</si>
  <si>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</si>
  <si>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</si>
  <si>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</si>
  <si>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</si>
  <si>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</si>
  <si>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</si>
  <si>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</si>
  <si>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</si>
  <si>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</si>
  <si>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</si>
  <si>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青岛市</t>
  </si>
  <si>
    <t>商业/办公用地</t>
  </si>
  <si>
    <t>＞1且≤1.6</t>
  </si>
  <si>
    <t>拍卖</t>
  </si>
  <si>
    <t>青岛恒海峰置业有限公司</t>
  </si>
  <si>
    <t>城阳区流亭街道双流高架西、胶州湾高速北</t>
  </si>
  <si>
    <t>≥1且≤2.4</t>
  </si>
  <si>
    <t>青岛青特置业有限公司</t>
  </si>
  <si>
    <t>城阳区流亭街道双流高架西、胶州湾高速南</t>
    <phoneticPr fontId="143" type="noConversion"/>
  </si>
  <si>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</si>
  <si>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</si>
  <si>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</si>
  <si>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</si>
  <si>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</si>
  <si>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phoneticPr fontId="143" type="noConversion"/>
  </si>
  <si>
    <t>≤3</t>
  </si>
  <si>
    <t>青岛中腾双创产业发展有限公司</t>
  </si>
  <si>
    <t>≤3.5</t>
  </si>
  <si>
    <r>
      <rPr>
        <sz val="10"/>
        <rFont val="宋体"/>
        <family val="3"/>
        <charset val="134"/>
      </rPr>
      <t>高新区华中路以西、胶州湾高速路以北、海月路以东</t>
    </r>
    <r>
      <rPr>
        <sz val="10"/>
        <rFont val="Arial"/>
        <family val="2"/>
      </rPr>
      <t>B</t>
    </r>
    <r>
      <rPr>
        <sz val="10"/>
        <rFont val="宋体"/>
        <family val="3"/>
        <charset val="134"/>
      </rPr>
      <t>地块</t>
    </r>
    <phoneticPr fontId="143" type="noConversion"/>
  </si>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</sst>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 fillId="0" borderId="0" xfId="11" applyAlignment="1"/>
    <xf numFmtId="0" fontId="1" fillId="5" borderId="0" xfId="11" applyFill="1" applyAlignment="1"/>
    <xf numFmtId="0" fontId="0" fillId="5" borderId="0" xfId="0" applyFill="1">
      <alignment vertical="center"/>
    </xf>
    <xf numFmtId="0" fontId="19" fillId="5" borderId="0" xfId="11" applyFont="1" applyFill="1" applyAlignment="1"/>
    <xf numFmtId="0" fontId="1" fillId="7" borderId="0" xfId="11" applyFill="1" applyAlignment="1"/>
    <xf numFmtId="0" fontId="0" fillId="7"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9525</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31550</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1047750</xdr:colOff>
      <xdr:row>16</xdr:row>
      <xdr:rowOff>142875</xdr:rowOff>
    </xdr:from>
    <xdr:to>
      <xdr:col>10</xdr:col>
      <xdr:colOff>665477</xdr:colOff>
      <xdr:row>50</xdr:row>
      <xdr:rowOff>123099</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2886075"/>
          <a:ext cx="101904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山东省青岛市城阳街道大北曲后社区青岛北曲后汇豪置业有限公司出让国有建设用地使用权及在建建筑物房地产抵押价值预评估</v>
      </c>
    </row>
    <row r="3" spans="1:2" s="1596" customFormat="1">
      <c r="A3" s="1594" t="s">
        <v>1221</v>
      </c>
      <c r="B3" s="1595" t="str">
        <f>'预评函-封皮'!B40</f>
        <v>青岛北曲后汇豪置业有限公司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受贵公司委托，我公司对山东省青岛市城阳街道大北曲后社区青岛北曲后汇豪置业有限公司出让国有建设用地使用权及在建建筑物房地产抵押价值进行了预评估。</v>
      </c>
    </row>
    <row r="7" spans="1:2" s="1596" customFormat="1">
      <c r="A7" s="1594" t="s">
        <v>1264</v>
      </c>
      <c r="B7" s="1595" t="str">
        <f>'预评函-1'!A7</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31518.76平方米，建筑面积为117760.1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东省青岛市城阳街道大北曲后社区青岛北曲后汇豪置业有限公司出让国有建设用地使用权及在建建筑物房地产,为青岛北曲后汇豪置业有限公司开发建设的，该项目尚在开发建设中。根据《国有土地使用证》[]，估价对象（分摊）出让国有建设用地使用权面积为31518.76平方米，规划建筑面积为117760.1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为估价委托人在向中粮信托有限责任公司办理贷款手续过程中，确定房地产抵押贷款额度提供参考依据而评估房地产抵押价值。</v>
      </c>
    </row>
    <row r="12" spans="1:2" s="1596" customFormat="1">
      <c r="A12" s="1594" t="s">
        <v>1226</v>
      </c>
      <c r="B12" s="1595" t="str">
        <f>'预评函-1'!A15</f>
        <v>2018年12月28日（评估专业人员实地查勘之日）</v>
      </c>
    </row>
    <row r="13" spans="1:2" s="1596" customFormat="1">
      <c r="A13" s="1594" t="s">
        <v>1227</v>
      </c>
      <c r="B13" s="1595" t="str">
        <f>'预评函-1'!A18</f>
        <v>本次估价的“房地产价值”是指在正常市场情况下，在价值时点2018年12月28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70238</v>
      </c>
    </row>
    <row r="21" spans="1:2" s="1596" customFormat="1">
      <c r="A21" s="1594" t="s">
        <v>1235</v>
      </c>
      <c r="B21" s="1595">
        <f ca="1">'预评函-2'!D7</f>
        <v>5964</v>
      </c>
    </row>
    <row r="22" spans="1:2" s="1596" customFormat="1">
      <c r="A22" s="1594" t="s">
        <v>1236</v>
      </c>
      <c r="B22" s="1595" t="str">
        <f ca="1">'预评函-2'!D6</f>
        <v>柒亿零贰佰叁拾捌万元整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70238</v>
      </c>
    </row>
    <row r="31" spans="1:2" s="1596" customFormat="1">
      <c r="A31" s="1594" t="s">
        <v>1274</v>
      </c>
      <c r="B31" s="1595">
        <f ca="1">'预评函-2'!D15</f>
        <v>5964</v>
      </c>
    </row>
    <row r="32" spans="1:2" s="1596" customFormat="1">
      <c r="A32" s="1594" t="s">
        <v>1241</v>
      </c>
      <c r="B32" s="1595" t="str">
        <f ca="1">'预评函-2'!D14</f>
        <v>柒亿零贰佰叁拾捌万元整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山东省青岛市城阳街道大北曲后社区青岛北曲后汇豪置业有限公司出让国有建设用地使用权及在建建筑物房地产</v>
      </c>
    </row>
    <row r="42" spans="1:2" s="1596" customFormat="1">
      <c r="A42" s="1594" t="s">
        <v>1288</v>
      </c>
      <c r="B42" s="1595" t="str">
        <f>'预评函-3'!B2</f>
        <v>建筑面积</v>
      </c>
    </row>
    <row r="43" spans="1:2" s="1596" customFormat="1">
      <c r="A43" s="1594" t="s">
        <v>1289</v>
      </c>
      <c r="B43" s="1595">
        <f>'预评函-3'!B4</f>
        <v>117760.1</v>
      </c>
    </row>
    <row r="44" spans="1:2" s="1596" customFormat="1">
      <c r="A44" s="1594" t="s">
        <v>1273</v>
      </c>
      <c r="B44" s="1595" t="str">
        <f>'预评函-3'!C2</f>
        <v>(分摊)土地面积</v>
      </c>
    </row>
    <row r="45" spans="1:2" s="1596" customFormat="1">
      <c r="A45" s="1594" t="s">
        <v>1245</v>
      </c>
      <c r="B45" s="1595">
        <f>'预评函-3'!C4</f>
        <v>31518.76</v>
      </c>
    </row>
    <row r="46" spans="1:2" s="1596" customFormat="1">
      <c r="A46" s="1594" t="s">
        <v>1271</v>
      </c>
      <c r="B46" s="1595" t="str">
        <f>'预评函-3'!D2</f>
        <v>出让国有建设用地使用权价值</v>
      </c>
    </row>
    <row r="47" spans="1:2" s="1596" customFormat="1">
      <c r="A47" s="1594" t="s">
        <v>1246</v>
      </c>
      <c r="B47" s="1595">
        <f ca="1">'预评函-3'!D4</f>
        <v>34698</v>
      </c>
    </row>
    <row r="48" spans="1:2" s="1596" customFormat="1">
      <c r="A48" s="1594" t="s">
        <v>1247</v>
      </c>
      <c r="B48" s="1595">
        <f ca="1">'预评函-3'!E4</f>
        <v>2946</v>
      </c>
    </row>
    <row r="49" spans="1:2" s="1596" customFormat="1">
      <c r="A49" s="1594" t="s">
        <v>1248</v>
      </c>
      <c r="B49" s="1595" t="str">
        <f ca="1">'预评函-3'!D5</f>
        <v>叁亿肆仟陆佰玖拾捌万元整</v>
      </c>
    </row>
    <row r="50" spans="1:2" s="1596" customFormat="1">
      <c r="A50" s="1594" t="s">
        <v>1272</v>
      </c>
      <c r="B50" s="1595" t="str">
        <f>'预评函-3'!F2</f>
        <v>在建建筑物价值</v>
      </c>
    </row>
    <row r="51" spans="1:2" s="1596" customFormat="1">
      <c r="A51" s="1594" t="s">
        <v>1249</v>
      </c>
      <c r="B51" s="1595">
        <f ca="1">'预评函-3'!F4</f>
        <v>35540</v>
      </c>
    </row>
    <row r="52" spans="1:2" s="1596" customFormat="1">
      <c r="A52" s="1594" t="s">
        <v>1250</v>
      </c>
      <c r="B52" s="1595">
        <f ca="1">'预评函-3'!G4</f>
        <v>3018</v>
      </c>
    </row>
    <row r="53" spans="1:2" s="1596" customFormat="1">
      <c r="A53" s="1594" t="s">
        <v>1278</v>
      </c>
      <c r="B53" s="1595" t="str">
        <f ca="1">'预评函-3'!F5</f>
        <v>叁亿伍仟伍佰肆拾万元整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3089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北曲后汇豪置业有限公司拟使用山东省青岛市城阳街道大北曲后社区青岛北曲后汇豪置业有限公司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5" t="s">
        <v>864</v>
      </c>
      <c r="C54" s="2022" t="s">
        <v>1281</v>
      </c>
    </row>
    <row r="55" spans="1:4">
      <c r="A55" s="3014"/>
      <c r="B55" s="2025" t="s">
        <v>865</v>
      </c>
      <c r="C55" s="2022" t="s">
        <v>1282</v>
      </c>
    </row>
    <row r="56" spans="1:4">
      <c r="A56" s="3014"/>
      <c r="B56" s="2025" t="s">
        <v>866</v>
      </c>
      <c r="C56" s="2022" t="s">
        <v>1286</v>
      </c>
    </row>
    <row r="57" spans="1:4">
      <c r="A57" s="301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5" customWidth="1"/>
    <col min="2" max="3" width="11.5" style="2035" customWidth="1"/>
    <col min="4" max="4" width="12.8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23" t="str">
        <f>IF(B10="北京市","北京市",C10)&amp;F10&amp;IF(结果表!G1="在建","出让国有建设用地使用权及在建建筑物",IF(结果表!G1="土地","出让国有建设用地使用权",))&amp;B9&amp;"预评估"</f>
        <v>山东省青岛市城阳街道大北曲后社区青岛北曲后汇豪置业有限公司出让国有建设用地使用权及在建建筑物房地产抵押价值预评估</v>
      </c>
      <c r="C1" s="3024"/>
      <c r="D1" s="3024"/>
      <c r="E1" s="3024"/>
      <c r="F1" s="3024"/>
      <c r="G1" s="3024"/>
      <c r="H1" s="3024"/>
      <c r="I1" s="302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山东省青岛市城阳街道大北曲后社区青岛北曲后汇豪置业有限公司出让国有建设用地使用权及在建建筑物房地产抵押价值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山东省青岛市城阳街道大北曲后社区青岛北曲后汇豪置业有限公司出让国有建设用地使用权及在建建筑物房地产</v>
      </c>
    </row>
    <row r="3" spans="1:19" ht="18" customHeight="1">
      <c r="A3" s="2038" t="s">
        <v>1778</v>
      </c>
      <c r="B3" s="2039">
        <v>43462</v>
      </c>
      <c r="C3" s="2040" t="s">
        <v>1779</v>
      </c>
      <c r="D3" s="2039">
        <f>B3</f>
        <v>43462</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54" t="s">
        <v>3053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7" t="s">
        <v>3060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青岛北曲后汇豪置业有限公司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3054</v>
      </c>
      <c r="C8" s="2057"/>
      <c r="D8" s="3026" t="s">
        <v>1785</v>
      </c>
      <c r="E8" s="2058" t="s">
        <v>3055</v>
      </c>
      <c r="F8" s="2059"/>
      <c r="G8" s="2029"/>
      <c r="H8" s="2029"/>
      <c r="I8" s="2029"/>
      <c r="J8" s="2045"/>
      <c r="K8" s="2046"/>
      <c r="L8" s="2031"/>
      <c r="M8" s="2031"/>
      <c r="N8" s="2032"/>
      <c r="O8" s="2033"/>
      <c r="P8" s="2032"/>
      <c r="Q8" s="2032"/>
      <c r="R8" s="2032"/>
    </row>
    <row r="9" spans="1:19" ht="18" customHeight="1" thickBot="1">
      <c r="A9" s="2043" t="s">
        <v>1786</v>
      </c>
      <c r="B9" s="2060" t="s">
        <v>3055</v>
      </c>
      <c r="C9" s="2061"/>
      <c r="D9" s="3027"/>
      <c r="E9" s="2060" t="s">
        <v>70</v>
      </c>
      <c r="F9" s="2062"/>
      <c r="G9" s="2063"/>
      <c r="H9" s="2063"/>
      <c r="I9" s="2063"/>
      <c r="J9" s="2045"/>
      <c r="K9" s="2055"/>
      <c r="L9" s="2031"/>
      <c r="M9" s="2031"/>
      <c r="N9" s="2032"/>
      <c r="O9" s="2033"/>
      <c r="P9" s="2032"/>
      <c r="Q9" s="2032"/>
      <c r="R9" s="2032"/>
    </row>
    <row r="10" spans="1:19" ht="18" customHeight="1" thickTop="1">
      <c r="A10" s="2064" t="s">
        <v>1787</v>
      </c>
      <c r="B10" s="2065" t="s">
        <v>3056</v>
      </c>
      <c r="C10" s="2956" t="s">
        <v>3058</v>
      </c>
      <c r="D10" s="2049"/>
      <c r="E10" s="2066" t="s">
        <v>1788</v>
      </c>
      <c r="F10" s="2955" t="s">
        <v>3057</v>
      </c>
      <c r="G10" s="2067"/>
      <c r="H10" s="2068"/>
      <c r="I10" s="2049"/>
      <c r="J10" s="2045"/>
      <c r="K10" s="2055"/>
      <c r="L10" s="2031"/>
      <c r="M10" s="2031"/>
      <c r="N10" s="2032"/>
      <c r="O10" s="2033"/>
      <c r="P10" s="2032"/>
      <c r="Q10" s="2032"/>
      <c r="R10" s="2032"/>
    </row>
    <row r="11" spans="1:19" ht="18" customHeight="1">
      <c r="A11" s="2069" t="s">
        <v>1789</v>
      </c>
      <c r="B11" s="2070" t="s">
        <v>3059</v>
      </c>
      <c r="C11" s="2071" t="str">
        <f>B5</f>
        <v>青岛北曲后汇豪置业有限公司</v>
      </c>
      <c r="D11" s="2072"/>
      <c r="E11" s="2045"/>
      <c r="F11" s="2045"/>
      <c r="G11" s="2045"/>
      <c r="H11" s="2045"/>
      <c r="I11" s="2045"/>
      <c r="J11" s="2045"/>
      <c r="K11" s="2055"/>
      <c r="L11" s="2031"/>
      <c r="M11" s="2031"/>
      <c r="N11" s="2032"/>
      <c r="O11" s="2033"/>
      <c r="P11" s="2032"/>
      <c r="Q11" s="2032"/>
      <c r="R11" s="2032"/>
    </row>
    <row r="12" spans="1:19" ht="18" customHeight="1">
      <c r="A12" s="2073" t="s">
        <v>1790</v>
      </c>
      <c r="B12" s="2070" t="s">
        <v>3061</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v>55264</v>
      </c>
      <c r="F13" s="2079"/>
      <c r="G13" s="2079">
        <v>58917</v>
      </c>
      <c r="H13" s="2079"/>
      <c r="I13" s="1050"/>
      <c r="J13" s="2045"/>
      <c r="K13" s="2055"/>
      <c r="L13" s="2031"/>
      <c r="M13" s="2031"/>
      <c r="N13" s="2032"/>
      <c r="O13" s="2033"/>
      <c r="P13" s="2032"/>
      <c r="Q13" s="2032"/>
      <c r="R13" s="2032"/>
    </row>
    <row r="14" spans="1:19" ht="18" customHeight="1">
      <c r="A14" s="2076"/>
      <c r="B14" s="2077"/>
      <c r="C14" s="2078" t="s">
        <v>1799</v>
      </c>
      <c r="D14" s="1053"/>
      <c r="E14" s="1053">
        <v>40</v>
      </c>
      <c r="F14" s="1053"/>
      <c r="G14" s="1053">
        <v>50</v>
      </c>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f>IF(B12="出让",IF(E13="","",ROUNDDOWN(MIN((E13-$D$3)/365,E14),2)),E14)</f>
        <v>32.33</v>
      </c>
      <c r="F15" s="1052" t="str">
        <f>IF(B12="出让",IF(F13="","",ROUNDDOWN(MIN((F13-$D$3)/365,F14),2)),F14)</f>
        <v/>
      </c>
      <c r="G15" s="1052">
        <f>IF(B12="出让",IF(G13="","",ROUNDDOWN(MIN((G13-$D$3)/365,G14),2)),G14)</f>
        <v>42.34</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33"/>
      <c r="C16" s="3034"/>
      <c r="D16" s="3035"/>
      <c r="E16" s="2085" t="s">
        <v>1802</v>
      </c>
      <c r="F16" s="3036"/>
      <c r="G16" s="3037"/>
      <c r="H16" s="3037"/>
      <c r="I16" s="3038"/>
      <c r="J16" s="2032"/>
      <c r="K16" s="2082"/>
      <c r="L16" s="2083"/>
      <c r="M16" s="2083"/>
      <c r="N16" s="2084"/>
      <c r="O16" s="2083"/>
      <c r="P16" s="2084"/>
      <c r="Q16" s="2032"/>
      <c r="R16" s="2032"/>
    </row>
    <row r="17" spans="1:22" ht="18" customHeight="1">
      <c r="A17" s="2086" t="s">
        <v>1803</v>
      </c>
      <c r="B17" s="2038" t="s">
        <v>1804</v>
      </c>
      <c r="C17" s="1057">
        <f>'数据-汇总表'!E3</f>
        <v>117760.1</v>
      </c>
      <c r="D17" s="2087" t="s">
        <v>1805</v>
      </c>
      <c r="E17" s="3039" t="s">
        <v>1806</v>
      </c>
      <c r="F17" s="3040"/>
      <c r="G17" s="3040"/>
      <c r="H17" s="3040"/>
      <c r="I17" s="3041"/>
      <c r="J17" s="2032"/>
      <c r="K17" s="2088"/>
      <c r="L17" s="2083"/>
      <c r="M17" s="2083"/>
      <c r="N17" s="2084"/>
      <c r="O17" s="2083"/>
      <c r="P17" s="2084"/>
      <c r="Q17" s="2032"/>
      <c r="R17" s="2032"/>
      <c r="S17" s="2032"/>
      <c r="T17" s="2032"/>
      <c r="U17" s="2032"/>
      <c r="V17" s="2032"/>
    </row>
    <row r="18" spans="1:22" ht="36" customHeight="1" thickBot="1">
      <c r="A18" s="2089" t="s">
        <v>1807</v>
      </c>
      <c r="B18" s="2041" t="s">
        <v>1808</v>
      </c>
      <c r="C18" s="1447">
        <f>'数据-汇总表'!D3</f>
        <v>31518.76</v>
      </c>
      <c r="D18" s="2090" t="s">
        <v>1805</v>
      </c>
      <c r="E18" s="3042" t="s">
        <v>1809</v>
      </c>
      <c r="F18" s="3043"/>
      <c r="G18" s="3043"/>
      <c r="H18" s="3043"/>
      <c r="I18" s="3044"/>
      <c r="J18" s="2032"/>
      <c r="K18" s="2088"/>
      <c r="L18" s="2083"/>
      <c r="M18" s="2083"/>
      <c r="N18" s="2084"/>
      <c r="O18" s="2083"/>
      <c r="P18" s="2084"/>
      <c r="Q18" s="2032"/>
      <c r="R18" s="2032"/>
      <c r="S18" s="2032"/>
      <c r="T18" s="2032"/>
      <c r="U18" s="2032"/>
      <c r="V18" s="2032"/>
    </row>
    <row r="19" spans="1:22" ht="37.5" customHeight="1" thickTop="1" thickBot="1">
      <c r="A19" s="373" t="s">
        <v>1810</v>
      </c>
      <c r="B19" s="352" t="s">
        <v>1811</v>
      </c>
      <c r="C19" s="2091"/>
      <c r="D19" s="2092" t="s">
        <v>1812</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1813</v>
      </c>
      <c r="B20" s="3029" t="s">
        <v>1814</v>
      </c>
      <c r="C20" s="3030"/>
      <c r="D20" s="3031" t="s">
        <v>1815</v>
      </c>
      <c r="E20" s="3032"/>
      <c r="F20" s="2097" t="s">
        <v>1816</v>
      </c>
      <c r="G20" s="2045"/>
      <c r="H20" s="2045"/>
      <c r="I20" s="2045"/>
      <c r="J20" s="2045"/>
      <c r="K20" s="302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1819</v>
      </c>
      <c r="D21" s="2100" t="s">
        <v>1820</v>
      </c>
      <c r="E21" s="2101" t="s">
        <v>1819</v>
      </c>
      <c r="F21" s="2102"/>
      <c r="G21" s="2045"/>
      <c r="H21" s="2045"/>
      <c r="I21" s="2045"/>
      <c r="J21" s="2045"/>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1821</v>
      </c>
      <c r="C22" s="2099" t="s">
        <v>1822</v>
      </c>
      <c r="D22" s="2029"/>
      <c r="E22" s="2029"/>
      <c r="F22" s="2104"/>
      <c r="G22" s="2045"/>
      <c r="H22" s="2045"/>
      <c r="I22" s="2045"/>
      <c r="J22" s="2045"/>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1823</v>
      </c>
      <c r="B23" s="183" t="s">
        <v>1824</v>
      </c>
      <c r="C23" s="2106"/>
      <c r="D23" s="2107" t="s">
        <v>1824</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1825</v>
      </c>
      <c r="C24" s="2111"/>
      <c r="D24" s="2105" t="s">
        <v>1825</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1826</v>
      </c>
      <c r="C25" s="2111"/>
      <c r="D25" s="2105" t="s">
        <v>1826</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1827</v>
      </c>
      <c r="C26" s="2115"/>
      <c r="D26" s="2116" t="s">
        <v>1828</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16" t="s">
        <v>1829</v>
      </c>
      <c r="B27" s="2064" t="s">
        <v>1830</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6"/>
      <c r="B28" s="2038" t="s">
        <v>1831</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6"/>
      <c r="B29" s="2038" t="s">
        <v>1832</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7"/>
      <c r="B30" s="2038" t="s">
        <v>1833</v>
      </c>
      <c r="C30" s="3018"/>
      <c r="D30" s="301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0" t="s">
        <v>1834</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21"/>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21"/>
      <c r="B33" s="2130"/>
      <c r="C33" s="2069"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1835</v>
      </c>
      <c r="B34" s="2133" t="s">
        <v>3062</v>
      </c>
      <c r="C34" s="2133" t="s">
        <v>3063</v>
      </c>
      <c r="D34" s="2133" t="s">
        <v>3064</v>
      </c>
      <c r="E34" s="2133" t="s">
        <v>3065</v>
      </c>
      <c r="F34" s="2133" t="s">
        <v>3066</v>
      </c>
      <c r="G34" s="2133" t="s">
        <v>3067</v>
      </c>
      <c r="H34" s="2133" t="s">
        <v>70</v>
      </c>
      <c r="I34" s="2045"/>
      <c r="J34" s="2045"/>
      <c r="K34" s="1798">
        <f>COUNTIF(B34:H34,"——")</f>
        <v>1</v>
      </c>
      <c r="L34" s="2074" t="s">
        <v>1836</v>
      </c>
      <c r="M34" s="2074" t="s">
        <v>1837</v>
      </c>
      <c r="N34" s="2074" t="s">
        <v>1838</v>
      </c>
      <c r="O34" s="2074" t="s">
        <v>1839</v>
      </c>
      <c r="P34" s="2074" t="s">
        <v>1840</v>
      </c>
      <c r="Q34" s="2074" t="s">
        <v>1841</v>
      </c>
      <c r="R34" s="2074" t="s">
        <v>1842</v>
      </c>
      <c r="S34" s="3015" t="s">
        <v>1843</v>
      </c>
      <c r="T34" s="2134" t="str">
        <f>NUMBERSTRING(7-K34,1)&amp;"通"</f>
        <v>六通</v>
      </c>
      <c r="U34" s="2032"/>
      <c r="V34" s="2032"/>
    </row>
    <row r="35" spans="1:22" ht="18" customHeight="1">
      <c r="A35" s="2135"/>
      <c r="B35" s="3022" t="s">
        <v>1844</v>
      </c>
      <c r="C35" s="3022"/>
      <c r="D35" s="3022"/>
      <c r="E35" s="3022"/>
      <c r="F35" s="2136" t="str">
        <f>C10</f>
        <v>山东省</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5"/>
      <c r="T35" s="48" t="str">
        <f>IF(T34="一通",L35,IF(T34="二通",M35,IF(T34="三通",N35,IF(T34="四通",O35,IF(T34="五通",P35,IF(T34="六通",Q35,R35))))))</f>
        <v>通路、通电、通讯、通上水、通下水、燃气</v>
      </c>
      <c r="U35" s="2032"/>
      <c r="V35" s="2032"/>
    </row>
    <row r="36" spans="1:22" ht="18" customHeight="1">
      <c r="A36" s="2137"/>
      <c r="B36" s="2136" t="s">
        <v>1845</v>
      </c>
      <c r="C36" s="2136" t="s">
        <v>1846</v>
      </c>
      <c r="D36" s="2136" t="s">
        <v>1847</v>
      </c>
      <c r="E36" s="2136" t="s">
        <v>1848</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1849</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1850</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1852</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1853</v>
      </c>
      <c r="B42" s="1798" t="s">
        <v>1854</v>
      </c>
      <c r="C42" s="1798" t="s">
        <v>1855</v>
      </c>
      <c r="D42" s="1798" t="s">
        <v>1856</v>
      </c>
      <c r="E42" s="1798" t="s">
        <v>1857</v>
      </c>
      <c r="F42" s="1798" t="s">
        <v>1858</v>
      </c>
      <c r="G42" s="1798" t="s">
        <v>1859</v>
      </c>
      <c r="H42" s="1798" t="s">
        <v>1860</v>
      </c>
      <c r="I42" s="1798" t="s">
        <v>1861</v>
      </c>
      <c r="J42" s="2152" t="s">
        <v>1862</v>
      </c>
      <c r="K42" s="2075" t="s">
        <v>1863</v>
      </c>
      <c r="L42" s="2075" t="s">
        <v>1864</v>
      </c>
      <c r="M42" s="2075" t="s">
        <v>1865</v>
      </c>
      <c r="N42" s="1798" t="s">
        <v>1866</v>
      </c>
      <c r="O42" s="1798" t="s">
        <v>1867</v>
      </c>
      <c r="P42" s="1798" t="s">
        <v>1868</v>
      </c>
      <c r="Q42" s="2074" t="s">
        <v>1869</v>
      </c>
      <c r="R42" s="2074" t="s">
        <v>1870</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1876</v>
      </c>
      <c r="AZ2" s="1273"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31518.76</v>
      </c>
      <c r="B3" s="14">
        <f>IF(C3="否",G5-AT5,G5)</f>
        <v>117760.1</v>
      </c>
      <c r="C3" s="2168" t="s">
        <v>3069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6"/>
      <c r="C5" s="1806"/>
      <c r="D5" s="1809"/>
      <c r="E5" s="16" t="s">
        <v>1</v>
      </c>
      <c r="F5" s="16">
        <f>SUM(F13:F587)</f>
        <v>0</v>
      </c>
      <c r="G5" s="16">
        <f>SUM(G13:G587)</f>
        <v>117760.1</v>
      </c>
      <c r="H5" s="16">
        <f t="shared" ref="H5:AT5" si="0">SUM(H13:H656)</f>
        <v>115824.68000000001</v>
      </c>
      <c r="I5" s="16">
        <f t="shared" si="0"/>
        <v>77782.010000000009</v>
      </c>
      <c r="J5" s="16">
        <f t="shared" si="0"/>
        <v>0</v>
      </c>
      <c r="K5" s="16">
        <f t="shared" si="0"/>
        <v>9000</v>
      </c>
      <c r="L5" s="16">
        <f t="shared" si="0"/>
        <v>0</v>
      </c>
      <c r="M5" s="16">
        <f t="shared" si="0"/>
        <v>29042.670000000002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1935.42</v>
      </c>
      <c r="AD5" s="16">
        <f t="shared" si="0"/>
        <v>0</v>
      </c>
      <c r="AE5" s="16">
        <f t="shared" si="0"/>
        <v>0</v>
      </c>
      <c r="AF5" s="16">
        <f t="shared" si="0"/>
        <v>0</v>
      </c>
      <c r="AG5" s="16">
        <f t="shared" si="0"/>
        <v>0</v>
      </c>
      <c r="AH5" s="16">
        <f t="shared" si="0"/>
        <v>0</v>
      </c>
      <c r="AI5" s="16">
        <f t="shared" si="0"/>
        <v>0</v>
      </c>
      <c r="AJ5" s="16">
        <f t="shared" si="0"/>
        <v>0</v>
      </c>
      <c r="AK5" s="16">
        <f t="shared" si="0"/>
        <v>0</v>
      </c>
      <c r="AL5" s="16">
        <f t="shared" si="0"/>
        <v>545.29</v>
      </c>
      <c r="AM5" s="16">
        <f t="shared" si="0"/>
        <v>0</v>
      </c>
      <c r="AN5" s="16">
        <f t="shared" si="0"/>
        <v>1390.13</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117760.1</v>
      </c>
      <c r="BA5" s="18">
        <f t="shared" si="1"/>
        <v>115824.68000000001</v>
      </c>
      <c r="BB5" s="18">
        <f t="shared" si="1"/>
        <v>77782.010000000009</v>
      </c>
      <c r="BC5" s="18">
        <f t="shared" si="1"/>
        <v>9000</v>
      </c>
      <c r="BD5" s="18">
        <f t="shared" si="1"/>
        <v>29042.670000000002</v>
      </c>
      <c r="BE5" s="18">
        <f t="shared" si="1"/>
        <v>0</v>
      </c>
      <c r="BF5" s="18">
        <f t="shared" si="1"/>
        <v>0</v>
      </c>
      <c r="BG5" s="18">
        <f t="shared" si="1"/>
        <v>0</v>
      </c>
      <c r="BH5" s="18">
        <f t="shared" si="1"/>
        <v>0</v>
      </c>
      <c r="BI5" s="18">
        <f t="shared" si="1"/>
        <v>0</v>
      </c>
      <c r="BJ5" s="18">
        <f t="shared" si="1"/>
        <v>0</v>
      </c>
      <c r="BK5" s="18">
        <f t="shared" si="1"/>
        <v>0</v>
      </c>
      <c r="BL5" s="18">
        <f t="shared" si="1"/>
        <v>1935.42</v>
      </c>
      <c r="BM5" s="18">
        <f t="shared" si="1"/>
        <v>0</v>
      </c>
      <c r="BN5" s="18">
        <f t="shared" si="1"/>
        <v>0</v>
      </c>
      <c r="BO5" s="18">
        <f t="shared" si="1"/>
        <v>0</v>
      </c>
      <c r="BP5" s="18">
        <f t="shared" si="1"/>
        <v>0</v>
      </c>
      <c r="BQ5" s="18">
        <f t="shared" si="1"/>
        <v>545.29</v>
      </c>
      <c r="BR5" s="18">
        <f t="shared" si="1"/>
        <v>1390.13</v>
      </c>
      <c r="BS5" s="18">
        <f t="shared" si="1"/>
        <v>0</v>
      </c>
      <c r="BT5" s="19">
        <f t="shared" si="1"/>
        <v>0</v>
      </c>
    </row>
    <row r="6" spans="1:72" s="2177" customFormat="1" ht="12.75">
      <c r="A6" s="15" t="s">
        <v>1880</v>
      </c>
      <c r="B6" s="2174"/>
      <c r="C6" s="2174"/>
      <c r="D6" s="2175"/>
      <c r="E6" s="16">
        <f>H6+AC6+AT6</f>
        <v>31518.76</v>
      </c>
      <c r="F6" s="16" t="s">
        <v>1</v>
      </c>
      <c r="G6" s="16" t="s">
        <v>2</v>
      </c>
      <c r="H6" s="20">
        <f>SUMIF(I$12:AB$12,"总值",I6:AB6)</f>
        <v>31000.739999999998</v>
      </c>
      <c r="I6" s="16">
        <f t="shared" ref="I6:AB6" si="2">ROUND($A$3*I5/$B$3,2)</f>
        <v>20818.53</v>
      </c>
      <c r="J6" s="16">
        <f t="shared" si="2"/>
        <v>0</v>
      </c>
      <c r="K6" s="16">
        <f t="shared" si="2"/>
        <v>2408.87</v>
      </c>
      <c r="L6" s="16">
        <f t="shared" si="2"/>
        <v>0</v>
      </c>
      <c r="M6" s="16">
        <f t="shared" si="2"/>
        <v>7773.34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518.02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145.94999999999999</v>
      </c>
      <c r="AM6" s="16">
        <f t="shared" si="3"/>
        <v>0</v>
      </c>
      <c r="AN6" s="16">
        <f t="shared" si="3"/>
        <v>372.07</v>
      </c>
      <c r="AO6" s="16">
        <f t="shared" si="3"/>
        <v>0</v>
      </c>
      <c r="AP6" s="16">
        <f t="shared" si="3"/>
        <v>0</v>
      </c>
      <c r="AQ6" s="16">
        <f t="shared" si="3"/>
        <v>0</v>
      </c>
      <c r="AR6" s="16">
        <f t="shared" si="3"/>
        <v>0</v>
      </c>
      <c r="AS6" s="16">
        <f t="shared" si="3"/>
        <v>0</v>
      </c>
      <c r="AT6" s="20">
        <f>IF(C3="是",ROUND($A$3*AT5/$B$3,2),0)</f>
        <v>0</v>
      </c>
      <c r="AU6" s="2176"/>
      <c r="AV6" s="15" t="s">
        <v>1880</v>
      </c>
      <c r="AW6" s="2174"/>
      <c r="AX6" s="2174"/>
      <c r="AY6" s="21">
        <f>IF(AY3&gt;0,AY3,ROUND($A$3*AZ5/$B$3,2))</f>
        <v>31518.76</v>
      </c>
      <c r="AZ6" s="16" t="s">
        <v>3</v>
      </c>
      <c r="BA6" s="16">
        <f>ROUND($AY$6*BA5/$AZ$5,2)</f>
        <v>31000.74</v>
      </c>
      <c r="BB6" s="16">
        <f>ROUND($AY$6*BB5/$AZ$5,2)</f>
        <v>20818.53</v>
      </c>
      <c r="BC6" s="16">
        <f t="shared" ref="BC6:BH6" si="4">ROUND($AY$6*BC5/$AZ$5,2)</f>
        <v>2408.87</v>
      </c>
      <c r="BD6" s="16">
        <f t="shared" si="4"/>
        <v>7773.34</v>
      </c>
      <c r="BE6" s="16">
        <f t="shared" si="4"/>
        <v>0</v>
      </c>
      <c r="BF6" s="16">
        <f t="shared" si="4"/>
        <v>0</v>
      </c>
      <c r="BG6" s="16">
        <f t="shared" si="4"/>
        <v>0</v>
      </c>
      <c r="BH6" s="16">
        <f t="shared" si="4"/>
        <v>0</v>
      </c>
      <c r="BI6" s="16">
        <f t="shared" ref="BI6:BT6" si="5">ROUND($AY$6*BI5/$AZ$5,2)</f>
        <v>0</v>
      </c>
      <c r="BJ6" s="16">
        <f t="shared" si="5"/>
        <v>0</v>
      </c>
      <c r="BK6" s="16">
        <f t="shared" si="5"/>
        <v>0</v>
      </c>
      <c r="BL6" s="16">
        <f t="shared" si="5"/>
        <v>518.02</v>
      </c>
      <c r="BM6" s="16">
        <f t="shared" si="5"/>
        <v>0</v>
      </c>
      <c r="BN6" s="16">
        <f t="shared" si="5"/>
        <v>0</v>
      </c>
      <c r="BO6" s="16">
        <f t="shared" si="5"/>
        <v>0</v>
      </c>
      <c r="BP6" s="16">
        <f t="shared" si="5"/>
        <v>0</v>
      </c>
      <c r="BQ6" s="16">
        <f t="shared" si="5"/>
        <v>145.94999999999999</v>
      </c>
      <c r="BR6" s="16">
        <f t="shared" si="5"/>
        <v>372.07</v>
      </c>
      <c r="BS6" s="16">
        <f t="shared" si="5"/>
        <v>0</v>
      </c>
      <c r="BT6" s="22">
        <f t="shared" si="5"/>
        <v>0</v>
      </c>
    </row>
    <row r="7" spans="1:72" s="2167" customFormat="1" ht="24.75">
      <c r="A7" s="2109" t="s">
        <v>1881</v>
      </c>
      <c r="B7" s="2109" t="s">
        <v>1882</v>
      </c>
      <c r="C7" s="2109" t="s">
        <v>1883</v>
      </c>
      <c r="D7" s="2109" t="s">
        <v>1884</v>
      </c>
      <c r="E7" s="2109" t="s">
        <v>1885</v>
      </c>
      <c r="F7" s="2109" t="s">
        <v>1886</v>
      </c>
      <c r="G7" s="2178" t="s">
        <v>1887</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1888</v>
      </c>
      <c r="AV7" s="23" t="s">
        <v>1889</v>
      </c>
      <c r="AW7" s="2166" t="s">
        <v>1890</v>
      </c>
      <c r="AX7" s="23" t="s">
        <v>1883</v>
      </c>
      <c r="AY7" s="1806" t="s">
        <v>1891</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1892</v>
      </c>
      <c r="H8" s="2184" t="s">
        <v>1893</v>
      </c>
      <c r="I8" s="2185"/>
      <c r="J8" s="1821"/>
      <c r="K8" s="1821"/>
      <c r="L8" s="1821"/>
      <c r="M8" s="1821"/>
      <c r="N8" s="1821"/>
      <c r="O8" s="1821"/>
      <c r="P8" s="1821"/>
      <c r="Q8" s="1821"/>
      <c r="R8" s="1821"/>
      <c r="S8" s="1821"/>
      <c r="T8" s="1821"/>
      <c r="U8" s="1821"/>
      <c r="V8" s="2186"/>
      <c r="W8" s="1821"/>
      <c r="X8" s="1821"/>
      <c r="Y8" s="1821"/>
      <c r="Z8" s="1821"/>
      <c r="AA8" s="2186"/>
      <c r="AB8" s="2187"/>
      <c r="AC8" s="984" t="s">
        <v>1894</v>
      </c>
      <c r="AD8" s="2188"/>
      <c r="AE8" s="2180"/>
      <c r="AF8" s="1821"/>
      <c r="AG8" s="1821"/>
      <c r="AH8" s="1821"/>
      <c r="AI8" s="1821"/>
      <c r="AJ8" s="1821"/>
      <c r="AK8" s="1821"/>
      <c r="AL8" s="1821"/>
      <c r="AM8" s="1821"/>
      <c r="AN8" s="1821"/>
      <c r="AO8" s="1821"/>
      <c r="AP8" s="1821"/>
      <c r="AQ8" s="1821"/>
      <c r="AR8" s="1821"/>
      <c r="AS8" s="1821"/>
      <c r="AT8" s="1295" t="s">
        <v>1895</v>
      </c>
      <c r="AU8" s="2182" t="s">
        <v>1896</v>
      </c>
      <c r="AV8" s="1295"/>
      <c r="AW8" s="2165"/>
      <c r="AX8" s="1295"/>
      <c r="AY8" s="2166"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1899</v>
      </c>
      <c r="I9" s="2191" t="s">
        <v>3070</v>
      </c>
      <c r="J9" s="984"/>
      <c r="K9" s="2191" t="s">
        <v>3071</v>
      </c>
      <c r="L9" s="984"/>
      <c r="M9" s="2191" t="s">
        <v>3071</v>
      </c>
      <c r="N9" s="984"/>
      <c r="O9" s="2191"/>
      <c r="P9" s="984"/>
      <c r="Q9" s="2191"/>
      <c r="R9" s="984"/>
      <c r="S9" s="2191"/>
      <c r="T9" s="984"/>
      <c r="U9" s="2191"/>
      <c r="V9" s="984"/>
      <c r="W9" s="2191"/>
      <c r="X9" s="2192"/>
      <c r="Y9" s="2191"/>
      <c r="Z9" s="984"/>
      <c r="AA9" s="2191"/>
      <c r="AB9" s="984"/>
      <c r="AC9" s="2183"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3"/>
      <c r="AT9" s="2182"/>
      <c r="AU9" s="2182" t="s">
        <v>1902</v>
      </c>
      <c r="AV9" s="1295"/>
      <c r="AW9" s="2165"/>
      <c r="AX9" s="1295"/>
      <c r="AY9" s="28"/>
      <c r="AZ9" s="28" t="s">
        <v>1892</v>
      </c>
      <c r="BA9" s="2194" t="s">
        <v>1903</v>
      </c>
      <c r="BB9" s="2195"/>
      <c r="BC9" s="1341"/>
      <c r="BD9" s="1341"/>
      <c r="BE9" s="1341"/>
      <c r="BF9" s="1341"/>
      <c r="BG9" s="1341"/>
      <c r="BH9" s="1341"/>
      <c r="BI9" s="1341"/>
      <c r="BJ9" s="1341"/>
      <c r="BK9" s="2196"/>
      <c r="BL9" s="15" t="s">
        <v>1904</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t="s">
        <v>1377</v>
      </c>
      <c r="L10" s="984"/>
      <c r="M10" s="2197" t="s">
        <v>3072</v>
      </c>
      <c r="N10" s="984"/>
      <c r="O10" s="2197"/>
      <c r="P10" s="984"/>
      <c r="Q10" s="2197"/>
      <c r="R10" s="984"/>
      <c r="S10" s="2197"/>
      <c r="T10" s="984"/>
      <c r="U10" s="2197"/>
      <c r="V10" s="984"/>
      <c r="W10" s="2197"/>
      <c r="X10" s="984"/>
      <c r="Y10" s="2197"/>
      <c r="Z10" s="984"/>
      <c r="AA10" s="2197"/>
      <c r="AB10" s="984"/>
      <c r="AC10" s="1295"/>
      <c r="AD10" s="15" t="s">
        <v>1905</v>
      </c>
      <c r="AE10" s="2198"/>
      <c r="AF10" s="15" t="s">
        <v>1905</v>
      </c>
      <c r="AG10" s="2198"/>
      <c r="AH10" s="15" t="s">
        <v>1906</v>
      </c>
      <c r="AI10" s="2198"/>
      <c r="AJ10" s="15" t="s">
        <v>1906</v>
      </c>
      <c r="AK10" s="2198"/>
      <c r="AL10" s="15" t="s">
        <v>1907</v>
      </c>
      <c r="AM10" s="1301"/>
      <c r="AN10" s="15" t="s">
        <v>1907</v>
      </c>
      <c r="AO10" s="1301"/>
      <c r="AP10" s="15" t="s">
        <v>1908</v>
      </c>
      <c r="AQ10" s="1301"/>
      <c r="AR10" s="15" t="s">
        <v>1908</v>
      </c>
      <c r="AS10" s="1301"/>
      <c r="AT10" s="2182"/>
      <c r="AU10" s="2182"/>
      <c r="AV10" s="1295"/>
      <c r="AW10" s="2165"/>
      <c r="AX10" s="1295"/>
      <c r="AY10" s="28"/>
      <c r="AZ10" s="28"/>
      <c r="BA10" s="2199" t="s">
        <v>1899</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1909</v>
      </c>
      <c r="AE11" s="1822"/>
      <c r="AF11" s="2204" t="s">
        <v>1909</v>
      </c>
      <c r="AG11" s="1822"/>
      <c r="AH11" s="2204" t="s">
        <v>1910</v>
      </c>
      <c r="AI11" s="2205"/>
      <c r="AJ11" s="2204" t="s">
        <v>1910</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t="str">
        <f>M10</f>
        <v>车库</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09"/>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7" t="s">
        <v>1912</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2958" t="s">
        <v>3068</v>
      </c>
      <c r="D13" s="2213" t="s">
        <v>3069</v>
      </c>
      <c r="E13" s="16">
        <f>IF($C$3="是",ROUND($A$3*G13/$B$3,2),ROUND($A$3*(G13-AT13)/$B$3,2))</f>
        <v>31518.76</v>
      </c>
      <c r="F13" s="32"/>
      <c r="G13" s="33">
        <f>H13+AC13+AT13</f>
        <v>117760.1</v>
      </c>
      <c r="H13" s="20">
        <f>SUMIF(I$12:AB$12,"总值",I13:AB13)</f>
        <v>115824.68000000001</v>
      </c>
      <c r="I13" s="2214">
        <f>78327.3-AL13</f>
        <v>77782.010000000009</v>
      </c>
      <c r="J13" s="2214"/>
      <c r="K13" s="2214">
        <v>9000</v>
      </c>
      <c r="L13" s="2214"/>
      <c r="M13" s="2214">
        <f>39432.8-K13-AN13</f>
        <v>29042.670000000002</v>
      </c>
      <c r="N13" s="2214"/>
      <c r="O13" s="2214"/>
      <c r="P13" s="2214"/>
      <c r="Q13" s="2214"/>
      <c r="R13" s="2214"/>
      <c r="S13" s="2214"/>
      <c r="T13" s="2214"/>
      <c r="U13" s="2214"/>
      <c r="V13" s="2214"/>
      <c r="W13" s="2214"/>
      <c r="X13" s="2214"/>
      <c r="Y13" s="2214"/>
      <c r="Z13" s="2214"/>
      <c r="AA13" s="2214"/>
      <c r="AB13" s="2214"/>
      <c r="AC13" s="16">
        <f>SUMIF(AD$12:AS$12,"总值",AD13:AS13)</f>
        <v>1935.42</v>
      </c>
      <c r="AD13" s="2215"/>
      <c r="AE13" s="2215"/>
      <c r="AF13" s="2215"/>
      <c r="AG13" s="2215"/>
      <c r="AH13" s="2215"/>
      <c r="AI13" s="2215"/>
      <c r="AJ13" s="2215"/>
      <c r="AK13" s="2215"/>
      <c r="AL13" s="2215">
        <f>366.79+178.5</f>
        <v>545.29</v>
      </c>
      <c r="AM13" s="2215"/>
      <c r="AN13" s="2215">
        <f>798.84+231.61+359.68</f>
        <v>1390.13</v>
      </c>
      <c r="AO13" s="2215"/>
      <c r="AP13" s="2215"/>
      <c r="AQ13" s="2215"/>
      <c r="AR13" s="2215"/>
      <c r="AS13" s="2215"/>
      <c r="AT13" s="2216"/>
      <c r="AU13" s="2217"/>
      <c r="AV13" s="11">
        <f t="shared" ref="AV13:AX17" si="6">A13</f>
        <v>0</v>
      </c>
      <c r="AW13" s="11">
        <f t="shared" si="6"/>
        <v>0</v>
      </c>
      <c r="AX13" s="11" t="str">
        <f t="shared" si="6"/>
        <v>商业</v>
      </c>
      <c r="AY13" s="1809">
        <f>ROUND($AY$6*AZ13/$AZ$5,2)</f>
        <v>31518.76</v>
      </c>
      <c r="AZ13" s="16">
        <f>BA13+BL13</f>
        <v>117760.1</v>
      </c>
      <c r="BA13" s="16">
        <f>SUM(BB13:BK13)</f>
        <v>115824.68000000001</v>
      </c>
      <c r="BB13" s="16">
        <f>IF($D13="是",I13-J13,0)</f>
        <v>77782.010000000009</v>
      </c>
      <c r="BC13" s="16">
        <f>IF($D13="是",K13-L13,0)</f>
        <v>9000</v>
      </c>
      <c r="BD13" s="16">
        <f>IF($D13="是",M13-N13,0)</f>
        <v>29042.670000000002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1935.42</v>
      </c>
      <c r="BM13" s="16">
        <f>IF($D13="是",AD13-AE13,0)</f>
        <v>0</v>
      </c>
      <c r="BN13" s="16">
        <f>IF($D13="是",AF13-AG13,0)</f>
        <v>0</v>
      </c>
      <c r="BO13" s="16">
        <f>IF($D13="是",AH13-AI13,0)</f>
        <v>0</v>
      </c>
      <c r="BP13" s="16">
        <f>IF($D13="是",AJ13-AK13,0)</f>
        <v>0</v>
      </c>
      <c r="BQ13" s="16">
        <f>IF($D13="是",AL13-AM13,0)</f>
        <v>545.29</v>
      </c>
      <c r="BR13" s="16">
        <f>IF($D13="是",AN13-AO13,0)</f>
        <v>1390.13</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1938</v>
      </c>
      <c r="B1" s="1395"/>
      <c r="C1" s="1395"/>
      <c r="D1" s="1395"/>
      <c r="E1" s="1395"/>
      <c r="F1" s="1395"/>
      <c r="G1" s="1395"/>
      <c r="H1" s="1395"/>
      <c r="I1" s="1395"/>
      <c r="J1" s="1395"/>
      <c r="K1" s="1395"/>
      <c r="L1" s="1395"/>
      <c r="M1" s="1395"/>
      <c r="N1" s="1395"/>
      <c r="O1" s="1395"/>
      <c r="P1" s="1395"/>
    </row>
    <row r="2" spans="1:16" ht="15">
      <c r="A2" s="3056" t="s">
        <v>1939</v>
      </c>
      <c r="B2" s="3056"/>
      <c r="C2" s="3056"/>
      <c r="D2" s="970" t="s">
        <v>1915</v>
      </c>
      <c r="E2" s="2227" t="s">
        <v>1916</v>
      </c>
      <c r="F2" s="1395"/>
      <c r="G2" s="2228"/>
      <c r="H2" s="2229"/>
      <c r="I2" s="2230" t="s">
        <v>1940</v>
      </c>
      <c r="J2" s="1395"/>
      <c r="K2" s="1395"/>
      <c r="L2" s="1395"/>
      <c r="M2" s="1395"/>
      <c r="N2" s="1430"/>
      <c r="O2" s="1395"/>
      <c r="P2" s="1395"/>
    </row>
    <row r="3" spans="1:16" ht="15.75" thickBot="1">
      <c r="A3" s="3057" t="s">
        <v>1913</v>
      </c>
      <c r="B3" s="3057"/>
      <c r="C3" s="3057"/>
      <c r="D3" s="46">
        <f>'数据-基础表'!AY6</f>
        <v>31518.76</v>
      </c>
      <c r="E3" s="46">
        <f>'数据-基础表'!AZ5</f>
        <v>117760.1</v>
      </c>
      <c r="F3" s="1395"/>
      <c r="G3" s="1402"/>
      <c r="H3" s="1250" t="s">
        <v>1914</v>
      </c>
      <c r="I3" s="55">
        <f>ROUND('数据-基础表'!B3/'数据-基础表'!A3,2)</f>
        <v>3.74</v>
      </c>
      <c r="J3" s="1395"/>
      <c r="K3" s="1395"/>
      <c r="L3" s="1395"/>
      <c r="M3" s="1395"/>
      <c r="N3" s="1430"/>
      <c r="O3" s="1395"/>
      <c r="P3" s="1395"/>
    </row>
    <row r="4" spans="1:16" ht="15">
      <c r="A4" s="3058"/>
      <c r="B4" s="3059"/>
      <c r="C4" s="3060"/>
      <c r="D4" s="2231" t="s">
        <v>1915</v>
      </c>
      <c r="E4" s="2232" t="s">
        <v>1916</v>
      </c>
      <c r="F4" s="1395"/>
      <c r="G4" s="2233" t="s">
        <v>1941</v>
      </c>
      <c r="H4" s="1250" t="s">
        <v>1921</v>
      </c>
      <c r="I4" s="55">
        <f>ROUND(SUMIF('数据-基础表'!I9:AS9,"地上",'数据-基础表'!I5:AS5)/'数据-基础表'!A3,2)</f>
        <v>2.4900000000000002</v>
      </c>
      <c r="J4" s="1395"/>
      <c r="K4" s="1395"/>
      <c r="L4" s="1395"/>
      <c r="M4" s="1395"/>
      <c r="N4" s="1430"/>
      <c r="O4" s="1395"/>
      <c r="P4" s="1395"/>
    </row>
    <row r="5" spans="1:16">
      <c r="A5" s="47" t="s">
        <v>1917</v>
      </c>
      <c r="B5" s="3061" t="s">
        <v>1918</v>
      </c>
      <c r="C5" s="3061"/>
      <c r="D5" s="48">
        <f>ROUND($D$3*E5/$E$3,2)</f>
        <v>0</v>
      </c>
      <c r="E5" s="49">
        <f>SUMIF('数据-基础表'!$11:$11,"住宅",'数据-基础表'!$5:$5)</f>
        <v>0</v>
      </c>
      <c r="F5" s="1395"/>
      <c r="G5" s="1402"/>
      <c r="H5" s="1250" t="s">
        <v>1914</v>
      </c>
      <c r="I5" s="55">
        <f>ROUND(E31/D31,2)</f>
        <v>3.74</v>
      </c>
      <c r="J5" s="1395"/>
      <c r="K5" s="1395"/>
      <c r="L5" s="1395"/>
      <c r="M5" s="1395"/>
      <c r="N5" s="1395"/>
      <c r="O5" s="1395"/>
      <c r="P5" s="1395"/>
    </row>
    <row r="6" spans="1:16" ht="15" thickBot="1">
      <c r="A6" s="2234"/>
      <c r="B6" s="3061" t="s">
        <v>1919</v>
      </c>
      <c r="C6" s="3061"/>
      <c r="D6" s="48">
        <f>ROUND($D$3*E6/$E$3,2)</f>
        <v>31518.76</v>
      </c>
      <c r="E6" s="49">
        <f>E3-E5</f>
        <v>117760.1</v>
      </c>
      <c r="F6" s="1395"/>
      <c r="G6" s="2235" t="s">
        <v>1920</v>
      </c>
      <c r="H6" s="1402" t="s">
        <v>1921</v>
      </c>
      <c r="I6" s="942">
        <f>ROUND(F31/D31,2)</f>
        <v>2.4900000000000002</v>
      </c>
      <c r="J6" s="1395"/>
      <c r="K6" s="1395"/>
      <c r="L6" s="1395"/>
      <c r="M6" s="1395"/>
      <c r="N6" s="1395"/>
      <c r="O6" s="1395"/>
      <c r="P6" s="1395"/>
    </row>
    <row r="7" spans="1:16" ht="15">
      <c r="A7" s="3053"/>
      <c r="B7" s="3054"/>
      <c r="C7" s="3055"/>
      <c r="D7" s="2231" t="s">
        <v>1915</v>
      </c>
      <c r="E7" s="2236" t="s">
        <v>1922</v>
      </c>
      <c r="F7" s="1395"/>
      <c r="G7" s="2228" t="s">
        <v>1923</v>
      </c>
      <c r="H7" s="64"/>
      <c r="I7" s="420"/>
      <c r="J7" s="1395"/>
      <c r="K7" s="1395"/>
      <c r="L7" s="1395"/>
      <c r="M7" s="1395"/>
      <c r="N7" s="1395"/>
      <c r="O7" s="1395"/>
      <c r="P7" s="1395"/>
    </row>
    <row r="8" spans="1:16">
      <c r="A8" s="47" t="s">
        <v>1924</v>
      </c>
      <c r="B8" s="50" t="s">
        <v>1925</v>
      </c>
      <c r="C8" s="48" t="s">
        <v>1926</v>
      </c>
      <c r="D8" s="48">
        <f t="shared" ref="D8:D15" si="0">ROUND($D$3*E8/$E$3,2)</f>
        <v>20818.53</v>
      </c>
      <c r="E8" s="51">
        <f>SUMIF('数据-基础表'!BB10:BK10,"地上",'数据-基础表'!BB5:BK5)</f>
        <v>77782.010000000009</v>
      </c>
      <c r="F8" s="1395"/>
      <c r="G8" s="2237"/>
      <c r="H8" s="2237"/>
      <c r="I8" s="1395"/>
      <c r="J8" s="1395"/>
      <c r="K8" s="1395"/>
      <c r="L8" s="1395"/>
      <c r="M8" s="1395"/>
      <c r="N8" s="1395"/>
      <c r="O8" s="1395"/>
      <c r="P8" s="1395"/>
    </row>
    <row r="9" spans="1:16">
      <c r="A9" s="2238"/>
      <c r="B9" s="2239"/>
      <c r="C9" s="48" t="s">
        <v>1927</v>
      </c>
      <c r="D9" s="48">
        <f t="shared" si="0"/>
        <v>0</v>
      </c>
      <c r="E9" s="52">
        <v>0</v>
      </c>
      <c r="F9" s="1395"/>
      <c r="G9" s="2237"/>
      <c r="H9" s="2237"/>
      <c r="I9" s="1395"/>
      <c r="J9" s="1395"/>
      <c r="K9" s="1395"/>
      <c r="L9" s="1395"/>
      <c r="M9" s="1395"/>
      <c r="N9" s="1395"/>
      <c r="O9" s="1395"/>
      <c r="P9" s="1395"/>
    </row>
    <row r="10" spans="1:16">
      <c r="A10" s="2238"/>
      <c r="B10" s="2239"/>
      <c r="C10" s="48" t="s">
        <v>1936</v>
      </c>
      <c r="D10" s="48">
        <f t="shared" si="0"/>
        <v>2408.87</v>
      </c>
      <c r="E10" s="51">
        <f>SUMPRODUCT(('数据-基础表'!BB10:BK10="地下")*('数据-基础表'!BB11:BK11="商业")*('数据-基础表'!BB5:BK5))</f>
        <v>9000</v>
      </c>
      <c r="F10" s="1395"/>
      <c r="G10" s="2237"/>
      <c r="H10" s="2237"/>
      <c r="I10" s="1395"/>
      <c r="J10" s="1395"/>
      <c r="K10" s="1395"/>
      <c r="L10" s="1395"/>
      <c r="M10" s="1395"/>
      <c r="N10" s="1395"/>
      <c r="O10" s="1395"/>
      <c r="P10" s="1395"/>
    </row>
    <row r="11" spans="1:16">
      <c r="A11" s="2238"/>
      <c r="B11" s="2239"/>
      <c r="C11" s="48" t="s">
        <v>1928</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1929</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1930</v>
      </c>
      <c r="D13" s="48">
        <f t="shared" si="0"/>
        <v>7773.34</v>
      </c>
      <c r="E13" s="51">
        <f>SUMPRODUCT(('数据-基础表'!BB10:BK10="地下")*('数据-基础表'!BB11:BK11="车库")*('数据-基础表'!BB5:BK5))</f>
        <v>29042.670000000002</v>
      </c>
      <c r="F13" s="1395"/>
      <c r="G13" s="2237"/>
      <c r="H13" s="2237"/>
      <c r="I13" s="1395"/>
      <c r="J13" s="1395"/>
      <c r="K13" s="1395"/>
      <c r="L13" s="1395"/>
      <c r="M13" s="1395"/>
      <c r="N13" s="1395"/>
      <c r="O13" s="1395"/>
      <c r="P13" s="1395"/>
    </row>
    <row r="14" spans="1:16">
      <c r="A14" s="2238"/>
      <c r="B14" s="2239"/>
      <c r="C14" s="48" t="s">
        <v>1942</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1937</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1931</v>
      </c>
      <c r="D16" s="50">
        <f>SUM(D8:D15)</f>
        <v>31000.739999999998</v>
      </c>
      <c r="E16" s="53">
        <f>SUM(E8:E15)</f>
        <v>115824.68000000001</v>
      </c>
      <c r="F16" s="1395"/>
      <c r="G16" s="2237"/>
      <c r="H16" s="2240" t="s">
        <v>1943</v>
      </c>
      <c r="I16" s="2241"/>
      <c r="J16" s="1395"/>
      <c r="K16" s="3050" t="s">
        <v>1943</v>
      </c>
      <c r="L16" s="3051"/>
      <c r="M16" s="3051"/>
      <c r="N16" s="3051"/>
      <c r="O16" s="3051"/>
      <c r="P16" s="3052"/>
    </row>
    <row r="17" spans="1:19" ht="15">
      <c r="A17" s="2242" t="s">
        <v>1944</v>
      </c>
      <c r="B17" s="2243" t="s">
        <v>1945</v>
      </c>
      <c r="C17" s="2244" t="s">
        <v>1946</v>
      </c>
      <c r="D17" s="2245" t="s">
        <v>1934</v>
      </c>
      <c r="E17" s="2246" t="s">
        <v>1935</v>
      </c>
      <c r="F17" s="2247"/>
      <c r="G17" s="2248"/>
      <c r="H17" s="2249" t="s">
        <v>1947</v>
      </c>
      <c r="I17" s="2250" t="s">
        <v>1932</v>
      </c>
      <c r="J17" s="1395"/>
      <c r="K17" s="3047" t="s">
        <v>1948</v>
      </c>
      <c r="L17" s="3048"/>
      <c r="M17" s="3049"/>
      <c r="N17" s="3047" t="s">
        <v>1949</v>
      </c>
      <c r="O17" s="3048"/>
      <c r="P17" s="3049"/>
      <c r="R17" s="2228" t="s">
        <v>1950</v>
      </c>
      <c r="S17" s="64"/>
    </row>
    <row r="18" spans="1:19" ht="15">
      <c r="A18" s="2238"/>
      <c r="B18" s="2251"/>
      <c r="C18" s="2252"/>
      <c r="D18" s="2253"/>
      <c r="E18" s="2254" t="s">
        <v>1951</v>
      </c>
      <c r="F18" s="2255" t="s">
        <v>1952</v>
      </c>
      <c r="G18" s="2256" t="s">
        <v>1953</v>
      </c>
      <c r="H18" s="1265" t="s">
        <v>1954</v>
      </c>
      <c r="I18" s="2257" t="s">
        <v>1955</v>
      </c>
      <c r="J18" s="1395"/>
      <c r="K18" s="1265" t="s">
        <v>1956</v>
      </c>
      <c r="L18" s="2258" t="s">
        <v>1957</v>
      </c>
      <c r="M18" s="1049" t="s">
        <v>1958</v>
      </c>
      <c r="N18" s="1265" t="s">
        <v>1956</v>
      </c>
      <c r="O18" s="2258" t="s">
        <v>1957</v>
      </c>
      <c r="P18" s="1049" t="s">
        <v>1958</v>
      </c>
      <c r="R18" s="1250" t="s">
        <v>1959</v>
      </c>
      <c r="S18" s="1250" t="s">
        <v>1960</v>
      </c>
    </row>
    <row r="19" spans="1:19">
      <c r="A19" s="2259"/>
      <c r="B19" s="50" t="s">
        <v>1933</v>
      </c>
      <c r="C19" s="2959" t="s">
        <v>3073</v>
      </c>
      <c r="D19" s="48">
        <f>ROUND($D$3*E19/$E$3,2)</f>
        <v>23227.4</v>
      </c>
      <c r="E19" s="56">
        <f t="shared" ref="E19:E26" si="1">SUM(F19:G19)</f>
        <v>86782.010000000009</v>
      </c>
      <c r="F19" s="57">
        <f>'数据-基础表'!I5</f>
        <v>77782.010000000009</v>
      </c>
      <c r="G19" s="58">
        <f>'数据-基础表'!K5</f>
        <v>9000</v>
      </c>
      <c r="H19" s="723">
        <f>ROUND($D$3*I19/$E$3,2)</f>
        <v>388.13</v>
      </c>
      <c r="I19" s="51">
        <f t="shared" ref="I19:I26" si="2">IF($I$17="自定义",P19,M19)</f>
        <v>1450.12</v>
      </c>
      <c r="J19" s="1395"/>
      <c r="K19" s="1394">
        <f t="shared" ref="K19:K26" si="3">ROUND(E$28*E19/E$27,2)</f>
        <v>1450.12</v>
      </c>
      <c r="L19" s="1250">
        <f t="shared" ref="L19:L26" si="4">ROUND(IF(COUNTIF(C19,"*住宅*")&gt;0,E$29*E19/E$32,0),2)</f>
        <v>0</v>
      </c>
      <c r="M19" s="1406">
        <f>K19+L19</f>
        <v>1450.12</v>
      </c>
      <c r="N19" s="2261"/>
      <c r="O19" s="2262"/>
      <c r="P19" s="1406">
        <f>N19+O19</f>
        <v>0</v>
      </c>
      <c r="R19" s="1250">
        <f t="shared" ref="R19:S26" si="5">D19+H19</f>
        <v>23615.530000000002</v>
      </c>
      <c r="S19" s="1251">
        <f t="shared" si="5"/>
        <v>88232.13</v>
      </c>
    </row>
    <row r="20" spans="1:19">
      <c r="A20" s="2263"/>
      <c r="B20" s="50" t="s">
        <v>1961</v>
      </c>
      <c r="C20" s="2959" t="s">
        <v>3074</v>
      </c>
      <c r="D20" s="48">
        <f t="shared" ref="D20:D26" si="6">ROUND($D$3*E20/$E$3,2)</f>
        <v>7773.34</v>
      </c>
      <c r="E20" s="56">
        <f t="shared" si="1"/>
        <v>29042.670000000002</v>
      </c>
      <c r="F20" s="57"/>
      <c r="G20" s="58">
        <f>'数据-基础表'!M5</f>
        <v>29042.670000000002</v>
      </c>
      <c r="H20" s="723">
        <f t="shared" ref="H20:H26" si="7">ROUND($D$3*I20/$E$3,2)</f>
        <v>129.88999999999999</v>
      </c>
      <c r="I20" s="51">
        <f t="shared" si="2"/>
        <v>485.3</v>
      </c>
      <c r="J20" s="1395"/>
      <c r="K20" s="1394">
        <f t="shared" si="3"/>
        <v>485.3</v>
      </c>
      <c r="L20" s="1250">
        <f t="shared" si="4"/>
        <v>0</v>
      </c>
      <c r="M20" s="1406">
        <f t="shared" ref="M20:M26" si="8">K20+L20</f>
        <v>485.3</v>
      </c>
      <c r="N20" s="2261"/>
      <c r="O20" s="2262"/>
      <c r="P20" s="1406">
        <f t="shared" ref="P20:P26" si="9">N20+O20</f>
        <v>0</v>
      </c>
      <c r="R20" s="1250">
        <f t="shared" si="5"/>
        <v>7903.2300000000005</v>
      </c>
      <c r="S20" s="1251">
        <f t="shared" si="5"/>
        <v>29527.97</v>
      </c>
    </row>
    <row r="21" spans="1:19">
      <c r="A21" s="2263"/>
      <c r="B21" s="50" t="s">
        <v>1961</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1962</v>
      </c>
      <c r="D27" s="1396">
        <f>SUM(D19:D26)</f>
        <v>31000.74</v>
      </c>
      <c r="E27" s="1397">
        <f>IF(SUM(E19:E26)='数据-基础表'!BA5,SUM(E19:E26),IF(F27="地上面积有误","面积有误","地下面积有误"))</f>
        <v>115824.68000000001</v>
      </c>
      <c r="F27" s="1396">
        <f>IF(SUM(F19:F26)=E8,SUM(F19:F26),"地上面积有误")</f>
        <v>77782.010000000009</v>
      </c>
      <c r="G27" s="1398">
        <f>SUM(G19:G26)</f>
        <v>38042.67</v>
      </c>
      <c r="H27" s="1399">
        <f>SUM(H19:H26)</f>
        <v>518.02</v>
      </c>
      <c r="I27" s="1400">
        <f>SUM(I19:I26)</f>
        <v>1935.4199999999998</v>
      </c>
      <c r="J27" s="1395"/>
      <c r="K27" s="1403">
        <f>SUM(K19:K26)</f>
        <v>1935.4199999999998</v>
      </c>
      <c r="L27" s="1404">
        <f>SUM(L19:L26)</f>
        <v>0</v>
      </c>
      <c r="M27" s="1407">
        <f>SUM(M19:M26)</f>
        <v>1935.4199999999998</v>
      </c>
      <c r="N27" s="1403">
        <f t="shared" ref="N27:O27" si="10">SUM(N19:N26)</f>
        <v>0</v>
      </c>
      <c r="O27" s="1404">
        <f t="shared" si="10"/>
        <v>0</v>
      </c>
      <c r="P27" s="1405">
        <f>SUM(P19:P26)</f>
        <v>0</v>
      </c>
      <c r="R27" s="1252">
        <f>IF(SUM(R19:R26)=$D$3,SUM(R19:R26),SUM(R19:R26)&amp;"误差"&amp;ROUND(SUM(R19:R26)-$D$3,2))</f>
        <v>31518.760000000002</v>
      </c>
      <c r="S27" s="1250">
        <f>IF(SUM(S19:S26)=$E$3,SUM(S19:S26),SUM(S19:S26)&amp;"误差"&amp;ROUND(SUM(S19:S26)-E3,2))</f>
        <v>117760.1</v>
      </c>
    </row>
    <row r="28" spans="1:19">
      <c r="A28" s="2263"/>
      <c r="B28" s="50" t="s">
        <v>1963</v>
      </c>
      <c r="C28" s="1262" t="s">
        <v>1964</v>
      </c>
      <c r="D28" s="48">
        <f>ROUND($D$3*E28/$E$3,2)</f>
        <v>518.02</v>
      </c>
      <c r="E28" s="56">
        <f>SUM(F28:G28)</f>
        <v>1935.42</v>
      </c>
      <c r="F28" s="64">
        <f>'数据-基础表'!BQ5+'数据-基础表'!BS5</f>
        <v>545.29</v>
      </c>
      <c r="G28" s="65">
        <f>'数据-基础表'!BR5+'数据-基础表'!BT5</f>
        <v>1390.13</v>
      </c>
      <c r="H28" s="1395"/>
      <c r="I28" s="1395"/>
      <c r="J28" s="1395"/>
      <c r="K28" s="1395"/>
      <c r="L28" s="1395"/>
      <c r="M28" s="1395"/>
      <c r="N28" s="1395"/>
      <c r="O28" s="1395"/>
      <c r="P28" s="1395"/>
    </row>
    <row r="29" spans="1:19">
      <c r="A29" s="2263"/>
      <c r="B29" s="50" t="s">
        <v>1963</v>
      </c>
      <c r="C29" s="2267"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1962</v>
      </c>
      <c r="D30" s="1396">
        <f>SUM(D28:D29)</f>
        <v>518.02</v>
      </c>
      <c r="E30" s="1396">
        <f>SUM(E28:E29)</f>
        <v>1935.42</v>
      </c>
      <c r="F30" s="1396">
        <f>SUM(F28:F29)</f>
        <v>545.29</v>
      </c>
      <c r="G30" s="1398">
        <f>SUM(G28:G29)</f>
        <v>1390.13</v>
      </c>
      <c r="H30" s="1395"/>
      <c r="I30" s="1395"/>
      <c r="J30" s="1395"/>
      <c r="K30" s="1395"/>
      <c r="L30" s="1395"/>
      <c r="M30" s="1395"/>
      <c r="N30" s="1395"/>
      <c r="O30" s="1395"/>
      <c r="P30" s="1395"/>
    </row>
    <row r="31" spans="1:19" ht="15.75" thickBot="1">
      <c r="A31" s="2269"/>
      <c r="B31" s="2270"/>
      <c r="C31" s="1010" t="s">
        <v>1966</v>
      </c>
      <c r="D31" s="729">
        <f>D27+D30</f>
        <v>31518.760000000002</v>
      </c>
      <c r="E31" s="729">
        <f>E27+E30</f>
        <v>117760.1</v>
      </c>
      <c r="F31" s="730">
        <f>F27+F30</f>
        <v>78327.3</v>
      </c>
      <c r="G31" s="731">
        <f>G27+G30</f>
        <v>39432.799999999996</v>
      </c>
      <c r="H31" s="1395"/>
      <c r="I31" s="1395"/>
      <c r="J31" s="1395"/>
      <c r="K31" s="1395"/>
      <c r="L31" s="1395"/>
      <c r="M31" s="1395"/>
      <c r="N31" s="1395"/>
      <c r="O31" s="1395"/>
      <c r="P31" s="1395"/>
    </row>
    <row r="32" spans="1:19">
      <c r="A32" s="2233"/>
      <c r="B32" s="2233" t="s">
        <v>1967</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7" sqref="E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1969</v>
      </c>
      <c r="B2" s="1269">
        <f>项目基本情况!D3</f>
        <v>43462</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4" t="s">
        <v>1974</v>
      </c>
      <c r="AA4" s="2244"/>
      <c r="AB4" s="2244"/>
      <c r="AC4" s="2244"/>
      <c r="AD4" s="2244"/>
      <c r="AE4" s="2242" t="s">
        <v>1975</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1976</v>
      </c>
      <c r="B5" s="2290" t="s">
        <v>1977</v>
      </c>
      <c r="C5" s="2291" t="s">
        <v>1978</v>
      </c>
      <c r="D5" s="2292" t="s">
        <v>1979</v>
      </c>
      <c r="E5" s="1271" t="s">
        <v>1980</v>
      </c>
      <c r="F5" s="2293" t="s">
        <v>1981</v>
      </c>
      <c r="G5" s="1271" t="s">
        <v>1982</v>
      </c>
      <c r="H5" s="1271" t="s">
        <v>1983</v>
      </c>
      <c r="I5" s="1271"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70" t="s">
        <v>1996</v>
      </c>
      <c r="V5" s="1271" t="s">
        <v>1997</v>
      </c>
      <c r="W5" s="1271" t="s">
        <v>1998</v>
      </c>
      <c r="X5" s="71"/>
      <c r="Y5" s="70" t="s">
        <v>1999</v>
      </c>
      <c r="Z5" s="2303" t="s">
        <v>1996</v>
      </c>
      <c r="AA5" s="1271" t="s">
        <v>1997</v>
      </c>
      <c r="AB5" s="1271" t="s">
        <v>1998</v>
      </c>
      <c r="AC5" s="71"/>
      <c r="AD5" s="71" t="s">
        <v>1999</v>
      </c>
      <c r="AE5" s="1270" t="s">
        <v>2000</v>
      </c>
      <c r="AF5" s="1271" t="s">
        <v>2001</v>
      </c>
      <c r="AG5" s="70" t="s">
        <v>2002</v>
      </c>
      <c r="AH5" s="1270" t="s">
        <v>2003</v>
      </c>
      <c r="AI5" s="2303" t="s">
        <v>2004</v>
      </c>
      <c r="AJ5" s="2303" t="s">
        <v>2005</v>
      </c>
      <c r="AK5" s="1271" t="s">
        <v>2006</v>
      </c>
      <c r="AL5" s="1271" t="s">
        <v>2007</v>
      </c>
      <c r="AM5" s="70" t="s">
        <v>2008</v>
      </c>
      <c r="AN5" s="2304" t="s">
        <v>2009</v>
      </c>
      <c r="AO5" s="2074" t="s">
        <v>2010</v>
      </c>
      <c r="AP5" s="1252"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55264</v>
      </c>
      <c r="F6" s="72">
        <f>SUMIF(项目基本情况!D$12:I$12,C6,项目基本情况!D$15:I$15)</f>
        <v>32.33</v>
      </c>
      <c r="G6" s="73">
        <f>IF(ISERROR(ROUND(POWER(1+H6,D6-F6)*(POWER(1+H6,F6)-1)/(POWER(1+H6,D6)-1),3)),0,ROUND(POWER(1+H6,D6-F6)*(POWER(1+H6,F6)-1)/(POWER(1+H6,D6)-1),3))</f>
        <v>0.91700000000000004</v>
      </c>
      <c r="H6" s="802">
        <v>4.4999999999999998E-2</v>
      </c>
      <c r="I6" s="802">
        <v>0.06</v>
      </c>
      <c r="J6" s="74">
        <v>8.5000000000000006E-2</v>
      </c>
      <c r="K6" s="1254">
        <f>SUMIF('数据-汇总表'!C$19:C$33,A6,'数据-汇总表'!E$19:E$33)</f>
        <v>86782.010000000009</v>
      </c>
      <c r="L6" s="803">
        <v>3500</v>
      </c>
      <c r="M6" s="75">
        <f t="shared" ref="M6:M14" si="0">ROUND(K6*L6/10000,0)</f>
        <v>30374</v>
      </c>
      <c r="N6" s="801">
        <v>0.55000000000000004</v>
      </c>
      <c r="O6" s="75">
        <f>IF($N$5="成新度","——",ROUND(M6*N6,0))</f>
        <v>16706</v>
      </c>
      <c r="P6" s="76">
        <f>IF($N$5="成新度","——",M6-O6)</f>
        <v>13668</v>
      </c>
      <c r="Q6" s="804">
        <v>0.2</v>
      </c>
      <c r="R6" s="77">
        <f ca="1">SUMIF('数据-汇总表'!C$19:C$33,A6,'数据-汇总表'!R$19:R$27)</f>
        <v>23615.530000000002</v>
      </c>
      <c r="S6" s="54">
        <f>IF('数据-汇总表'!$I$17="按面积比例",SUMIF('数据-汇总表'!C$19:C$33,A6,'数据-汇总表'!K$19:K$33),SUMIF('数据-汇总表'!C$19:C$33,A6,'数据-汇总表'!N$19:N$33))</f>
        <v>1450.12</v>
      </c>
      <c r="T6" s="1446">
        <f>ROUND($L$14*S6/10000,0)</f>
        <v>363</v>
      </c>
      <c r="U6" s="78">
        <f>Sheet2!C10</f>
        <v>2.8</v>
      </c>
      <c r="V6" s="79">
        <v>0.03</v>
      </c>
      <c r="W6" s="79">
        <v>0.05</v>
      </c>
      <c r="X6" s="1264"/>
      <c r="Y6" s="80">
        <v>1</v>
      </c>
      <c r="Z6" s="81"/>
      <c r="AA6" s="74"/>
      <c r="AB6" s="74"/>
      <c r="AC6" s="1264"/>
      <c r="AD6" s="82"/>
      <c r="AE6" s="1265">
        <f ca="1">IF(AN6="",0,SUMIF(INDIRECT("'"&amp;AN6&amp;"'"&amp;"!E:E"),$AE$5,INDIRECT("'"&amp;AN6&amp;"'"&amp;"!F:F")))</f>
        <v>31.33</v>
      </c>
      <c r="AF6" s="1807"/>
      <c r="AG6" s="147">
        <f>IF(AF6="",0,AE6-AF6)</f>
        <v>0</v>
      </c>
      <c r="AH6" s="83"/>
      <c r="AI6" s="85">
        <v>365</v>
      </c>
      <c r="AJ6" s="86"/>
      <c r="AK6" s="87">
        <v>1.4999999999999999E-2</v>
      </c>
      <c r="AL6" s="88">
        <v>2E-3</v>
      </c>
      <c r="AM6" s="89">
        <v>0.02</v>
      </c>
      <c r="AN6" s="2309" t="s">
        <v>3075</v>
      </c>
      <c r="AO6" s="55">
        <f ca="1">SUMIF(INDIRECT("'"&amp;AN6&amp;"'"&amp;"!A:A"),"总价",INDIRECT("'"&amp;AN6&amp;"'"&amp;"!B:B"))</f>
        <v>118625</v>
      </c>
      <c r="AP6" s="2310">
        <f>IF(C6="住宅",K6*L6,0)</f>
        <v>0</v>
      </c>
      <c r="AQ6" s="55">
        <f>ROUND($L$14*$N$14*S6/10000,0)</f>
        <v>199</v>
      </c>
      <c r="AR6" s="55">
        <f>ROUND($L$14*(1-$N$14)*S6/10000,0)</f>
        <v>163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地下车库</v>
      </c>
      <c r="B7" s="2307" t="str">
        <f t="shared" ref="B7:B13" si="1">IF(A7=0,"","经营性")</f>
        <v>经营性</v>
      </c>
      <c r="C7" s="2308" t="s">
        <v>3072</v>
      </c>
      <c r="D7" s="1054">
        <f>SUMIF(项目基本情况!D$12:I$12,C7,项目基本情况!D$14:I$14)</f>
        <v>50</v>
      </c>
      <c r="E7" s="1051">
        <f>IF(B7="","",SUMIF(项目基本情况!D$12:I$12,C7,项目基本情况!D$13:I$13))</f>
        <v>58917</v>
      </c>
      <c r="F7" s="72">
        <f>SUMIF(项目基本情况!D$12:I$12,C7,项目基本情况!D$15:I$15)</f>
        <v>42.34</v>
      </c>
      <c r="G7" s="73">
        <f t="shared" ref="G7:G11" si="2">IF(ISERROR(ROUND(POWER(1+H7,D7-F7)*(POWER(1+H7,F7)-1)/(POWER(1+H7,D7)-1),3)),0,ROUND(POWER(1+H7,D7-F7)*(POWER(1+H7,F7)-1)/(POWER(1+H7,D7)-1),3))</f>
        <v>0.95</v>
      </c>
      <c r="H7" s="802">
        <v>4.4999999999999998E-2</v>
      </c>
      <c r="I7" s="802">
        <v>0.05</v>
      </c>
      <c r="J7" s="74">
        <v>8.5000000000000006E-2</v>
      </c>
      <c r="K7" s="1254">
        <f>SUMIF('数据-汇总表'!C$19:C$33,A7,'数据-汇总表'!E$19:E$33)</f>
        <v>29042.670000000002</v>
      </c>
      <c r="L7" s="803">
        <v>2500</v>
      </c>
      <c r="M7" s="75">
        <f t="shared" si="0"/>
        <v>7261</v>
      </c>
      <c r="N7" s="801">
        <f>N6</f>
        <v>0.55000000000000004</v>
      </c>
      <c r="O7" s="75">
        <f t="shared" ref="O7:O14" si="3">IF($N$5="成新度","——",ROUND(M7*N7,0))</f>
        <v>3994</v>
      </c>
      <c r="P7" s="76">
        <f t="shared" ref="P7:P14" si="4">IF($N$5="成新度","——",M7-O7)</f>
        <v>3267</v>
      </c>
      <c r="Q7" s="804">
        <v>0.05</v>
      </c>
      <c r="R7" s="77">
        <f ca="1">SUMIF('数据-汇总表'!C$19:C$33,A7,'数据-汇总表'!R$19:R$27)</f>
        <v>7903.2300000000005</v>
      </c>
      <c r="S7" s="54">
        <f>IF('数据-汇总表'!$I$17="按面积比例",SUMIF('数据-汇总表'!C$19:C$33,A7,'数据-汇总表'!K$19:K$33),SUMIF('数据-汇总表'!C$19:C$33,A7,'数据-汇总表'!N$19:N$33))</f>
        <v>485.3</v>
      </c>
      <c r="T7" s="1446">
        <f t="shared" ref="T7:T13" si="5">ROUND($L$14*S7/10000,0)</f>
        <v>121</v>
      </c>
      <c r="U7" s="78">
        <v>400</v>
      </c>
      <c r="V7" s="79">
        <v>0.03</v>
      </c>
      <c r="W7" s="79">
        <v>0.05</v>
      </c>
      <c r="X7" s="1264"/>
      <c r="Y7" s="80">
        <v>1</v>
      </c>
      <c r="Z7" s="81"/>
      <c r="AA7" s="74"/>
      <c r="AB7" s="74"/>
      <c r="AC7" s="1264"/>
      <c r="AD7" s="82"/>
      <c r="AE7" s="1265">
        <f t="shared" ref="AE7:AE13" ca="1" si="6">IF(AN7="",0,SUMIF(INDIRECT("'"&amp;AN7&amp;"'"&amp;"!E:E"),$AE$5,INDIRECT("'"&amp;AN7&amp;"'"&amp;"!F:F")))</f>
        <v>41.34</v>
      </c>
      <c r="AF7" s="1807"/>
      <c r="AG7" s="147">
        <f t="shared" ref="AG7:AG13" si="7">IF(AF7="",0,AE7-AF7)</f>
        <v>0</v>
      </c>
      <c r="AH7" s="83">
        <v>785</v>
      </c>
      <c r="AI7" s="85">
        <v>12</v>
      </c>
      <c r="AJ7" s="86"/>
      <c r="AK7" s="87">
        <v>1.4999999999999999E-2</v>
      </c>
      <c r="AL7" s="88">
        <v>1.5E-3</v>
      </c>
      <c r="AM7" s="89">
        <v>0.01</v>
      </c>
      <c r="AN7" s="2309" t="s">
        <v>3088</v>
      </c>
      <c r="AO7" s="55">
        <f t="shared" ref="AO7:AO13" ca="1" si="8">SUMIF(INDIRECT("'"&amp;AN7&amp;"'"&amp;"!A:A"),"总价",INDIRECT("'"&amp;AN7&amp;"'"&amp;"!B:B"))</f>
        <v>3345</v>
      </c>
      <c r="AP7" s="2310">
        <f t="shared" ref="AP7:AP13" si="9">IF(C7="住宅",K7*L7,0)</f>
        <v>0</v>
      </c>
      <c r="AQ7" s="55">
        <f t="shared" ref="AQ7:AQ13" si="10">ROUND($L$14*$N$14*S7/10000,0)</f>
        <v>67</v>
      </c>
      <c r="AR7" s="55">
        <f t="shared" ref="AR7:AR13" si="11">ROUND($L$14*(1-$N$14)*S7/10000,0)</f>
        <v>55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2014</v>
      </c>
      <c r="B14" s="2307" t="s">
        <v>2015</v>
      </c>
      <c r="C14" s="2312" t="s">
        <v>2014</v>
      </c>
      <c r="D14" s="1054"/>
      <c r="E14" s="1051"/>
      <c r="F14" s="72"/>
      <c r="G14" s="73"/>
      <c r="H14" s="1253"/>
      <c r="I14" s="1253"/>
      <c r="J14" s="1253"/>
      <c r="K14" s="1254">
        <f>SUMIF('数据-汇总表'!C$19:C$33,A14,'数据-汇总表'!E$19:E$33)</f>
        <v>1935.42</v>
      </c>
      <c r="L14" s="91">
        <v>2500</v>
      </c>
      <c r="M14" s="75">
        <f t="shared" si="0"/>
        <v>484</v>
      </c>
      <c r="N14" s="92">
        <f>N6</f>
        <v>0.55000000000000004</v>
      </c>
      <c r="O14" s="75">
        <f t="shared" si="3"/>
        <v>266</v>
      </c>
      <c r="P14" s="76">
        <f t="shared" si="4"/>
        <v>218</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2016</v>
      </c>
      <c r="B15" s="2307" t="s">
        <v>2015</v>
      </c>
      <c r="C15" s="2312"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2018</v>
      </c>
      <c r="B16" s="97"/>
      <c r="C16" s="1008"/>
      <c r="D16" s="2314"/>
      <c r="E16" s="97"/>
      <c r="F16" s="97"/>
      <c r="G16" s="98">
        <f>ROUND(SUMPRODUCT(G6:G13,K6:K13)/SUMPRODUCT((G6:G13&gt;0)*(K6:K13)),3)</f>
        <v>0.92500000000000004</v>
      </c>
      <c r="H16" s="99">
        <f>ROUND(SUMPRODUCT(H6:H13,K6:K13)/SUMPRODUCT((H6:H13&gt;0)*(K6:K13)),3)</f>
        <v>4.4999999999999998E-2</v>
      </c>
      <c r="I16" s="100"/>
      <c r="J16" s="100"/>
      <c r="K16" s="101">
        <f>SUM(K6:K15)</f>
        <v>117760.1</v>
      </c>
      <c r="L16" s="102">
        <f>ROUND(M16*10000/SUM(K6:K14),0)</f>
        <v>3237</v>
      </c>
      <c r="M16" s="102">
        <f>SUM(M6:M14)</f>
        <v>38119</v>
      </c>
      <c r="N16" s="103">
        <f>ROUND(SUMPRODUCT(M6:M14,N6:N14)/M16,3)</f>
        <v>0.55000000000000004</v>
      </c>
      <c r="O16" s="102">
        <f>SUM(O6:O14)</f>
        <v>20966</v>
      </c>
      <c r="P16" s="102">
        <f>SUM(P6:P14)</f>
        <v>17153</v>
      </c>
      <c r="Q16" s="104">
        <f>ROUND(SUMPRODUCT(Q6:Q13,K6:K13)/SUMPRODUCT((Q6:Q13&gt;0)*(K6:K13)),2)</f>
        <v>0.16</v>
      </c>
      <c r="R16" s="1258">
        <f ca="1">SUM(R6:R13)</f>
        <v>31518.760000000002</v>
      </c>
      <c r="S16" s="105">
        <f>SUM(S6:S13)</f>
        <v>1935.4199999999998</v>
      </c>
      <c r="T16" s="106">
        <f>IF(SUMIF(T6:T13,"&lt;9E307")=M14,SUMIF(T6:T13,"&lt;9E307"),"有误，请检查")</f>
        <v>484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2020</v>
      </c>
      <c r="B19" s="112">
        <v>0</v>
      </c>
      <c r="C19" s="2277" t="s">
        <v>2021</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2022</v>
      </c>
      <c r="B20" s="113">
        <v>2</v>
      </c>
      <c r="C20" s="2277" t="s">
        <v>2023</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2024</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2025</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2026</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2027</v>
      </c>
      <c r="B24" s="115">
        <f>B20-B21</f>
        <v>1</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2028</v>
      </c>
      <c r="B26" s="2320" t="s">
        <v>2029</v>
      </c>
      <c r="C26" s="2321" t="s">
        <v>2030</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2031</v>
      </c>
      <c r="B27" s="116">
        <v>120</v>
      </c>
      <c r="C27" s="1767" t="s">
        <v>2032</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2033</v>
      </c>
      <c r="B28" s="119">
        <v>120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2034</v>
      </c>
      <c r="B29" s="121">
        <f ca="1">成本法!C10</f>
        <v>1413</v>
      </c>
      <c r="C29" s="1767" t="s">
        <v>2035</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2036</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2037</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2038</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2039</v>
      </c>
      <c r="B33" s="726">
        <v>0.03</v>
      </c>
      <c r="C33" s="1766" t="s">
        <v>2040</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2041</v>
      </c>
      <c r="B34" s="122">
        <v>0</v>
      </c>
      <c r="C34" s="1766" t="s">
        <v>2042</v>
      </c>
      <c r="D34" s="2278" t="s">
        <v>2043</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2044</v>
      </c>
      <c r="B35" s="119">
        <v>200</v>
      </c>
      <c r="C35" s="1766" t="s">
        <v>2045</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2046</v>
      </c>
      <c r="B36" s="123">
        <v>1.4999999999999999E-2</v>
      </c>
      <c r="C36" s="1766" t="s">
        <v>2047</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2048</v>
      </c>
      <c r="B37" s="124">
        <v>0.02</v>
      </c>
      <c r="C37" s="1766" t="s">
        <v>2049</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2050</v>
      </c>
      <c r="B38" s="122">
        <v>0.02</v>
      </c>
      <c r="C38" s="1766" t="s">
        <v>2049</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2051</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2052</v>
      </c>
      <c r="B40" s="1303">
        <f ca="1">存贷款利率!G1</f>
        <v>4.7500000000000001E-2</v>
      </c>
      <c r="C40" s="1766" t="s">
        <v>2053</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2054</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2055</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2056</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2057</v>
      </c>
      <c r="B44" s="128">
        <v>7.0000000000000007E-2</v>
      </c>
      <c r="C44" s="1766" t="s">
        <v>2058</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2059</v>
      </c>
      <c r="B45" s="126">
        <v>0.03</v>
      </c>
      <c r="C45" s="1767" t="s">
        <v>2060</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2061</v>
      </c>
      <c r="B46" s="126">
        <v>0.02</v>
      </c>
      <c r="C46" s="1767" t="s">
        <v>2062</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2063</v>
      </c>
      <c r="B47" s="129">
        <v>0</v>
      </c>
      <c r="C47" s="1767" t="s">
        <v>2064</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2065</v>
      </c>
      <c r="B48" s="130">
        <v>0.03</v>
      </c>
      <c r="C48" s="1774" t="s">
        <v>2066</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2067</v>
      </c>
      <c r="B49" s="126">
        <v>5.0000000000000001E-4</v>
      </c>
      <c r="C49" s="1774" t="s">
        <v>2068</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2069</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2070</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2071</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2072</v>
      </c>
      <c r="B53" s="2336" t="s">
        <v>212</v>
      </c>
      <c r="C53" s="1430" t="s">
        <v>2073</v>
      </c>
      <c r="D53" s="2337" t="s">
        <v>2074</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2075</v>
      </c>
      <c r="B54" s="84">
        <v>5</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2076</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2077</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2078</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2079</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2080</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2081</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2082</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2083</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2084</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2" t="s">
        <v>2085</v>
      </c>
      <c r="B1" s="3063"/>
      <c r="C1" s="3063"/>
      <c r="D1" s="3063"/>
      <c r="E1" s="3063"/>
      <c r="F1" s="3063"/>
      <c r="G1" s="306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71"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8"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8" t="s">
        <v>2097</v>
      </c>
      <c r="C5" s="2374" t="s">
        <v>2098</v>
      </c>
      <c r="D5" s="2371"/>
      <c r="E5" s="2375"/>
      <c r="F5" s="1798" t="s">
        <v>2099</v>
      </c>
      <c r="G5" s="2376" t="s">
        <v>2100</v>
      </c>
      <c r="H5" s="2368"/>
      <c r="I5" s="2368"/>
      <c r="J5" s="2368"/>
      <c r="K5" s="2368"/>
      <c r="L5" s="2368"/>
      <c r="M5" s="2368"/>
      <c r="N5" s="2368"/>
      <c r="O5" s="2368"/>
      <c r="P5" s="2368"/>
      <c r="Q5" s="2368"/>
      <c r="R5" s="2368"/>
    </row>
    <row r="6" spans="1:29" ht="54">
      <c r="A6" s="431"/>
      <c r="B6" s="1798" t="s">
        <v>2101</v>
      </c>
      <c r="C6" s="2376" t="s">
        <v>2096</v>
      </c>
      <c r="D6" s="2371"/>
      <c r="E6" s="2375"/>
      <c r="F6" s="1798" t="s">
        <v>2102</v>
      </c>
      <c r="G6" s="2376" t="s">
        <v>2103</v>
      </c>
      <c r="H6" s="2368"/>
      <c r="I6" s="2368"/>
      <c r="J6" s="2368"/>
      <c r="K6" s="2368"/>
      <c r="L6" s="2368"/>
      <c r="M6" s="2368"/>
      <c r="N6" s="2368"/>
      <c r="O6" s="2368"/>
      <c r="P6" s="2368"/>
      <c r="Q6" s="2368"/>
      <c r="R6" s="2368"/>
    </row>
    <row r="7" spans="1:29" ht="41.25" thickBot="1">
      <c r="A7" s="431"/>
      <c r="B7" s="1798"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8" t="s">
        <v>2102</v>
      </c>
      <c r="C8" s="2376" t="s">
        <v>2103</v>
      </c>
      <c r="D8" s="2377"/>
      <c r="E8" s="2377"/>
      <c r="F8" s="1136"/>
      <c r="G8" s="1136"/>
      <c r="H8" s="2368"/>
      <c r="I8" s="2368"/>
      <c r="J8" s="2368"/>
      <c r="K8" s="2368"/>
      <c r="L8" s="2368"/>
      <c r="M8" s="2368"/>
      <c r="N8" s="2368"/>
      <c r="O8" s="2368"/>
      <c r="P8" s="2368"/>
      <c r="Q8" s="2368"/>
      <c r="R8" s="2368"/>
    </row>
    <row r="9" spans="1:29" ht="27">
      <c r="A9" s="431"/>
      <c r="B9" s="1798" t="s">
        <v>2106</v>
      </c>
      <c r="C9" s="2374" t="s">
        <v>2107</v>
      </c>
      <c r="D9" s="2371"/>
      <c r="E9" s="2377"/>
      <c r="F9" s="1136"/>
      <c r="G9" s="1136"/>
      <c r="H9" s="2368"/>
      <c r="I9" s="2368"/>
      <c r="J9" s="2368"/>
      <c r="K9" s="2368"/>
      <c r="L9" s="2368"/>
      <c r="M9" s="2368"/>
      <c r="N9" s="2368"/>
      <c r="O9" s="2368"/>
      <c r="P9" s="2368"/>
      <c r="Q9" s="2368"/>
      <c r="R9" s="2368"/>
    </row>
    <row r="10" spans="1:29" s="117" customFormat="1" ht="15.75" thickBot="1">
      <c r="A10" s="2381"/>
      <c r="B10" s="2382" t="s">
        <v>2108</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70" t="s">
        <v>2089</v>
      </c>
      <c r="C15" s="2403" t="str">
        <f>C3</f>
        <v>估价对象周边居住用地比例、居住小区规模和社区发展完善程度，综合评价居住社区成熟度一般</v>
      </c>
      <c r="D15" s="2371"/>
      <c r="E15" s="2404" t="s">
        <v>2113</v>
      </c>
      <c r="F15" s="1270"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72"/>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72"/>
      <c r="D19" s="2371"/>
      <c r="E19" s="2407"/>
      <c r="F19" s="1798"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8" t="s">
        <v>2118</v>
      </c>
      <c r="G20" s="136" t="str">
        <f>G6</f>
        <v>估价对象所在区域基础设施水平</v>
      </c>
    </row>
    <row r="21" spans="1:18" ht="28.5">
      <c r="A21" s="645"/>
      <c r="B21" s="1798" t="s">
        <v>2099</v>
      </c>
      <c r="C21" s="136" t="str">
        <f>C7</f>
        <v>估价对象所在区域公共配套设施齐备情况</v>
      </c>
      <c r="D21" s="2371"/>
      <c r="E21" s="2407"/>
      <c r="F21" s="2408" t="s">
        <v>2119</v>
      </c>
      <c r="G21" s="2409"/>
    </row>
    <row r="22" spans="1:18" ht="13.5" customHeight="1">
      <c r="A22" s="645"/>
      <c r="B22" s="1798" t="s">
        <v>2102</v>
      </c>
      <c r="C22" s="136" t="str">
        <f>C8</f>
        <v>估价对象所在区域基础设施水平</v>
      </c>
      <c r="D22" s="2371"/>
      <c r="E22" s="2407"/>
      <c r="F22" s="2408" t="s">
        <v>2108</v>
      </c>
      <c r="G22" s="1572"/>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117760.1</v>
      </c>
      <c r="C1" s="1745"/>
      <c r="D1" s="1745"/>
      <c r="E1" s="1745"/>
      <c r="F1" s="1745"/>
      <c r="G1" s="1743"/>
    </row>
    <row r="2" spans="1:10" ht="16.5">
      <c r="A2" s="1746" t="s">
        <v>1353</v>
      </c>
      <c r="B2" s="1746">
        <f>SUM(C14:C23)</f>
        <v>31518.76</v>
      </c>
      <c r="C2" s="1745"/>
      <c r="D2" s="1745"/>
      <c r="E2" s="1745"/>
      <c r="F2" s="1745"/>
      <c r="G2" s="1743"/>
    </row>
    <row r="3" spans="1:10" ht="16.5">
      <c r="A3" s="1746" t="s">
        <v>1362</v>
      </c>
      <c r="B3" s="1747">
        <f>项目基本情况!D3</f>
        <v>43462</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70238</v>
      </c>
      <c r="C5" s="1746">
        <f ca="1">ROUND(B5*10000/$B$1,0)</f>
        <v>5964</v>
      </c>
      <c r="D5" s="1746">
        <f ca="1">ROUND(B5*10000/$B$2,0)</f>
        <v>22285</v>
      </c>
      <c r="E5" s="1745"/>
      <c r="F5" s="1743"/>
      <c r="G5" s="1743"/>
    </row>
    <row r="6" spans="1:10" ht="16.5">
      <c r="A6" s="1746" t="s">
        <v>1356</v>
      </c>
      <c r="B6" s="1746">
        <f ca="1">SUM(G14:G23)</f>
        <v>70238</v>
      </c>
      <c r="C6" s="1746">
        <f ca="1">ROUND(B6*10000/$B$1,0)</f>
        <v>5964</v>
      </c>
      <c r="D6" s="1746">
        <f ca="1">ROUND(B6*10000/$B$2,0)</f>
        <v>22285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117760.1</v>
      </c>
      <c r="C14" s="1744">
        <f>结果表!C118</f>
        <v>31518.76</v>
      </c>
      <c r="D14" s="1744">
        <f ca="1">结果表!H118</f>
        <v>70238</v>
      </c>
      <c r="E14" s="1744">
        <f ca="1">ROUND(D14*10000/B14,0)</f>
        <v>5964</v>
      </c>
      <c r="F14" s="1744">
        <f ca="1">ROUND(D14*10000/C14,0)</f>
        <v>22285</v>
      </c>
      <c r="G14" s="1744">
        <f ca="1">结果表!D122</f>
        <v>70238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 zoomScaleNormal="100" zoomScaleSheetLayoutView="100" zoomScalePageLayoutView="80" workbookViewId="0">
      <selection activeCell="H37" sqref="H3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2122</v>
      </c>
      <c r="B1" s="2419"/>
      <c r="C1" s="2420"/>
      <c r="D1" s="2419"/>
      <c r="E1" s="2419"/>
      <c r="F1" s="2421" t="s">
        <v>2123</v>
      </c>
      <c r="G1" s="2070" t="s">
        <v>2124</v>
      </c>
      <c r="H1" s="2422" t="str">
        <f>IF(G1="现房","——","估价对象范围")</f>
        <v>估价对象范围</v>
      </c>
      <c r="I1" s="2423" t="s">
        <v>3081</v>
      </c>
    </row>
    <row r="2" spans="1:12" ht="21.75" customHeight="1" thickBot="1">
      <c r="A2" s="3097" t="str">
        <f>项目基本情况!S2</f>
        <v>山东省青岛市城阳街道大北曲后社区青岛北曲后汇豪置业有限公司出让国有建设用地使用权及在建建筑物房地产</v>
      </c>
      <c r="B2" s="3098"/>
      <c r="C2" s="3098"/>
      <c r="D2" s="3098"/>
      <c r="E2" s="3098"/>
      <c r="F2" s="3098"/>
      <c r="G2" s="3098"/>
      <c r="H2" s="3098"/>
      <c r="I2" s="3099"/>
    </row>
    <row r="3" spans="1:12" ht="12.75">
      <c r="A3" s="3101" t="s">
        <v>2125</v>
      </c>
      <c r="B3" s="3102"/>
      <c r="C3" s="3102"/>
      <c r="D3" s="3102"/>
      <c r="E3" s="3102"/>
      <c r="F3" s="3102"/>
      <c r="G3" s="3102"/>
      <c r="H3" s="3102"/>
      <c r="I3" s="3102"/>
    </row>
    <row r="4" spans="1:12" ht="14.25">
      <c r="A4" s="2426" t="s">
        <v>2126</v>
      </c>
      <c r="B4" s="2427" t="s">
        <v>2127</v>
      </c>
      <c r="C4" s="2428" t="s">
        <v>3079</v>
      </c>
      <c r="D4" s="2428" t="s">
        <v>3080</v>
      </c>
      <c r="E4" s="3094" t="s">
        <v>2128</v>
      </c>
      <c r="F4" s="3095"/>
      <c r="G4" s="3095"/>
      <c r="H4" s="3095"/>
      <c r="I4" s="310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77" t="s">
        <v>2129</v>
      </c>
      <c r="B5" s="3015">
        <v>25</v>
      </c>
      <c r="C5" s="3080"/>
      <c r="D5" s="3100"/>
      <c r="E5" s="140" t="s">
        <v>2130</v>
      </c>
      <c r="F5" s="2430"/>
      <c r="G5" s="2430"/>
      <c r="H5" s="2430"/>
      <c r="I5" s="1834"/>
    </row>
    <row r="6" spans="1:12" ht="12.75">
      <c r="A6" s="3077"/>
      <c r="B6" s="3015"/>
      <c r="C6" s="3081"/>
      <c r="D6" s="3100"/>
      <c r="E6" s="140" t="s">
        <v>2131</v>
      </c>
      <c r="F6" s="2430"/>
      <c r="G6" s="2430"/>
      <c r="H6" s="2430"/>
      <c r="I6" s="1834"/>
    </row>
    <row r="7" spans="1:12" ht="12.75">
      <c r="A7" s="3077"/>
      <c r="B7" s="3015"/>
      <c r="C7" s="3082"/>
      <c r="D7" s="3100"/>
      <c r="E7" s="140" t="s">
        <v>2132</v>
      </c>
      <c r="F7" s="2430"/>
      <c r="G7" s="2430"/>
      <c r="H7" s="2430"/>
      <c r="I7" s="1834"/>
    </row>
    <row r="8" spans="1:12" ht="12.75">
      <c r="A8" s="3077" t="s">
        <v>2133</v>
      </c>
      <c r="B8" s="3015">
        <v>15</v>
      </c>
      <c r="C8" s="3080"/>
      <c r="D8" s="3100"/>
      <c r="E8" s="140" t="s">
        <v>2134</v>
      </c>
      <c r="F8" s="2430"/>
      <c r="G8" s="2430"/>
      <c r="H8" s="2430"/>
      <c r="I8" s="1834"/>
    </row>
    <row r="9" spans="1:12" ht="12.75">
      <c r="A9" s="3077"/>
      <c r="B9" s="3015"/>
      <c r="C9" s="3082"/>
      <c r="D9" s="3100"/>
      <c r="E9" s="140" t="s">
        <v>2135</v>
      </c>
      <c r="F9" s="2430"/>
      <c r="G9" s="2430"/>
      <c r="H9" s="2430"/>
      <c r="I9" s="1834"/>
    </row>
    <row r="10" spans="1:12" ht="12.75">
      <c r="A10" s="3077" t="s">
        <v>2136</v>
      </c>
      <c r="B10" s="3015">
        <v>15</v>
      </c>
      <c r="C10" s="3080"/>
      <c r="D10" s="3100"/>
      <c r="E10" s="140" t="s">
        <v>2137</v>
      </c>
      <c r="F10" s="2430"/>
      <c r="G10" s="2430"/>
      <c r="H10" s="2430"/>
      <c r="I10" s="1834"/>
    </row>
    <row r="11" spans="1:12" ht="12.75">
      <c r="A11" s="3077"/>
      <c r="B11" s="3015"/>
      <c r="C11" s="3082"/>
      <c r="D11" s="3100"/>
      <c r="E11" s="140" t="s">
        <v>2138</v>
      </c>
      <c r="F11" s="2430"/>
      <c r="G11" s="2430"/>
      <c r="H11" s="2430"/>
      <c r="I11" s="1834"/>
    </row>
    <row r="12" spans="1:12" ht="12.75">
      <c r="A12" s="3077" t="s">
        <v>2139</v>
      </c>
      <c r="B12" s="3015">
        <v>15</v>
      </c>
      <c r="C12" s="3080"/>
      <c r="D12" s="3100"/>
      <c r="E12" s="140" t="s">
        <v>2140</v>
      </c>
      <c r="F12" s="2430"/>
      <c r="G12" s="2430"/>
      <c r="H12" s="2430"/>
      <c r="I12" s="1834"/>
    </row>
    <row r="13" spans="1:12" ht="12.75">
      <c r="A13" s="3077"/>
      <c r="B13" s="3015"/>
      <c r="C13" s="3082"/>
      <c r="D13" s="3100"/>
      <c r="E13" s="140" t="s">
        <v>2141</v>
      </c>
      <c r="F13" s="2430"/>
      <c r="G13" s="2430"/>
      <c r="H13" s="2430"/>
      <c r="I13" s="1834"/>
    </row>
    <row r="14" spans="1:12" ht="12.75">
      <c r="A14" s="3077" t="s">
        <v>2142</v>
      </c>
      <c r="B14" s="3015">
        <v>30</v>
      </c>
      <c r="C14" s="3080">
        <v>45</v>
      </c>
      <c r="D14" s="3100">
        <v>55</v>
      </c>
      <c r="E14" s="140" t="s">
        <v>2143</v>
      </c>
      <c r="F14" s="2430"/>
      <c r="G14" s="2430"/>
      <c r="H14" s="2430"/>
      <c r="I14" s="1834"/>
    </row>
    <row r="15" spans="1:12" ht="12.75">
      <c r="A15" s="3077"/>
      <c r="B15" s="3015"/>
      <c r="C15" s="3081"/>
      <c r="D15" s="3100"/>
      <c r="E15" s="140" t="s">
        <v>2144</v>
      </c>
      <c r="F15" s="2430"/>
      <c r="G15" s="2430"/>
      <c r="H15" s="2430"/>
      <c r="I15" s="1834"/>
    </row>
    <row r="16" spans="1:12" ht="12.75">
      <c r="A16" s="3077"/>
      <c r="B16" s="3015"/>
      <c r="C16" s="3082"/>
      <c r="D16" s="3100"/>
      <c r="E16" s="140" t="s">
        <v>2145</v>
      </c>
      <c r="F16" s="2430"/>
      <c r="G16" s="2430"/>
      <c r="H16" s="2430"/>
      <c r="I16" s="1834"/>
    </row>
    <row r="17" spans="1:35" ht="15">
      <c r="A17" s="2431" t="s">
        <v>2146</v>
      </c>
      <c r="B17" s="64"/>
      <c r="C17" s="141">
        <f>SUM(C5:C16)</f>
        <v>45</v>
      </c>
      <c r="D17" s="141">
        <f>SUM(D5:D16)</f>
        <v>55</v>
      </c>
      <c r="E17" s="138"/>
      <c r="F17" s="138"/>
      <c r="G17" s="138"/>
      <c r="H17" s="138"/>
      <c r="I17" s="138"/>
      <c r="K17" s="2429"/>
      <c r="L17" s="2432" t="s">
        <v>2147</v>
      </c>
      <c r="M17" s="2432" t="s">
        <v>2148</v>
      </c>
    </row>
    <row r="18" spans="1:35" ht="15.75" thickBot="1">
      <c r="A18" s="2433" t="s">
        <v>2149</v>
      </c>
      <c r="B18" s="2434"/>
      <c r="C18" s="142">
        <f>ROUND(C17/SUM(C17:D17),2)</f>
        <v>0.45</v>
      </c>
      <c r="D18" s="142">
        <f>1-C18</f>
        <v>0.55000000000000004</v>
      </c>
      <c r="E18" s="138"/>
      <c r="F18" s="138"/>
      <c r="G18" s="138"/>
      <c r="H18" s="138"/>
      <c r="I18" s="138"/>
      <c r="K18" s="2429" t="s">
        <v>2150</v>
      </c>
      <c r="L18" s="2429">
        <f>IF(C1="",'数据-汇总表'!E3,SUMIF(项目类型,C1,'数据-汇总表'!E17:E26)+SUMIF(项目类型,C1,'数据-汇总表'!I17:I26))</f>
        <v>117760.1</v>
      </c>
      <c r="M18" s="2429">
        <f>IF(C1="",'数据-汇总表'!E3,SUMIF(项目类型,C1,'数据-汇总表'!E17:E26))</f>
        <v>117760.1</v>
      </c>
    </row>
    <row r="19" spans="1:35" ht="15">
      <c r="A19" s="2435" t="s">
        <v>2151</v>
      </c>
      <c r="B19" s="2436" t="s">
        <v>2152</v>
      </c>
      <c r="C19" s="143">
        <f ca="1">SUMIF(INDIRECT("'"&amp;C4&amp;"'"&amp;"!A:A"),结果表!B19,INDIRECT("'"&amp;C4&amp;"'"&amp;"!B:B"))</f>
        <v>59958</v>
      </c>
      <c r="D19" s="144">
        <f ca="1">SUMIF(INDIRECT("'"&amp;D4&amp;"'"&amp;"!A:A"),结果表!B19,INDIRECT("'"&amp;D4&amp;"'"&amp;"!B:B"))</f>
        <v>78649</v>
      </c>
      <c r="E19" s="2435" t="s">
        <v>2153</v>
      </c>
      <c r="F19" s="2436" t="s">
        <v>2152</v>
      </c>
      <c r="G19" s="145">
        <f ca="1">ROUND(C19*$C$18+D19*$D$18,0)</f>
        <v>70238</v>
      </c>
      <c r="H19" s="2437" t="s">
        <v>2154</v>
      </c>
      <c r="I19" s="138"/>
      <c r="K19" s="2429" t="s">
        <v>2155</v>
      </c>
      <c r="L19" s="2429">
        <f>IF(C1="",'数据-汇总表'!D3,SUMIF(项目类型,C1,'数据-汇总表'!D17:D26)+SUMIF(项目类型,C1,'数据-汇总表'!H17:H27))</f>
        <v>31518.76</v>
      </c>
      <c r="M19" s="2429">
        <f>IF(C1="",'数据-汇总表'!D3,SUMIF(项目类型,C1,'数据-汇总表'!D17:D26))</f>
        <v>31518.76</v>
      </c>
    </row>
    <row r="20" spans="1:35" ht="15">
      <c r="A20" s="2438"/>
      <c r="B20" s="1250" t="s">
        <v>2156</v>
      </c>
      <c r="C20" s="146">
        <f ca="1">SUMIF(INDIRECT("'"&amp;C4&amp;"'"&amp;"!A:A"),结果表!B20,INDIRECT("'"&amp;C4&amp;"'"&amp;"!B:B"))</f>
        <v>5092</v>
      </c>
      <c r="D20" s="147">
        <f ca="1">SUMIF(INDIRECT("'"&amp;D4&amp;"'"&amp;"!A:A"),结果表!B20,INDIRECT("'"&amp;D4&amp;"'"&amp;"!B:B"))</f>
        <v>6679</v>
      </c>
      <c r="E20" s="2438"/>
      <c r="F20" s="1250" t="s">
        <v>2156</v>
      </c>
      <c r="G20" s="148">
        <f ca="1">ROUND(C20*$C$18+D20*$D$18,0)</f>
        <v>5965</v>
      </c>
      <c r="H20" s="983" t="s">
        <v>2157</v>
      </c>
      <c r="I20" s="138"/>
    </row>
    <row r="21" spans="1:35" ht="15" customHeight="1" thickBot="1">
      <c r="A21" s="1003"/>
      <c r="B21" s="2439" t="s">
        <v>2158</v>
      </c>
      <c r="C21" s="789">
        <f ca="1">ROUND(C19*10000/L19,0)</f>
        <v>19023</v>
      </c>
      <c r="D21" s="790">
        <f ca="1">ROUND(D19*10000/L19,0)</f>
        <v>24953</v>
      </c>
      <c r="E21" s="1003"/>
      <c r="F21" s="2439" t="s">
        <v>2158</v>
      </c>
      <c r="G21" s="149">
        <f ca="1">ROUND(G19*10000/L19,0)</f>
        <v>22285</v>
      </c>
      <c r="H21" s="2440" t="s">
        <v>2157</v>
      </c>
      <c r="I21" s="138"/>
    </row>
    <row r="22" spans="1:35" ht="15" thickBot="1">
      <c r="A22" s="2281" t="s">
        <v>2159</v>
      </c>
      <c r="B22" s="2441"/>
      <c r="C22" s="2442"/>
      <c r="D22" s="791">
        <f ca="1">IF(C19&lt;D19,D19/C19-1,C19/D19-1)</f>
        <v>0.31173488108342506</v>
      </c>
      <c r="E22" s="138"/>
      <c r="F22" s="138"/>
      <c r="G22" s="138"/>
      <c r="H22" s="138"/>
      <c r="I22" s="138"/>
    </row>
    <row r="23" spans="1:35" ht="13.5" thickBot="1">
      <c r="A23" s="2419"/>
      <c r="B23" s="2419"/>
      <c r="C23" s="2419"/>
      <c r="D23" s="2419"/>
      <c r="E23" s="138"/>
      <c r="F23" s="138"/>
      <c r="G23" s="138"/>
      <c r="H23" s="138"/>
      <c r="I23" s="138"/>
    </row>
    <row r="24" spans="1:35" ht="14.25">
      <c r="A24" s="3071" t="s">
        <v>2160</v>
      </c>
      <c r="B24" s="2436" t="s">
        <v>2152</v>
      </c>
      <c r="C24" s="145">
        <f>IF(B30=0,0,D30)</f>
        <v>0</v>
      </c>
      <c r="D24" s="2443"/>
      <c r="E24" s="138"/>
      <c r="F24" s="138"/>
      <c r="G24" s="138"/>
      <c r="H24" s="138"/>
      <c r="I24" s="138"/>
    </row>
    <row r="25" spans="1:35" ht="14.25">
      <c r="A25" s="3072"/>
      <c r="B25" s="1250"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 ca="1">G19/'数据-汇总表'!F31*10000</f>
        <v>8967.2438600590085</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70238</v>
      </c>
      <c r="D32" s="2450" t="s">
        <v>2167</v>
      </c>
      <c r="E32" s="138"/>
      <c r="F32" s="138"/>
      <c r="G32" s="138"/>
      <c r="H32" s="138"/>
      <c r="I32" s="138"/>
    </row>
    <row r="33" spans="1:15" ht="15">
      <c r="A33" s="960" t="s">
        <v>2168</v>
      </c>
      <c r="B33" s="2451"/>
      <c r="C33" s="2452" t="s">
        <v>3091</v>
      </c>
      <c r="D33" s="2453" t="s">
        <v>3079</v>
      </c>
      <c r="E33" s="2454" t="s">
        <v>2169</v>
      </c>
      <c r="F33" s="2455" t="str">
        <f>IF(D32="楼面单价","取值（单价）","取值（总价）")</f>
        <v>取值（总价）</v>
      </c>
      <c r="G33" s="138"/>
      <c r="H33" s="138"/>
      <c r="I33" s="138"/>
    </row>
    <row r="34" spans="1:15" ht="15">
      <c r="A34" s="2456"/>
      <c r="B34" s="2457" t="s">
        <v>2170</v>
      </c>
      <c r="C34" s="157">
        <f ca="1">IF(C33="自定义",F34,C32-C35)</f>
        <v>34698</v>
      </c>
      <c r="D34" s="1058">
        <f ca="1">IF(C33="自定义",ROUND(C34/C32,3),IF(C33="收益比率",SUMIF(INDIRECT("'"&amp;D33&amp;"'"&amp;"!b:b"),"土地收益比率",INDIRECT("'"&amp;D33&amp;"'"&amp;"!c:c")),SUMIF(INDIRECT("'"&amp;D33&amp;"'"&amp;"!b:b"),"土地成本比率",INDIRECT("'"&amp;D33&amp;"'"&amp;"!c:c"))))</f>
        <v>0.49399999999999999</v>
      </c>
      <c r="E34" s="2458" t="s">
        <v>2171</v>
      </c>
      <c r="F34" s="1739"/>
      <c r="G34" s="138"/>
      <c r="H34" s="138"/>
      <c r="I34" s="138"/>
    </row>
    <row r="35" spans="1:15" ht="15.75" thickBot="1">
      <c r="A35" s="2459"/>
      <c r="B35" s="2460" t="s">
        <v>2172</v>
      </c>
      <c r="C35" s="1444">
        <f ca="1">IF(C33="自定义",F35,ROUND(C32*D35,0))</f>
        <v>35540</v>
      </c>
      <c r="D35" s="1445">
        <f ca="1">IF(C33="自定义",ROUND(C35/C32,3),IF(C33="收益比率",SUMIF(INDIRECT("'"&amp;D33&amp;"'"&amp;"!b:b"),"建筑物收益比率",INDIRECT("'"&amp;D33&amp;"'"&amp;"!c:c")),SUMIF(INDIRECT("'"&amp;D33&amp;"'"&amp;"!b:b"),"建筑物成本比率",INDIRECT("'"&amp;D33&amp;"'"&amp;"!c:c"))))</f>
        <v>0.50600000000000001</v>
      </c>
      <c r="E35" s="2461" t="s">
        <v>2173</v>
      </c>
      <c r="F35" s="163"/>
      <c r="G35" s="138"/>
      <c r="H35" s="138"/>
      <c r="I35" s="138"/>
    </row>
    <row r="36" spans="1:15" ht="15.75" thickBot="1">
      <c r="A36" s="3089" t="s">
        <v>2174</v>
      </c>
      <c r="B36" s="2462" t="s">
        <v>2175</v>
      </c>
      <c r="C36" s="154"/>
      <c r="D36" s="2463"/>
      <c r="E36" s="2464"/>
      <c r="F36" s="2465"/>
      <c r="G36" s="138"/>
      <c r="H36" s="138"/>
      <c r="I36" s="138"/>
    </row>
    <row r="37" spans="1:15" ht="15.75" thickBot="1">
      <c r="A37" s="3090"/>
      <c r="B37" s="2267" t="s">
        <v>2176</v>
      </c>
      <c r="C37" s="156"/>
      <c r="D37" s="1395"/>
      <c r="E37" s="1395"/>
      <c r="F37" s="2465"/>
      <c r="G37" s="138"/>
      <c r="H37" s="138"/>
      <c r="I37" s="138"/>
    </row>
    <row r="38" spans="1:15" ht="15.75" thickBot="1">
      <c r="A38" s="3091"/>
      <c r="B38" s="2466" t="s">
        <v>2177</v>
      </c>
      <c r="C38" s="727"/>
      <c r="D38" s="2467" t="s">
        <v>2178</v>
      </c>
      <c r="E38" s="1395"/>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068" t="s">
        <v>2188</v>
      </c>
      <c r="B45" s="3069"/>
      <c r="C45" s="3070"/>
      <c r="D45" s="164">
        <f ca="1">ROUND(H101*F45,0)</f>
        <v>70238</v>
      </c>
      <c r="E45" s="165" t="s">
        <v>2189</v>
      </c>
      <c r="F45" s="166">
        <v>1</v>
      </c>
      <c r="G45" s="167" t="s">
        <v>2190</v>
      </c>
      <c r="H45" s="138"/>
      <c r="I45" s="138"/>
      <c r="J45" s="3128" t="s">
        <v>2191</v>
      </c>
      <c r="K45" s="3128"/>
      <c r="L45" s="3128"/>
      <c r="M45" s="3128"/>
      <c r="N45" s="3128"/>
      <c r="O45" s="3128"/>
    </row>
    <row r="46" spans="1:15" ht="14.25" customHeight="1">
      <c r="A46" s="3065" t="s">
        <v>2192</v>
      </c>
      <c r="B46" s="3066"/>
      <c r="C46" s="3066"/>
      <c r="D46" s="3066"/>
      <c r="E46" s="3066"/>
      <c r="F46" s="3066"/>
      <c r="G46" s="3067"/>
      <c r="H46" s="2481"/>
      <c r="I46" s="168"/>
      <c r="J46" s="1812">
        <v>1</v>
      </c>
      <c r="K46" s="3128" t="s">
        <v>2193</v>
      </c>
      <c r="L46" s="3128"/>
      <c r="M46" s="3148"/>
      <c r="N46" s="3148"/>
      <c r="O46" s="3148"/>
    </row>
    <row r="47" spans="1:15" ht="12" customHeight="1">
      <c r="A47" s="169" t="s">
        <v>2194</v>
      </c>
      <c r="B47" s="170"/>
      <c r="C47" s="171"/>
      <c r="D47" s="172" t="s">
        <v>2195</v>
      </c>
      <c r="E47" s="24" t="s">
        <v>2196</v>
      </c>
      <c r="F47" s="173" t="s">
        <v>2197</v>
      </c>
      <c r="G47" s="174" t="s">
        <v>2198</v>
      </c>
      <c r="H47" s="2481"/>
      <c r="I47" s="168"/>
      <c r="J47" s="1812">
        <v>2</v>
      </c>
      <c r="K47" s="3128" t="s">
        <v>2199</v>
      </c>
      <c r="L47" s="3128"/>
      <c r="M47" s="3149">
        <f>'数据-取费表'!B2</f>
        <v>43462</v>
      </c>
      <c r="N47" s="3149"/>
      <c r="O47" s="3149"/>
    </row>
    <row r="48" spans="1:15" ht="25.5">
      <c r="A48" s="3096" t="s">
        <v>2200</v>
      </c>
      <c r="B48" s="3079"/>
      <c r="C48" s="3079"/>
      <c r="D48" s="140">
        <f>IF(H48="情况1",0,IF(H48="情况2",D52,IF(H48="情况3",D53,IF(H48="情况4",D54))))</f>
        <v>0</v>
      </c>
      <c r="E48" s="1801" t="str">
        <f>IF(H48="情况4","(销售额-原购置价)×税（费）率","销售额×税（费）率")</f>
        <v>销售额×税（费）率</v>
      </c>
      <c r="F48" s="175" t="str">
        <f>IF(H48="情况1","免征",'数据-取费表'!B41)</f>
        <v>免征</v>
      </c>
      <c r="G48" s="2482" t="s">
        <v>2201</v>
      </c>
      <c r="H48" s="2483" t="s">
        <v>2202</v>
      </c>
      <c r="I48" s="2481"/>
      <c r="J48" s="1812">
        <v>3</v>
      </c>
      <c r="K48" s="3128" t="s">
        <v>2203</v>
      </c>
      <c r="L48" s="3128"/>
      <c r="M48" s="3150">
        <f ca="1">H101</f>
        <v>70238</v>
      </c>
      <c r="N48" s="3150"/>
      <c r="O48" s="3150"/>
    </row>
    <row r="49" spans="1:35" ht="25.5" customHeight="1">
      <c r="A49" s="176" t="s">
        <v>2204</v>
      </c>
      <c r="B49" s="3064" t="s">
        <v>2205</v>
      </c>
      <c r="C49" s="3064"/>
      <c r="D49" s="177">
        <v>0</v>
      </c>
      <c r="E49" s="23" t="s">
        <v>2206</v>
      </c>
      <c r="F49" s="28" t="s">
        <v>34</v>
      </c>
      <c r="G49" s="3134"/>
      <c r="H49" s="138"/>
      <c r="I49" s="2484"/>
      <c r="J49" s="1812">
        <v>4</v>
      </c>
      <c r="K49" s="3128" t="str">
        <f>IF(项目基本情况!E8="房地产抵押价值","房地产抵押价值","抵押担保权已注销时的房地产抵押价值")</f>
        <v>房地产抵押价值</v>
      </c>
      <c r="L49" s="3128"/>
      <c r="M49" s="3150">
        <f ca="1">IF(项目基本情况!E8="房地产抵押价值",H107,H109)</f>
        <v>70238</v>
      </c>
      <c r="N49" s="3150"/>
      <c r="O49" s="3150"/>
    </row>
    <row r="50" spans="1:35" ht="25.5" customHeight="1">
      <c r="A50" s="178"/>
      <c r="B50" s="3064" t="s">
        <v>2207</v>
      </c>
      <c r="C50" s="3064"/>
      <c r="D50" s="179"/>
      <c r="E50" s="31"/>
      <c r="F50" s="180"/>
      <c r="G50" s="3135"/>
      <c r="H50" s="138"/>
      <c r="I50" s="2484"/>
      <c r="J50" s="3128" t="s">
        <v>2208</v>
      </c>
      <c r="K50" s="3128"/>
      <c r="L50" s="3128"/>
      <c r="M50" s="3128"/>
      <c r="N50" s="3128"/>
      <c r="O50" s="3128"/>
    </row>
    <row r="51" spans="1:35" ht="12" customHeight="1">
      <c r="A51" s="181"/>
      <c r="B51" s="3064" t="s">
        <v>2209</v>
      </c>
      <c r="C51" s="3064"/>
      <c r="D51" s="182"/>
      <c r="E51" s="30"/>
      <c r="F51" s="180"/>
      <c r="G51" s="3136"/>
      <c r="H51" s="138"/>
      <c r="I51" s="2484"/>
      <c r="J51" s="2485" t="s">
        <v>2210</v>
      </c>
      <c r="K51" s="3128" t="s">
        <v>2211</v>
      </c>
      <c r="L51" s="3128"/>
      <c r="M51" s="2485" t="s">
        <v>2212</v>
      </c>
      <c r="N51" s="2485" t="s">
        <v>2213</v>
      </c>
      <c r="O51" s="2485" t="s">
        <v>2214</v>
      </c>
    </row>
    <row r="52" spans="1:35" ht="24" customHeight="1">
      <c r="A52" s="183" t="s">
        <v>2215</v>
      </c>
      <c r="B52" s="3064" t="s">
        <v>2216</v>
      </c>
      <c r="C52" s="3064"/>
      <c r="D52" s="182">
        <f ca="1">ROUND(D45*'数据-取费表'!B41/(1+'数据-取费表'!C42),0)</f>
        <v>3746</v>
      </c>
      <c r="E52" s="11" t="s">
        <v>2217</v>
      </c>
      <c r="F52" s="184">
        <f>'数据-取费表'!B41</f>
        <v>5.6000000000000001E-2</v>
      </c>
      <c r="G52" s="2486"/>
      <c r="H52" s="138"/>
      <c r="I52" s="2484"/>
      <c r="J52" s="1812">
        <v>1</v>
      </c>
      <c r="K52" s="3129" t="s">
        <v>2218</v>
      </c>
      <c r="L52" s="3129"/>
      <c r="M52" s="1754">
        <f>D48</f>
        <v>0</v>
      </c>
      <c r="N52" s="1812" t="str">
        <f>E48</f>
        <v>销售额×税（费）率</v>
      </c>
      <c r="O52" s="1755" t="str">
        <f>F48</f>
        <v>免征</v>
      </c>
    </row>
    <row r="53" spans="1:35" ht="12" customHeight="1">
      <c r="A53" s="183" t="s">
        <v>2219</v>
      </c>
      <c r="B53" s="3087" t="s">
        <v>2220</v>
      </c>
      <c r="C53" s="3088"/>
      <c r="D53" s="182">
        <f ca="1">ROUND(D45*'数据-取费表'!B41/(1+'数据-取费表'!C42),0)</f>
        <v>3746</v>
      </c>
      <c r="E53" s="11" t="s">
        <v>2217</v>
      </c>
      <c r="F53" s="184">
        <f>'数据-取费表'!B41</f>
        <v>5.6000000000000001E-2</v>
      </c>
      <c r="G53" s="2486"/>
      <c r="H53" s="138"/>
      <c r="I53" s="2484"/>
      <c r="J53" s="1812">
        <v>2</v>
      </c>
      <c r="K53" s="3129" t="s">
        <v>2221</v>
      </c>
      <c r="L53" s="3129"/>
      <c r="M53" s="1754">
        <f t="shared" ref="M53:O54" ca="1" si="0">D55</f>
        <v>35</v>
      </c>
      <c r="N53" s="1812" t="str">
        <f t="shared" si="0"/>
        <v>销售额×税（费）率</v>
      </c>
      <c r="O53" s="1755">
        <f t="shared" si="0"/>
        <v>5.0000000000000001E-4</v>
      </c>
    </row>
    <row r="54" spans="1:35" ht="12" customHeight="1">
      <c r="A54" s="183" t="s">
        <v>2222</v>
      </c>
      <c r="B54" s="3087" t="s">
        <v>2223</v>
      </c>
      <c r="C54" s="3088"/>
      <c r="D54" s="182">
        <f ca="1">C68</f>
        <v>3746</v>
      </c>
      <c r="E54" s="30" t="s">
        <v>2224</v>
      </c>
      <c r="F54" s="184">
        <f>'数据-取费表'!B41</f>
        <v>5.6000000000000001E-2</v>
      </c>
      <c r="G54" s="2486"/>
      <c r="H54" s="2487"/>
      <c r="I54" s="2484"/>
      <c r="J54" s="1812">
        <v>3</v>
      </c>
      <c r="K54" s="3129" t="s">
        <v>2225</v>
      </c>
      <c r="L54" s="3129"/>
      <c r="M54" s="1754">
        <f t="shared" ca="1" si="0"/>
        <v>39755</v>
      </c>
      <c r="N54" s="1812" t="str">
        <f t="shared" si="0"/>
        <v>增值额×税（费）率</v>
      </c>
      <c r="O54" s="1756" t="str">
        <f t="shared" si="0"/>
        <v>——</v>
      </c>
    </row>
    <row r="55" spans="1:35" ht="24" customHeight="1">
      <c r="A55" s="3078" t="s">
        <v>2226</v>
      </c>
      <c r="B55" s="3079"/>
      <c r="C55" s="3079"/>
      <c r="D55" s="185">
        <f ca="1">IF(H55="个人住宅",0,ROUND(D45*I55,0))</f>
        <v>35</v>
      </c>
      <c r="E55" s="11" t="s">
        <v>2227</v>
      </c>
      <c r="F55" s="184">
        <f>IF(H55="正常",I55,"免征")</f>
        <v>5.0000000000000001E-4</v>
      </c>
      <c r="G55" s="2486"/>
      <c r="H55" s="2483" t="s">
        <v>2228</v>
      </c>
      <c r="I55" s="186">
        <f>'数据-取费表'!B49</f>
        <v>5.0000000000000001E-4</v>
      </c>
      <c r="J55" s="1812" t="str">
        <f>IF(H59="非个人房产","",4)</f>
        <v/>
      </c>
      <c r="K55" s="3129" t="str">
        <f>IF(H59="非个人房产","——","个人所得税")</f>
        <v>——</v>
      </c>
      <c r="L55" s="3129"/>
      <c r="M55" s="1757" t="str">
        <f>D59</f>
        <v>——</v>
      </c>
      <c r="N55" s="1810" t="str">
        <f>E59</f>
        <v>——</v>
      </c>
      <c r="O55" s="1758" t="str">
        <f>F59</f>
        <v>——</v>
      </c>
    </row>
    <row r="56" spans="1:35" ht="24.75">
      <c r="A56" s="3078" t="s">
        <v>2229</v>
      </c>
      <c r="B56" s="3079"/>
      <c r="C56" s="3079"/>
      <c r="D56" s="185">
        <f ca="1">IF(H56="个人住宅",D57,D58)</f>
        <v>39755</v>
      </c>
      <c r="E56" s="11" t="s">
        <v>2230</v>
      </c>
      <c r="F56" s="184" t="str">
        <f>IF(H56="正常",F58,"免征")</f>
        <v>——</v>
      </c>
      <c r="G56" s="2488" t="s">
        <v>2231</v>
      </c>
      <c r="H56" s="2489" t="s">
        <v>2228</v>
      </c>
      <c r="I56" s="2490"/>
      <c r="J56" s="1812" t="str">
        <f>IF(项目基本情况!K6="上海银行",IF(J55="",4,J55+1),"")</f>
        <v/>
      </c>
      <c r="K56" s="3152" t="str">
        <f>IF(项目基本情况!K6="上海银行","其他处置费用","")</f>
        <v/>
      </c>
      <c r="L56" s="3153"/>
      <c r="M56" s="1754" t="str">
        <f>IF(项目基本情况!K6="上海银行",M69,"")</f>
        <v/>
      </c>
      <c r="N56" s="3155" t="str">
        <f>IF(项目基本情况!K6="上海银行","包含处置中涉及的律师、诉讼、拍卖、评估等费用","")</f>
        <v/>
      </c>
      <c r="O56" s="3156"/>
    </row>
    <row r="57" spans="1:35" ht="12.75">
      <c r="A57" s="183" t="s">
        <v>2204</v>
      </c>
      <c r="B57" s="3094" t="s">
        <v>2232</v>
      </c>
      <c r="C57" s="3103"/>
      <c r="D57" s="187">
        <v>0</v>
      </c>
      <c r="E57" s="23" t="s">
        <v>2206</v>
      </c>
      <c r="F57" s="155"/>
      <c r="G57" s="2486"/>
      <c r="H57" s="2490"/>
      <c r="I57" s="2490"/>
      <c r="J57" s="3129">
        <f>IF(AND(J55="",J56=""),4,IF(项目基本情况!K6="上海银行",结果表!J56+1,结果表!J55+1))</f>
        <v>4</v>
      </c>
      <c r="K57" s="3129" t="s">
        <v>2233</v>
      </c>
      <c r="L57" s="2491" t="s">
        <v>2234</v>
      </c>
      <c r="M57" s="1759"/>
      <c r="N57" s="1760">
        <f ca="1">SUMIF(M52:M56,"&lt;9e307")</f>
        <v>39790</v>
      </c>
      <c r="O57" s="2492"/>
      <c r="P57" s="1753">
        <f ca="1">N57/M49</f>
        <v>0.56650246305418717</v>
      </c>
    </row>
    <row r="58" spans="1:35" ht="24.75">
      <c r="A58" s="183" t="s">
        <v>2215</v>
      </c>
      <c r="B58" s="3094" t="s">
        <v>2235</v>
      </c>
      <c r="C58" s="3095"/>
      <c r="D58" s="185">
        <f ca="1">IF(H58="转让取得",C81,C97)</f>
        <v>39755</v>
      </c>
      <c r="E58" s="11" t="s">
        <v>2230</v>
      </c>
      <c r="F58" s="24" t="s">
        <v>34</v>
      </c>
      <c r="G58" s="2486"/>
      <c r="H58" s="2489" t="s">
        <v>2236</v>
      </c>
      <c r="I58" s="2490"/>
      <c r="J58" s="3129"/>
      <c r="K58" s="3129"/>
      <c r="L58" s="2491" t="s">
        <v>2237</v>
      </c>
      <c r="M58" s="1761"/>
      <c r="N58" s="2493" t="str">
        <f ca="1">NUMBERSTRING(INT(N57*10000),2)&amp;"元整"</f>
        <v>叁亿玖仟柒佰玖拾万元整</v>
      </c>
      <c r="O58" s="2494"/>
    </row>
    <row r="59" spans="1:35" ht="24.75" thickBot="1">
      <c r="A59" s="3132" t="s">
        <v>2238</v>
      </c>
      <c r="B59" s="3133"/>
      <c r="C59" s="3133"/>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30">
        <f>J57+1</f>
        <v>5</v>
      </c>
      <c r="K59" s="3129" t="s">
        <v>2240</v>
      </c>
      <c r="L59" s="1812" t="s">
        <v>2234</v>
      </c>
      <c r="M59" s="1762"/>
      <c r="N59" s="1763">
        <f ca="1">M49-N57</f>
        <v>30448</v>
      </c>
      <c r="O59" s="2496"/>
    </row>
    <row r="60" spans="1:35" ht="12" customHeight="1">
      <c r="A60" s="2497"/>
      <c r="B60" s="2419"/>
      <c r="C60" s="2419"/>
      <c r="D60" s="2419"/>
      <c r="E60" s="2166"/>
      <c r="F60" s="2490"/>
      <c r="G60" s="2490"/>
      <c r="H60" s="2498"/>
      <c r="I60" s="138"/>
      <c r="J60" s="3131"/>
      <c r="K60" s="3129"/>
      <c r="L60" s="2491" t="s">
        <v>2237</v>
      </c>
      <c r="M60" s="1761"/>
      <c r="N60" s="2493" t="str">
        <f ca="1">NUMBERSTRING(INT(N59*10000),2)&amp;"元整"</f>
        <v>叁亿零肆佰肆拾捌万元整</v>
      </c>
      <c r="O60" s="2494"/>
    </row>
    <row r="61" spans="1:35" ht="13.5" thickBot="1">
      <c r="A61" s="3076" t="s">
        <v>2241</v>
      </c>
      <c r="B61" s="3076"/>
      <c r="C61" s="3076"/>
      <c r="D61" s="3076"/>
      <c r="E61" s="3076"/>
      <c r="F61" s="2490"/>
      <c r="G61" s="2490"/>
      <c r="H61" s="2498"/>
      <c r="I61" s="138"/>
      <c r="J61" s="1812">
        <f>J59+1</f>
        <v>6</v>
      </c>
      <c r="K61" s="3129" t="s">
        <v>2242</v>
      </c>
      <c r="L61" s="3129"/>
      <c r="M61" s="1764"/>
      <c r="N61" s="1765">
        <f ca="1">ROUND(N59*10000/'数据-汇总表'!E3,0)</f>
        <v>2586</v>
      </c>
      <c r="O61" s="2499"/>
    </row>
    <row r="62" spans="1:35" ht="12.75">
      <c r="A62" s="3092" t="s">
        <v>2243</v>
      </c>
      <c r="B62" s="3093"/>
      <c r="C62" s="1804"/>
      <c r="D62" s="1804" t="s">
        <v>2244</v>
      </c>
      <c r="E62" s="192" t="s">
        <v>2245</v>
      </c>
      <c r="F62" s="2490"/>
      <c r="G62" s="2490"/>
      <c r="H62" s="2498"/>
      <c r="I62" s="138"/>
    </row>
    <row r="63" spans="1:35" ht="12.75">
      <c r="A63" s="203" t="s">
        <v>775</v>
      </c>
      <c r="B63" s="193" t="s">
        <v>2246</v>
      </c>
      <c r="C63" s="194">
        <f ca="1">ROUND((C64+C65)/(1+'数据-取费表'!C42),0)</f>
        <v>66893</v>
      </c>
      <c r="D63" s="195"/>
      <c r="E63" s="196"/>
      <c r="F63" s="2490"/>
      <c r="G63" s="2490"/>
      <c r="H63" s="2498"/>
      <c r="I63" s="138"/>
      <c r="J63" s="3154" t="s">
        <v>2247</v>
      </c>
      <c r="K63" s="2500" t="s">
        <v>2248</v>
      </c>
      <c r="L63" s="1752">
        <f ca="1">IF(M49&gt;10000,M49*0.5%,IF(AND(M49&gt;1000,M49&lt;=10000),M49*1%,IF(AND(M49&gt;100,M49&lt;=1000),M49*3%,IF(AND(M49&gt;10,M49&lt;=100),M49*5%,M49*8%))))</f>
        <v>351.19</v>
      </c>
      <c r="M63" s="24">
        <f ca="1">ROUND(L63,1)</f>
        <v>351.2</v>
      </c>
      <c r="Z63" s="2424"/>
      <c r="AI63" s="2425"/>
    </row>
    <row r="64" spans="1:35" ht="14.25" customHeight="1">
      <c r="A64" s="197" t="s">
        <v>770</v>
      </c>
      <c r="B64" s="198" t="s">
        <v>2249</v>
      </c>
      <c r="C64" s="199">
        <f ca="1">D45</f>
        <v>70238</v>
      </c>
      <c r="D64" s="200" t="s">
        <v>32</v>
      </c>
      <c r="E64" s="201"/>
      <c r="F64" s="2490"/>
      <c r="G64" s="2490"/>
      <c r="H64" s="2498"/>
      <c r="I64" s="138"/>
      <c r="J64" s="3154"/>
      <c r="K64" s="2500" t="s">
        <v>2250</v>
      </c>
      <c r="L64" s="1752">
        <f ca="1">IF(M49&gt;2000,M49*0.5%,IF(AND(M49&gt;1000,M49&lt;=2000),M49*0.6%,IF(AND(M49&gt;500,M49&lt;=1000),M49*0.7%,IF(AND(M49&gt;200,M49&lt;=500),M49*0.8%,IF(AND(M49&gt;100,M49&lt;=200),M49*0.9%,IF(AND(M49&gt;50,M49&lt;=100),M49*1%,IF(AND(M49&gt;20,M49&lt;=50),M49*1.5%,IF(AND(M49&gt;10,M49&lt;=20),M49*2%,IF(AND(M49&gt;1,M49&lt;=10),M49*2.5%)))))))))</f>
        <v>351.19</v>
      </c>
      <c r="M64" s="24">
        <f t="shared" ref="M64:M65" ca="1" si="1">ROUND(L64,1)</f>
        <v>351.2</v>
      </c>
      <c r="N64" s="138" t="s">
        <v>2251</v>
      </c>
      <c r="Z64" s="2424"/>
      <c r="AI64" s="2425"/>
    </row>
    <row r="65" spans="1:35" ht="14.25" customHeight="1">
      <c r="A65" s="197" t="s">
        <v>771</v>
      </c>
      <c r="B65" s="198" t="s">
        <v>2252</v>
      </c>
      <c r="C65" s="202"/>
      <c r="D65" s="200"/>
      <c r="E65" s="201"/>
      <c r="F65" s="2490"/>
      <c r="G65" s="2490"/>
      <c r="H65" s="2498"/>
      <c r="I65" s="138"/>
      <c r="J65" s="3154"/>
      <c r="K65" s="2500" t="s">
        <v>2253</v>
      </c>
      <c r="L65" s="1752">
        <f ca="1">IF(M49&gt;1000,M49*0.1%,IF(AND(M49&gt;500,M49&lt;=1000),M49*0.5%,IF(AND(M49&gt;50,M49&lt;=500),M49*1%,IF(AND(M49&gt;1,M49&lt;=50),M49*1.5%))))</f>
        <v>70.238</v>
      </c>
      <c r="M65" s="24">
        <f t="shared" ca="1" si="1"/>
        <v>70.2</v>
      </c>
      <c r="N65" s="138" t="s">
        <v>2251</v>
      </c>
      <c r="Z65" s="2424"/>
      <c r="AI65" s="2425"/>
    </row>
    <row r="66" spans="1:35" ht="14.25" customHeight="1">
      <c r="A66" s="203" t="s">
        <v>772</v>
      </c>
      <c r="B66" s="204" t="s">
        <v>2254</v>
      </c>
      <c r="C66" s="205"/>
      <c r="D66" s="206" t="s">
        <v>32</v>
      </c>
      <c r="E66" s="1776" t="s">
        <v>1371</v>
      </c>
      <c r="F66" s="2490"/>
      <c r="G66" s="2490"/>
      <c r="H66" s="2498"/>
      <c r="I66" s="138"/>
      <c r="J66" s="3154"/>
      <c r="K66" s="2500" t="s">
        <v>2255</v>
      </c>
      <c r="L66" s="1752">
        <f ca="1">M49*0.5%</f>
        <v>351.19</v>
      </c>
      <c r="M66" s="24">
        <f ca="1">IF(L66&gt;0.5,0.5,ROUND(L66,0))</f>
        <v>0.5</v>
      </c>
      <c r="N66" s="138" t="s">
        <v>2256</v>
      </c>
      <c r="Z66" s="2424"/>
      <c r="AI66" s="2425"/>
    </row>
    <row r="67" spans="1:35" ht="14.25" customHeight="1">
      <c r="A67" s="203" t="s">
        <v>773</v>
      </c>
      <c r="B67" s="204" t="s">
        <v>2257</v>
      </c>
      <c r="C67" s="207">
        <f ca="1">C63-C66</f>
        <v>66893</v>
      </c>
      <c r="D67" s="200" t="s">
        <v>32</v>
      </c>
      <c r="E67" s="201"/>
      <c r="F67" s="2490"/>
      <c r="G67" s="2490"/>
      <c r="H67" s="2498"/>
      <c r="I67" s="138"/>
      <c r="J67" s="3154"/>
      <c r="K67" s="2500" t="s">
        <v>2258</v>
      </c>
      <c r="L67" s="1752">
        <f ca="1">IF(M49&gt;=10000,(8.25+(M49-10000)*0.01%),IF(AND(M49&gt;=8000,M49&lt;10000),(7.85+(M49-8000)*0.02%),IF(AND(M49&gt;=5000,M49&lt;8000),(6.65+(M49-5000)*0.04%),IF(AND(M49&gt;=2000,M49&lt;5000),(4.25+(PM49-2000)*0.08%),IF(AND(M49&gt;=1000,M49&lt;2000),(2.75+(M49-1000)*0.15%),IF(AND(M49&gt;=100,M49&lt;1000),(0.5+(M49-100)*0.25%),IF(AND(M49&gt;0,M49&lt;100),M49*0.5%)))))))</f>
        <v>14.273800000000001</v>
      </c>
      <c r="M67" s="24">
        <f ca="1">ROUND(L67*0.9,1)</f>
        <v>12.8</v>
      </c>
      <c r="Z67" s="2424"/>
      <c r="AI67" s="2425"/>
    </row>
    <row r="68" spans="1:35" ht="14.25" customHeight="1" thickBot="1">
      <c r="A68" s="208" t="s">
        <v>774</v>
      </c>
      <c r="B68" s="209" t="s">
        <v>2259</v>
      </c>
      <c r="C68" s="210">
        <f ca="1">IF(C67&lt;=0,0,ROUND(C67*D68,0))</f>
        <v>3746</v>
      </c>
      <c r="D68" s="211">
        <f>'数据-取费表'!B41</f>
        <v>5.6000000000000001E-2</v>
      </c>
      <c r="E68" s="212"/>
      <c r="F68" s="2490"/>
      <c r="G68" s="2490"/>
      <c r="H68" s="2498"/>
      <c r="I68" s="138"/>
      <c r="J68" s="3154"/>
      <c r="K68" s="2500" t="s">
        <v>2260</v>
      </c>
      <c r="L68" s="1752">
        <f ca="1">IF(M49&gt;10000,M49*0.5%,IF(AND(M49&gt;5000,M49&lt;=10000),M49*1%,IF(AND(M49&gt;1000,M49&lt;=5000),M49*2%,IF(AND(M49&gt;200,M49&lt;=1000),M49*3%,M49*5%))))</f>
        <v>351.19</v>
      </c>
      <c r="M68" s="24">
        <f ca="1">ROUND(L68,1)</f>
        <v>351.2</v>
      </c>
      <c r="Z68" s="2424"/>
      <c r="AI68" s="2425"/>
    </row>
    <row r="69" spans="1:35" s="2447" customFormat="1" ht="16.5" customHeight="1">
      <c r="A69" s="2501"/>
      <c r="B69" s="2502"/>
      <c r="C69" s="2503"/>
      <c r="D69" s="2504"/>
      <c r="E69" s="2505"/>
      <c r="F69" s="2166"/>
      <c r="G69" s="2166"/>
      <c r="H69" s="2165"/>
      <c r="I69" s="2419"/>
      <c r="J69" s="3154"/>
      <c r="K69" s="2500" t="s">
        <v>2261</v>
      </c>
      <c r="L69" s="2506"/>
      <c r="M69" s="24">
        <f ca="1">ROUND(SUM(M63:M68),0)</f>
        <v>1137</v>
      </c>
      <c r="N69" s="1753">
        <f ca="1">M69/M49</f>
        <v>1.6187818559753979E-2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3" t="s">
        <v>2262</v>
      </c>
      <c r="B70" s="3114"/>
      <c r="C70" s="3114"/>
      <c r="D70" s="3114"/>
      <c r="E70" s="3114"/>
      <c r="F70" s="3114"/>
      <c r="G70" s="3114"/>
      <c r="H70" s="311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2" t="s">
        <v>2243</v>
      </c>
      <c r="B71" s="3093"/>
      <c r="C71" s="1804"/>
      <c r="D71" s="1804"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66893</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401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087" t="s">
        <v>2271</v>
      </c>
      <c r="F76" s="3064"/>
      <c r="G76" s="3064"/>
      <c r="H76" s="311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401</v>
      </c>
      <c r="D78" s="226">
        <f>'数据-取费表'!B43</f>
        <v>6.000000000000001E-3</v>
      </c>
      <c r="E78" s="3073" t="s">
        <v>2276</v>
      </c>
      <c r="F78" s="3074"/>
      <c r="G78" s="3074"/>
      <c r="H78" s="308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66492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165.81546134663341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39755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3" t="s">
        <v>2280</v>
      </c>
      <c r="B83" s="3114"/>
      <c r="C83" s="3114"/>
      <c r="D83" s="3114"/>
      <c r="E83" s="3114"/>
      <c r="F83" s="3114"/>
      <c r="G83" s="3114"/>
      <c r="H83" s="311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2" t="s">
        <v>2243</v>
      </c>
      <c r="B84" s="3093"/>
      <c r="C84" s="1804"/>
      <c r="D84" s="1804"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66893</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401</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800"/>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073" t="s">
        <v>2289</v>
      </c>
      <c r="F91" s="3074"/>
      <c r="G91" s="3074"/>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073" t="s">
        <v>2293</v>
      </c>
      <c r="F92" s="3074"/>
      <c r="G92" s="3074"/>
      <c r="H92" s="308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401</v>
      </c>
      <c r="D93" s="226">
        <f>'数据-取费表'!B43</f>
        <v>6.000000000000001E-3</v>
      </c>
      <c r="E93" s="3073" t="s">
        <v>2276</v>
      </c>
      <c r="F93" s="3074"/>
      <c r="G93" s="3074"/>
      <c r="H93" s="308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084" t="s">
        <v>2297</v>
      </c>
      <c r="F94" s="3085"/>
      <c r="G94" s="3085"/>
      <c r="H94" s="308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66492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165.81546134663341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39755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058" t="s">
        <v>2299</v>
      </c>
      <c r="B100" s="3059"/>
      <c r="C100" s="3059"/>
      <c r="D100" s="3075"/>
      <c r="E100" s="3059" t="s">
        <v>2300</v>
      </c>
      <c r="F100" s="3059"/>
      <c r="G100" s="3059"/>
      <c r="H100" s="3075"/>
      <c r="I100" s="138"/>
    </row>
    <row r="101" spans="1:35" ht="18.75" customHeight="1">
      <c r="A101" s="3137" t="s">
        <v>2301</v>
      </c>
      <c r="B101" s="3138"/>
      <c r="C101" s="736" t="str">
        <f>C4</f>
        <v>成本法</v>
      </c>
      <c r="D101" s="737" t="str">
        <f>D4</f>
        <v>假设开发法</v>
      </c>
      <c r="E101" s="3151" t="s">
        <v>2302</v>
      </c>
      <c r="F101" s="3105"/>
      <c r="G101" s="2521" t="s">
        <v>2303</v>
      </c>
      <c r="H101" s="1048">
        <f ca="1">H118</f>
        <v>70238</v>
      </c>
      <c r="I101" s="138"/>
    </row>
    <row r="102" spans="1:35" ht="18.75" customHeight="1">
      <c r="A102" s="3107" t="s">
        <v>2304</v>
      </c>
      <c r="B102" s="2521" t="s">
        <v>2303</v>
      </c>
      <c r="C102" s="736">
        <f ca="1">C19</f>
        <v>59958</v>
      </c>
      <c r="D102" s="737">
        <f ca="1">D19</f>
        <v>78649</v>
      </c>
      <c r="E102" s="3151"/>
      <c r="F102" s="3105"/>
      <c r="G102" s="2521" t="s">
        <v>2305</v>
      </c>
      <c r="H102" s="371">
        <f ca="1">I118</f>
        <v>5964</v>
      </c>
      <c r="I102" s="138"/>
    </row>
    <row r="103" spans="1:35" ht="42.75" customHeight="1">
      <c r="A103" s="3107"/>
      <c r="B103" s="2521" t="s">
        <v>2305</v>
      </c>
      <c r="C103" s="738">
        <f ca="1">C20</f>
        <v>5092</v>
      </c>
      <c r="D103" s="739">
        <f ca="1">D20</f>
        <v>6679</v>
      </c>
      <c r="E103" s="3146" t="s">
        <v>2306</v>
      </c>
      <c r="F103" s="3147"/>
      <c r="G103" s="2522" t="s">
        <v>2307</v>
      </c>
      <c r="H103" s="1048">
        <f>IF(D36="正常操作",H104+H105+H106,H105+H106)</f>
        <v>0</v>
      </c>
      <c r="I103" s="138"/>
    </row>
    <row r="104" spans="1:35" ht="18.75" customHeight="1">
      <c r="A104" s="3107" t="s">
        <v>2308</v>
      </c>
      <c r="B104" s="2523" t="s">
        <v>2303</v>
      </c>
      <c r="C104" s="740">
        <f ca="1">H118</f>
        <v>70238</v>
      </c>
      <c r="D104" s="741"/>
      <c r="E104" s="2267" t="s">
        <v>2309</v>
      </c>
      <c r="F104" s="2258"/>
      <c r="G104" s="2522" t="s">
        <v>2307</v>
      </c>
      <c r="H104" s="1049">
        <f>IF(D36="同一抵押权人同一抵押物续贷",C36&amp;"（未扣减，详见特别提示）",C36)</f>
        <v>0</v>
      </c>
      <c r="I104" s="138"/>
    </row>
    <row r="105" spans="1:35" ht="18.75" customHeight="1" thickBot="1">
      <c r="A105" s="3108"/>
      <c r="B105" s="2524" t="s">
        <v>2305</v>
      </c>
      <c r="C105" s="742">
        <f ca="1">I118</f>
        <v>5964</v>
      </c>
      <c r="D105" s="743"/>
      <c r="E105" s="2267" t="s">
        <v>2310</v>
      </c>
      <c r="F105" s="2258"/>
      <c r="G105" s="2522" t="s">
        <v>2307</v>
      </c>
      <c r="H105" s="1049">
        <f>C37</f>
        <v>0</v>
      </c>
      <c r="I105" s="138"/>
    </row>
    <row r="106" spans="1:35" ht="18.75" customHeight="1">
      <c r="A106" s="2419" t="s">
        <v>2311</v>
      </c>
      <c r="B106" s="2419"/>
      <c r="C106" s="2419"/>
      <c r="D106" s="2419"/>
      <c r="E106" s="2525" t="s">
        <v>2312</v>
      </c>
      <c r="F106" s="2258"/>
      <c r="G106" s="2522" t="s">
        <v>2307</v>
      </c>
      <c r="H106" s="1049">
        <f>C38</f>
        <v>0</v>
      </c>
      <c r="I106" s="138"/>
    </row>
    <row r="107" spans="1:35" ht="18.75" customHeight="1">
      <c r="A107" s="138"/>
      <c r="B107" s="138"/>
      <c r="C107" s="138"/>
      <c r="D107" s="138"/>
      <c r="E107" s="3104" t="str">
        <f>IF(项目基本情况!E8="已注销","——","3.房地产抵押价值")</f>
        <v>3.房地产抵押价值</v>
      </c>
      <c r="F107" s="3105"/>
      <c r="G107" s="2521" t="s">
        <v>2303</v>
      </c>
      <c r="H107" s="1048">
        <f ca="1">IF(E107="——","——",H101-H103)</f>
        <v>70238</v>
      </c>
      <c r="I107" s="138"/>
    </row>
    <row r="108" spans="1:35" ht="18.75" customHeight="1">
      <c r="A108" s="138"/>
      <c r="B108" s="138"/>
      <c r="C108" s="138"/>
      <c r="D108" s="138"/>
      <c r="E108" s="3104"/>
      <c r="F108" s="3105"/>
      <c r="G108" s="2521" t="s">
        <v>2305</v>
      </c>
      <c r="H108" s="371">
        <f ca="1">ROUND(H107*10000/'数据-汇总表'!E3,0)</f>
        <v>5964</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21" t="s">
        <v>2303</v>
      </c>
      <c r="H109" s="348" t="str">
        <f>IF(E109="——","——",H101-H105-H106)</f>
        <v>——</v>
      </c>
      <c r="I109" s="138"/>
    </row>
    <row r="110" spans="1:35" ht="18.75" customHeight="1">
      <c r="A110" s="138"/>
      <c r="B110" s="138"/>
      <c r="C110" s="138"/>
      <c r="D110" s="138"/>
      <c r="E110" s="3104"/>
      <c r="F110" s="3105"/>
      <c r="G110" s="2521" t="s">
        <v>2305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21" t="s">
        <v>2303</v>
      </c>
      <c r="H111" s="1048" t="str">
        <f>IF(E111="——","——",N59)</f>
        <v>——</v>
      </c>
      <c r="I111" s="138"/>
    </row>
    <row r="112" spans="1:35" ht="18.75" customHeight="1" thickBot="1">
      <c r="A112" s="138"/>
      <c r="B112" s="138"/>
      <c r="C112" s="138"/>
      <c r="D112" s="138"/>
      <c r="E112" s="3141"/>
      <c r="F112" s="3142"/>
      <c r="G112" s="2526" t="s">
        <v>2305</v>
      </c>
      <c r="H112" s="790" t="str">
        <f>IF(E111="——","——",N61)</f>
        <v>——</v>
      </c>
      <c r="I112" s="138"/>
    </row>
    <row r="113" spans="1:11" ht="18.75" customHeight="1">
      <c r="A113" s="138"/>
      <c r="B113" s="138"/>
      <c r="C113" s="138"/>
      <c r="D113" s="138"/>
      <c r="E113" s="3109" t="s">
        <v>2311</v>
      </c>
      <c r="F113" s="3109"/>
      <c r="G113" s="3109"/>
      <c r="H113" s="3109"/>
      <c r="I113" s="138"/>
    </row>
    <row r="114" spans="1:11" ht="3.75" customHeight="1">
      <c r="A114" s="2419"/>
      <c r="B114" s="2419"/>
      <c r="C114" s="2419"/>
      <c r="D114" s="2419"/>
      <c r="E114" s="2497"/>
      <c r="F114" s="2497"/>
      <c r="G114" s="2497"/>
      <c r="H114" s="2497"/>
      <c r="I114" s="2419"/>
    </row>
    <row r="115" spans="1:11" ht="18.75" customHeight="1">
      <c r="A115" s="3122" t="s">
        <v>2313</v>
      </c>
      <c r="B115" s="3123"/>
      <c r="C115" s="3123"/>
      <c r="D115" s="3123"/>
      <c r="E115" s="3123"/>
      <c r="F115" s="3123"/>
      <c r="G115" s="3123"/>
      <c r="H115" s="3123"/>
      <c r="I115" s="3124"/>
    </row>
    <row r="116" spans="1:11" ht="27" customHeight="1">
      <c r="A116" s="3015" t="s">
        <v>2314</v>
      </c>
      <c r="B116" s="3110" t="s">
        <v>2315</v>
      </c>
      <c r="C116" s="3110" t="s">
        <v>2316</v>
      </c>
      <c r="D116" s="3126" t="s">
        <v>2317</v>
      </c>
      <c r="E116" s="3127"/>
      <c r="F116" s="3118" t="s">
        <v>2318</v>
      </c>
      <c r="G116" s="3118"/>
      <c r="H116" s="3015" t="s">
        <v>2319</v>
      </c>
      <c r="I116" s="3015"/>
    </row>
    <row r="117" spans="1:11" ht="18.75" customHeight="1">
      <c r="A117" s="3015"/>
      <c r="B117" s="3111"/>
      <c r="C117" s="3111"/>
      <c r="D117" s="1798" t="s">
        <v>2320</v>
      </c>
      <c r="E117" s="1798" t="s">
        <v>2321</v>
      </c>
      <c r="F117" s="1798" t="s">
        <v>2320</v>
      </c>
      <c r="G117" s="1798" t="s">
        <v>2322</v>
      </c>
      <c r="H117" s="1798" t="s">
        <v>2320</v>
      </c>
      <c r="I117" s="1798" t="s">
        <v>2322</v>
      </c>
    </row>
    <row r="118" spans="1:11" ht="24.75" customHeight="1">
      <c r="A118" s="2527" t="str">
        <f>项目基本情况!S2</f>
        <v>山东省青岛市城阳街道大北曲后社区青岛北曲后汇豪置业有限公司出让国有建设用地使用权及在建建筑物房地产</v>
      </c>
      <c r="B118" s="1798">
        <f>M18</f>
        <v>117760.1</v>
      </c>
      <c r="C118" s="1798">
        <f>M19</f>
        <v>31518.76</v>
      </c>
      <c r="D118" s="1798">
        <f ca="1">ROUND(IF(D32="总价",C34,E118*B118/10000),0)</f>
        <v>34698</v>
      </c>
      <c r="E118" s="1798">
        <f ca="1">ROUND(IF(C33="自定义",IF(D32="楼面单价",C34,D118*10000/B118),I118-G118),0)</f>
        <v>2946</v>
      </c>
      <c r="F118" s="1798">
        <f ca="1">ROUND(IF(D32="总价",C35,G118*B118/10000),0)</f>
        <v>35540</v>
      </c>
      <c r="G118" s="1798">
        <f ca="1">ROUND(IF(D32="楼面单价",C35,F118*10000/B118),0)</f>
        <v>3018</v>
      </c>
      <c r="H118" s="1798">
        <f ca="1">ROUND(IF(D32="总价",C32,I118*B118/10000),0)</f>
        <v>70238</v>
      </c>
      <c r="I118" s="1798">
        <f ca="1">ROUND(IF(D32="楼面单价",C32,H118*10000/B118),0)</f>
        <v>5964</v>
      </c>
    </row>
    <row r="119" spans="1:11" ht="18.75" customHeight="1">
      <c r="A119" s="3015" t="s">
        <v>2323</v>
      </c>
      <c r="B119" s="3015"/>
      <c r="C119" s="3015"/>
      <c r="D119" s="3115" t="str">
        <f ca="1">NUMBERSTRING(INT(D118*10000),2)&amp;"元整"</f>
        <v>叁亿肆仟陆佰玖拾捌万元整</v>
      </c>
      <c r="E119" s="3117"/>
      <c r="F119" s="3115" t="str">
        <f ca="1">NUMBERSTRING(INT(F118*10000),2)&amp;"元整"</f>
        <v>叁亿伍仟伍佰肆拾万元整</v>
      </c>
      <c r="G119" s="3117"/>
      <c r="H119" s="3115" t="str">
        <f ca="1">NUMBERSTRING(INT(H118*10000),2)&amp;"元整"</f>
        <v>柒亿零贰佰叁拾捌万元整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4" t="str">
        <f>IF(D120=0,"故，本次评估不存在"&amp;A120,"故，本次评估"&amp;A120&amp;"为人民币"&amp;D120&amp;"万元整。")</f>
        <v>故，本次评估不存在估价师知悉的法定优先受偿款</v>
      </c>
    </row>
    <row r="121" spans="1:11" ht="18.75" customHeight="1">
      <c r="A121" s="3119" t="s">
        <v>2323</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70238</v>
      </c>
      <c r="E122" s="3144"/>
      <c r="F122" s="3144"/>
      <c r="G122" s="3144"/>
      <c r="H122" s="3144"/>
      <c r="I122" s="3145"/>
    </row>
    <row r="123" spans="1:11" ht="18.75" customHeight="1">
      <c r="A123" s="3015" t="s">
        <v>2323</v>
      </c>
      <c r="B123" s="3015"/>
      <c r="C123" s="3015"/>
      <c r="D123" s="3115" t="str">
        <f ca="1">NUMBERSTRING(INT(D122*10000),2)&amp;"元整"</f>
        <v>柒亿零贰佰叁拾捌万元整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2323</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2323</v>
      </c>
      <c r="B127" s="3015"/>
      <c r="C127" s="3015"/>
      <c r="D127" s="3115" t="e">
        <f>NUMBERSTRING(INT(D126*10000),2)&amp;"元整"</f>
        <v>#VALUE!</v>
      </c>
      <c r="E127" s="3116"/>
      <c r="F127" s="3116"/>
      <c r="G127" s="3116"/>
      <c r="H127" s="3116"/>
      <c r="I127" s="3117"/>
    </row>
    <row r="128" spans="1:11" ht="21.75" customHeight="1">
      <c r="A128" s="3125" t="s">
        <v>2324</v>
      </c>
      <c r="B128" s="3125"/>
      <c r="C128" s="3125"/>
      <c r="D128" s="3125"/>
      <c r="E128" s="3125"/>
      <c r="F128" s="3125"/>
      <c r="G128" s="3125"/>
      <c r="H128" s="3125"/>
      <c r="I128" s="3125"/>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8</v>
      </c>
    </row>
    <row r="2" spans="1:9" s="244" customFormat="1" ht="18" customHeight="1">
      <c r="A2" s="245" t="s">
        <v>2333</v>
      </c>
      <c r="B2" s="246">
        <f ca="1">IF(D2="——",C52,C52-E2)</f>
        <v>59958</v>
      </c>
      <c r="C2" s="243" t="s">
        <v>2334</v>
      </c>
      <c r="D2" s="2550" t="s">
        <v>70</v>
      </c>
      <c r="E2" s="1443"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5092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23816</v>
      </c>
      <c r="D5" s="255" t="s">
        <v>2340</v>
      </c>
      <c r="E5" s="256" t="s">
        <v>2341</v>
      </c>
      <c r="F5" s="256" t="s">
        <v>2342</v>
      </c>
      <c r="G5" s="257"/>
    </row>
    <row r="6" spans="1:9" s="258" customFormat="1" ht="13.5" customHeight="1">
      <c r="A6" s="952" t="s">
        <v>2343</v>
      </c>
      <c r="B6" s="259" t="s">
        <v>2344</v>
      </c>
      <c r="C6" s="260">
        <f>'土地比较法-住宅、综合'!B2</f>
        <v>21740</v>
      </c>
      <c r="D6" s="261"/>
      <c r="E6" s="262"/>
      <c r="F6" s="262"/>
      <c r="G6" s="263"/>
    </row>
    <row r="7" spans="1:9" s="258" customFormat="1" ht="13.5" customHeight="1">
      <c r="A7" s="952" t="s">
        <v>2345</v>
      </c>
      <c r="B7" s="259" t="s">
        <v>2346</v>
      </c>
      <c r="C7" s="264">
        <f>ROUND(C6*F7,0)</f>
        <v>663</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1413</v>
      </c>
      <c r="D8" s="266"/>
      <c r="E8" s="264"/>
      <c r="F8" s="265"/>
      <c r="G8" s="2553" t="s">
        <v>3078</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120</v>
      </c>
      <c r="F9" s="265"/>
      <c r="G9" s="2554" t="s">
        <v>3076</v>
      </c>
      <c r="H9" s="1393"/>
      <c r="I9" s="2555" t="s">
        <v>2350</v>
      </c>
    </row>
    <row r="10" spans="1:9" s="258" customFormat="1" ht="13.5" customHeight="1">
      <c r="A10" s="953" t="s">
        <v>801</v>
      </c>
      <c r="B10" s="268" t="s">
        <v>2351</v>
      </c>
      <c r="C10" s="269">
        <f ca="1">ROUND(D10*E10/10000,0)</f>
        <v>1413</v>
      </c>
      <c r="D10" s="1035">
        <f ca="1">IF(B1="",'数据-汇总表'!E6,IF(INDIRECT("'数据-取费表'!c"&amp;$G$1)="住宅",INDIRECT("'数据-取费表'!s"&amp;$G$1),INDIRECT("'数据-取费表'!k"&amp;$G$1)+INDIRECT("'数据-取费表'!s"&amp;$G$1)))</f>
        <v>117760.1</v>
      </c>
      <c r="E10" s="269">
        <f>'数据-取费表'!B28</f>
        <v>120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117760.1</v>
      </c>
      <c r="E19" s="255">
        <f>'数据-取费表'!B31</f>
        <v>200</v>
      </c>
      <c r="F19" s="275"/>
      <c r="G19" s="2553" t="s">
        <v>3077</v>
      </c>
    </row>
    <row r="20" spans="1:7" s="258" customFormat="1" ht="13.5" customHeight="1">
      <c r="A20" s="299" t="s">
        <v>2364</v>
      </c>
      <c r="B20" s="254" t="s">
        <v>2365</v>
      </c>
      <c r="C20" s="276">
        <f ca="1">ROUND((C5+C19)*F20,0)</f>
        <v>476</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1142</v>
      </c>
      <c r="D22" s="279">
        <f ca="1">C26</f>
        <v>5.0000000000000001E-4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1131</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11</v>
      </c>
      <c r="D25" s="282"/>
      <c r="E25" s="285"/>
      <c r="F25" s="283"/>
      <c r="G25" s="286" t="s">
        <v>2381</v>
      </c>
    </row>
    <row r="26" spans="1:7" s="258" customFormat="1">
      <c r="A26" s="954" t="s">
        <v>795</v>
      </c>
      <c r="B26" s="259" t="s">
        <v>2382</v>
      </c>
      <c r="C26" s="282">
        <f ca="1">ROUND(IF('数据-取费表'!B22&lt;=1,F21*F22*'数据-取费表'!B23/2,F21*(POWER((1+F22),'数据-取费表'!B23/2)-1)),4)</f>
        <v>5.0000000000000001E-4</v>
      </c>
      <c r="D26" s="282"/>
      <c r="E26" s="285"/>
      <c r="F26" s="283"/>
      <c r="G26" s="287"/>
    </row>
    <row r="27" spans="1:7" s="258" customFormat="1" ht="24.75">
      <c r="A27" s="299" t="s">
        <v>2383</v>
      </c>
      <c r="B27" s="288" t="s">
        <v>2384</v>
      </c>
      <c r="C27" s="289">
        <f ca="1">C28</f>
        <v>1943</v>
      </c>
      <c r="D27" s="279">
        <f ca="1">C29</f>
        <v>1.6000000000000001E-3</v>
      </c>
      <c r="E27" s="280" t="s">
        <v>2385</v>
      </c>
      <c r="F27" s="290">
        <f ca="1">IF(B1="",'数据-取费表'!Q16,INDIRECT("'数据-取费表'!q"&amp;$G$1))</f>
        <v>0.16</v>
      </c>
      <c r="G27" s="291" t="s">
        <v>2386</v>
      </c>
    </row>
    <row r="28" spans="1:7" s="258" customFormat="1" ht="13.5" customHeight="1">
      <c r="A28" s="954" t="s">
        <v>791</v>
      </c>
      <c r="B28" s="292" t="s">
        <v>2387</v>
      </c>
      <c r="C28" s="293">
        <f ca="1">ROUND((C5+C19+C20)*F27*'数据-取费表'!B21/'数据-取费表'!B20,0)</f>
        <v>1943</v>
      </c>
      <c r="D28" s="279"/>
      <c r="E28" s="280"/>
      <c r="F28" s="290"/>
      <c r="G28" s="291"/>
    </row>
    <row r="29" spans="1:7" s="258" customFormat="1" ht="13.5" customHeight="1">
      <c r="A29" s="954" t="s">
        <v>792</v>
      </c>
      <c r="B29" s="292" t="s">
        <v>2388</v>
      </c>
      <c r="C29" s="282">
        <f ca="1">ROUND(C21*F27*'数据-取费表'!B21/'数据-取费表'!B20,4)</f>
        <v>1.6000000000000001E-3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29610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23204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20966</v>
      </c>
      <c r="D34" s="261"/>
      <c r="E34" s="264"/>
      <c r="F34" s="301">
        <f ca="1">IF('数据-取费表'!B24=0,1,IF(B1="",'数据-取费表'!N16,INDIRECT("'数据-取费表'!n"&amp;$G$1)))</f>
        <v>0.55000000000000004</v>
      </c>
      <c r="G34" s="263" t="s">
        <v>2397</v>
      </c>
    </row>
    <row r="35" spans="1:7" ht="13.5" customHeight="1">
      <c r="A35" s="954" t="s">
        <v>796</v>
      </c>
      <c r="B35" s="259" t="s">
        <v>2398</v>
      </c>
      <c r="C35" s="264">
        <f ca="1">ROUND(C34*F35,0)</f>
        <v>629</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1295</v>
      </c>
      <c r="D37" s="261">
        <f ca="1">D19</f>
        <v>117760.1</v>
      </c>
      <c r="E37" s="293">
        <f>'数据-取费表'!B35</f>
        <v>200</v>
      </c>
      <c r="F37" s="303"/>
      <c r="G37" s="305" t="s">
        <v>2403</v>
      </c>
    </row>
    <row r="38" spans="1:7" ht="13.5" customHeight="1">
      <c r="A38" s="954" t="s">
        <v>799</v>
      </c>
      <c r="B38" s="259" t="s">
        <v>2404</v>
      </c>
      <c r="C38" s="264">
        <f ca="1">ROUND(C34*F38,0)</f>
        <v>314</v>
      </c>
      <c r="D38" s="264"/>
      <c r="E38" s="264"/>
      <c r="F38" s="303">
        <f>'数据-取费表'!B36</f>
        <v>1.4999999999999999E-2</v>
      </c>
      <c r="G38" s="263" t="s">
        <v>2399</v>
      </c>
    </row>
    <row r="39" spans="1:7" s="258" customFormat="1" ht="13.5" customHeight="1">
      <c r="A39" s="299" t="s">
        <v>2405</v>
      </c>
      <c r="B39" s="254" t="s">
        <v>2406</v>
      </c>
      <c r="C39" s="276">
        <f ca="1">ROUND(C33*F20,0)</f>
        <v>464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556</v>
      </c>
      <c r="D41" s="279">
        <f ca="1">C44</f>
        <v>5.0000000000000001E-4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545</v>
      </c>
      <c r="D42" s="282"/>
      <c r="E42" s="282"/>
      <c r="F42" s="283"/>
      <c r="G42" s="3157" t="s">
        <v>2415</v>
      </c>
    </row>
    <row r="43" spans="1:7" ht="13.5" customHeight="1">
      <c r="A43" s="954" t="s">
        <v>792</v>
      </c>
      <c r="B43" s="259" t="s">
        <v>2416</v>
      </c>
      <c r="C43" s="282">
        <f ca="1">ROUND(IF('数据-取费表'!B22&lt;=1,C39*F22*'数据-取费表'!B21/2,C39*(POWER((1+F22),'数据-取费表'!B21/2)-1)),0)</f>
        <v>11</v>
      </c>
      <c r="D43" s="282"/>
      <c r="E43" s="282"/>
      <c r="F43" s="283"/>
      <c r="G43" s="3158"/>
    </row>
    <row r="44" spans="1:7" ht="13.5" customHeight="1">
      <c r="A44" s="954" t="s">
        <v>793</v>
      </c>
      <c r="B44" s="259" t="s">
        <v>2417</v>
      </c>
      <c r="C44" s="282">
        <f ca="1">ROUND(IF('数据-取费表'!B22&lt;=1,C40*F22*'数据-取费表'!B21/2,C40*(POWER((1+F22),'数据-取费表'!B21/2)-1)),4)</f>
        <v>5.0000000000000001E-4</v>
      </c>
      <c r="D44" s="282"/>
      <c r="E44" s="282"/>
      <c r="F44" s="283"/>
      <c r="G44" s="3159"/>
    </row>
    <row r="45" spans="1:7" s="258" customFormat="1" ht="13.5" customHeight="1">
      <c r="A45" s="299" t="s">
        <v>2418</v>
      </c>
      <c r="B45" s="288" t="s">
        <v>2384</v>
      </c>
      <c r="C45" s="289">
        <f ca="1">C46</f>
        <v>3787</v>
      </c>
      <c r="D45" s="279">
        <f ca="1">C47</f>
        <v>3.2000000000000002E-3</v>
      </c>
      <c r="E45" s="280" t="s">
        <v>2410</v>
      </c>
      <c r="F45" s="290"/>
      <c r="G45" s="291" t="s">
        <v>2419</v>
      </c>
    </row>
    <row r="46" spans="1:7" s="258" customFormat="1" ht="13.5" customHeight="1">
      <c r="A46" s="954" t="s">
        <v>791</v>
      </c>
      <c r="B46" s="292" t="s">
        <v>2420</v>
      </c>
      <c r="C46" s="293">
        <f ca="1">ROUND((C33+C39)*F27,0)</f>
        <v>3787</v>
      </c>
      <c r="D46" s="307"/>
      <c r="E46" s="280"/>
      <c r="F46" s="290"/>
      <c r="G46" s="291"/>
    </row>
    <row r="47" spans="1:7" s="258" customFormat="1" ht="13.5" customHeight="1">
      <c r="A47" s="954" t="s">
        <v>792</v>
      </c>
      <c r="B47" s="292" t="s">
        <v>2421</v>
      </c>
      <c r="C47" s="282">
        <f ca="1">ROUND(C40*F27,4)</f>
        <v>3.2000000000000002E-3</v>
      </c>
      <c r="D47" s="307"/>
      <c r="E47" s="280"/>
      <c r="F47" s="290"/>
      <c r="G47" s="291"/>
    </row>
    <row r="48" spans="1:7" s="258" customFormat="1" ht="13.5" customHeight="1">
      <c r="A48" s="299" t="s">
        <v>2383</v>
      </c>
      <c r="B48" s="254" t="s">
        <v>2422</v>
      </c>
      <c r="C48" s="1731">
        <f>ROUND(F30/(1+'数据-取费表'!C42),4)</f>
        <v>5.33E-2</v>
      </c>
      <c r="D48" s="280" t="s">
        <v>2410</v>
      </c>
      <c r="E48" s="276"/>
      <c r="F48" s="281"/>
      <c r="G48" s="278" t="s">
        <v>2423</v>
      </c>
    </row>
    <row r="49" spans="1:7" ht="16.5" customHeight="1">
      <c r="A49" s="299" t="s">
        <v>2389</v>
      </c>
      <c r="B49" s="254" t="s">
        <v>2424</v>
      </c>
      <c r="C49" s="276">
        <f ca="1">ROUND((C33+C39+C41+C45)/(1-C40-D41-D45-C48),0)</f>
        <v>30348</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30348</v>
      </c>
      <c r="D51" s="276"/>
      <c r="E51" s="276"/>
      <c r="F51" s="308"/>
      <c r="G51" s="278" t="s">
        <v>2431</v>
      </c>
    </row>
    <row r="52" spans="1:7" s="252" customFormat="1" ht="16.5" thickBot="1">
      <c r="A52" s="309" t="s">
        <v>2432</v>
      </c>
      <c r="B52" s="310"/>
      <c r="C52" s="311">
        <f ca="1">C31+C51</f>
        <v>59958</v>
      </c>
      <c r="D52" s="310"/>
      <c r="E52" s="310"/>
      <c r="F52" s="310"/>
      <c r="G52" s="312"/>
    </row>
    <row r="55" spans="1:7" ht="15">
      <c r="B55" s="314" t="s">
        <v>2433</v>
      </c>
      <c r="C55" s="315"/>
    </row>
    <row r="56" spans="1:7">
      <c r="B56" s="317" t="s">
        <v>1513</v>
      </c>
      <c r="C56" s="319">
        <f ca="1">1-C57</f>
        <v>0.49399999999999999</v>
      </c>
    </row>
    <row r="57" spans="1:7">
      <c r="B57" s="317" t="s">
        <v>1514</v>
      </c>
      <c r="C57" s="318">
        <f ca="1">ROUND(C51/C52,3)</f>
        <v>0.50600000000000001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山东省青岛市城阳街道大北曲后社区青岛北曲后汇豪置业有限公司出让国有建设用地使用权及在建建筑物房地产抵押价值预评估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青岛北曲后汇豪置业有限公司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6" t="s">
        <v>2434</v>
      </c>
      <c r="D1" s="242"/>
      <c r="E1" s="242"/>
      <c r="F1" s="242"/>
      <c r="G1" s="1382">
        <f>MATCH(B1,'数据-取费表'!A6:A16,0)+5</f>
        <v>8</v>
      </c>
      <c r="H1" s="1285" t="str">
        <f>IF(ISERROR(FIND("住宅",B1)),"非住宅","住宅")</f>
        <v>非住宅</v>
      </c>
    </row>
    <row r="2" spans="1:8" s="244" customFormat="1" ht="18" customHeight="1">
      <c r="A2" s="245" t="s">
        <v>2333</v>
      </c>
      <c r="B2" s="246">
        <f ca="1">ROUND(IF(D2="——",C52/10000,C52/10000-E2),0)</f>
        <v>61562</v>
      </c>
      <c r="C2" s="243" t="s">
        <v>2334</v>
      </c>
      <c r="D2" s="2550" t="s">
        <v>70</v>
      </c>
      <c r="E2" s="1443"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5228</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14131212</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14131212</v>
      </c>
      <c r="D8" s="266"/>
      <c r="E8" s="264"/>
      <c r="F8" s="265"/>
      <c r="G8" s="2553"/>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2351</v>
      </c>
      <c r="C10" s="269">
        <f ca="1">ROUND(D10*E10,0)</f>
        <v>14131212</v>
      </c>
      <c r="D10" s="1035">
        <f ca="1">IF(B1="",'数据-汇总表'!E6,IF(INDIRECT("'数据-取费表'!c"&amp;$G$1)="住宅",INDIRECT("'数据-取费表'!s"&amp;$G$1),INDIRECT("'数据-取费表'!k"&amp;$G$1)+INDIRECT("'数据-取费表'!s"&amp;$G$1)))</f>
        <v>117760.1</v>
      </c>
      <c r="E10" s="269">
        <f>'数据-取费表'!B28</f>
        <v>120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23552020</v>
      </c>
      <c r="D19" s="1039">
        <f ca="1">D9+D10</f>
        <v>117760.1</v>
      </c>
      <c r="E19" s="255">
        <f>'数据-取费表'!B31</f>
        <v>200</v>
      </c>
      <c r="F19" s="275"/>
      <c r="G19" s="2553"/>
    </row>
    <row r="20" spans="1:7" s="258" customFormat="1" ht="13.5" customHeight="1">
      <c r="A20" s="299" t="s">
        <v>2445</v>
      </c>
      <c r="B20" s="254" t="s">
        <v>2446</v>
      </c>
      <c r="C20" s="276">
        <f ca="1">ROUND((C5+C19)*F20,0)</f>
        <v>753665</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3700729</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1374349</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2290581</v>
      </c>
      <c r="D24" s="282"/>
      <c r="E24" s="282"/>
      <c r="F24" s="283"/>
      <c r="G24" s="284" t="s">
        <v>2457</v>
      </c>
    </row>
    <row r="25" spans="1:7" s="258" customFormat="1" ht="24">
      <c r="A25" s="954" t="s">
        <v>2347</v>
      </c>
      <c r="B25" s="259" t="s">
        <v>2458</v>
      </c>
      <c r="C25" s="1384">
        <f ca="1">ROUND(IF('数据-取费表'!B22&lt;=1,C20*F22*'数据-取费表'!B22/2,C20*(POWER((1+F22),'数据-取费表'!B22/2)-1)),0)</f>
        <v>35799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6149904</v>
      </c>
      <c r="D27" s="279">
        <f ca="1">C29</f>
        <v>3.2000000000000002E-3</v>
      </c>
      <c r="E27" s="280" t="s">
        <v>2385</v>
      </c>
      <c r="F27" s="290">
        <f ca="1">IF(B1="",'数据-取费表'!Q16,INDIRECT("'数据-取费表'!q"&amp;$G$1))</f>
        <v>0.16</v>
      </c>
      <c r="G27" s="291" t="s">
        <v>2386</v>
      </c>
    </row>
    <row r="28" spans="1:7" s="258" customFormat="1" ht="13.5" customHeight="1">
      <c r="A28" s="954" t="s">
        <v>791</v>
      </c>
      <c r="B28" s="292" t="s">
        <v>2387</v>
      </c>
      <c r="C28" s="293">
        <f ca="1">ROUND((C5+C19+C20)*F27,0)</f>
        <v>6149904</v>
      </c>
      <c r="D28" s="279"/>
      <c r="E28" s="280"/>
      <c r="F28" s="290"/>
      <c r="G28" s="291"/>
    </row>
    <row r="29" spans="1:7" s="258" customFormat="1" ht="13.5" customHeight="1">
      <c r="A29" s="954" t="s">
        <v>792</v>
      </c>
      <c r="B29" s="292" t="s">
        <v>2388</v>
      </c>
      <c r="C29" s="282">
        <f ca="1">ROUND(C21*F27,4)</f>
        <v>3.2000000000000002E-3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52344206</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421887482</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381182260</v>
      </c>
      <c r="D34" s="261"/>
      <c r="E34" s="264"/>
      <c r="F34" s="301"/>
      <c r="G34" s="263"/>
    </row>
    <row r="35" spans="1:7" ht="13.5" customHeight="1">
      <c r="A35" s="954" t="s">
        <v>796</v>
      </c>
      <c r="B35" s="259" t="s">
        <v>2398</v>
      </c>
      <c r="C35" s="264">
        <f ca="1">ROUND(C34*F35,0)</f>
        <v>11435468</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23552020</v>
      </c>
      <c r="D37" s="261">
        <f ca="1">D19</f>
        <v>117760.1</v>
      </c>
      <c r="E37" s="293">
        <f>'数据-取费表'!B35</f>
        <v>200</v>
      </c>
      <c r="F37" s="303"/>
      <c r="G37" s="305"/>
    </row>
    <row r="38" spans="1:7" ht="13.5" customHeight="1">
      <c r="A38" s="954" t="s">
        <v>799</v>
      </c>
      <c r="B38" s="259" t="s">
        <v>2404</v>
      </c>
      <c r="C38" s="264">
        <f ca="1">ROUND(C34*F38,0)</f>
        <v>5717734</v>
      </c>
      <c r="D38" s="264"/>
      <c r="E38" s="264"/>
      <c r="F38" s="303">
        <f>'数据-取费表'!B36</f>
        <v>1.4999999999999999E-2</v>
      </c>
      <c r="G38" s="263" t="s">
        <v>2399</v>
      </c>
    </row>
    <row r="39" spans="1:7" s="258" customFormat="1" ht="13.5" customHeight="1">
      <c r="A39" s="299" t="s">
        <v>2405</v>
      </c>
      <c r="B39" s="254" t="s">
        <v>2406</v>
      </c>
      <c r="C39" s="276">
        <f ca="1">ROUND(C33*F20,0)</f>
        <v>8437750</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20440448</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20039655</v>
      </c>
      <c r="D42" s="282"/>
      <c r="E42" s="282"/>
      <c r="F42" s="283"/>
      <c r="G42" s="3157" t="s">
        <v>2462</v>
      </c>
    </row>
    <row r="43" spans="1:7" ht="13.5" customHeight="1">
      <c r="A43" s="954" t="s">
        <v>792</v>
      </c>
      <c r="B43" s="259" t="s">
        <v>2416</v>
      </c>
      <c r="C43" s="282">
        <f ca="1">ROUND(IF('数据-取费表'!B22&lt;=1,C39*F22*'数据-取费表'!B20/2,C39*(POWER((1+F22),'数据-取费表'!B20/2)-1)),0)</f>
        <v>400793</v>
      </c>
      <c r="D43" s="282"/>
      <c r="E43" s="282"/>
      <c r="F43" s="283"/>
      <c r="G43" s="3158"/>
    </row>
    <row r="44" spans="1:7" ht="13.5" customHeight="1">
      <c r="A44" s="954" t="s">
        <v>793</v>
      </c>
      <c r="B44" s="259" t="s">
        <v>2417</v>
      </c>
      <c r="C44" s="282">
        <f ca="1">ROUND(IF('数据-取费表'!B22&lt;=1,C40*F22*'数据-取费表'!B20/2,C40*(POWER((1+F22),'数据-取费表'!B20/2)-1)),4)</f>
        <v>1E-3</v>
      </c>
      <c r="D44" s="282"/>
      <c r="E44" s="282"/>
      <c r="F44" s="283"/>
      <c r="G44" s="3159"/>
    </row>
    <row r="45" spans="1:7" s="258" customFormat="1" ht="13.5" customHeight="1">
      <c r="A45" s="299" t="s">
        <v>2418</v>
      </c>
      <c r="B45" s="288" t="s">
        <v>2384</v>
      </c>
      <c r="C45" s="289">
        <f ca="1">C46</f>
        <v>68852037</v>
      </c>
      <c r="D45" s="279">
        <f ca="1">C47</f>
        <v>3.2000000000000002E-3</v>
      </c>
      <c r="E45" s="280" t="s">
        <v>2410</v>
      </c>
      <c r="F45" s="290"/>
      <c r="G45" s="291" t="s">
        <v>2419</v>
      </c>
    </row>
    <row r="46" spans="1:7" s="258" customFormat="1" ht="13.5" customHeight="1">
      <c r="A46" s="954" t="s">
        <v>791</v>
      </c>
      <c r="B46" s="292" t="s">
        <v>2420</v>
      </c>
      <c r="C46" s="293">
        <f ca="1">ROUND((C33+C39)*F27,0)</f>
        <v>68852037</v>
      </c>
      <c r="D46" s="307"/>
      <c r="E46" s="280"/>
      <c r="F46" s="290"/>
      <c r="G46" s="291"/>
    </row>
    <row r="47" spans="1:7" s="258" customFormat="1" ht="13.5" customHeight="1">
      <c r="A47" s="954" t="s">
        <v>792</v>
      </c>
      <c r="B47" s="292" t="s">
        <v>2421</v>
      </c>
      <c r="C47" s="282">
        <f ca="1">ROUND(C40*F27,4)</f>
        <v>3.2000000000000002E-3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563271238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563271238</v>
      </c>
      <c r="D51" s="276"/>
      <c r="E51" s="276"/>
      <c r="F51" s="308"/>
      <c r="G51" s="278" t="s">
        <v>2431</v>
      </c>
    </row>
    <row r="52" spans="1:7" s="252" customFormat="1" ht="16.5" thickBot="1">
      <c r="A52" s="309" t="s">
        <v>2432</v>
      </c>
      <c r="B52" s="310"/>
      <c r="C52" s="311">
        <f ca="1">C31+C51</f>
        <v>615615444</v>
      </c>
      <c r="D52" s="310"/>
      <c r="E52" s="310"/>
      <c r="F52" s="310"/>
      <c r="G52" s="312"/>
    </row>
    <row r="55" spans="1:7" ht="15">
      <c r="B55" s="314" t="s">
        <v>2433</v>
      </c>
      <c r="C55" s="315"/>
    </row>
    <row r="56" spans="1:7">
      <c r="B56" s="317" t="s">
        <v>1513</v>
      </c>
      <c r="C56" s="319">
        <f ca="1">1-C57</f>
        <v>8.4999999999999964E-2</v>
      </c>
    </row>
    <row r="57" spans="1:7">
      <c r="B57" s="317" t="s">
        <v>1514</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 zoomScale="80" zoomScaleNormal="80" workbookViewId="0">
      <selection activeCell="I46" sqref="I46"/>
    </sheetView>
  </sheetViews>
  <sheetFormatPr defaultRowHeight="14.25"/>
  <cols>
    <col min="1" max="1" width="14.375" style="403" customWidth="1"/>
    <col min="2" max="2" width="15.75" style="403" customWidth="1"/>
    <col min="3" max="3" width="15.125" style="403" customWidth="1"/>
    <col min="4" max="4" width="14.125" style="403" customWidth="1"/>
    <col min="5" max="5" width="15.625" style="403" customWidth="1"/>
    <col min="6" max="6" width="12.25" style="403" customWidth="1"/>
    <col min="7" max="7" width="16.7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21740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1846</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64" t="s">
        <v>2649</v>
      </c>
      <c r="D4" s="3177"/>
      <c r="E4" s="3178" t="s">
        <v>2650</v>
      </c>
      <c r="F4" s="3179"/>
      <c r="G4" s="3164" t="s">
        <v>2651</v>
      </c>
      <c r="H4" s="3177"/>
      <c r="I4" s="3164" t="s">
        <v>2652</v>
      </c>
      <c r="J4" s="3177"/>
      <c r="K4" s="610" t="s">
        <v>2653</v>
      </c>
      <c r="L4" s="1133"/>
      <c r="M4" s="1134"/>
      <c r="N4" s="1134"/>
      <c r="O4" s="1134"/>
      <c r="P4" s="3180" t="s">
        <v>2654</v>
      </c>
      <c r="Q4" s="3181"/>
      <c r="R4" s="3186" t="s">
        <v>2650</v>
      </c>
      <c r="S4" s="3187"/>
      <c r="T4" s="3186" t="s">
        <v>2651</v>
      </c>
      <c r="U4" s="3187"/>
      <c r="V4" s="3173" t="s">
        <v>2652</v>
      </c>
      <c r="W4" s="3173"/>
      <c r="X4" s="1816"/>
      <c r="Y4" s="3186" t="s">
        <v>2654</v>
      </c>
      <c r="Z4" s="3187"/>
      <c r="AA4" s="3174" t="s">
        <v>2650</v>
      </c>
      <c r="AB4" s="3175" t="s">
        <v>2651</v>
      </c>
      <c r="AC4" s="3174" t="s">
        <v>2652</v>
      </c>
    </row>
    <row r="5" spans="1:30" ht="15">
      <c r="A5" s="404"/>
      <c r="B5" s="405"/>
      <c r="C5" s="3194" t="s">
        <v>3092</v>
      </c>
      <c r="D5" s="3195"/>
      <c r="E5" s="3201" t="s">
        <v>3093</v>
      </c>
      <c r="F5" s="3202"/>
      <c r="G5" s="3194" t="s">
        <v>3094</v>
      </c>
      <c r="H5" s="3195"/>
      <c r="I5" s="3194" t="s">
        <v>3095</v>
      </c>
      <c r="J5" s="3195"/>
      <c r="K5" s="610"/>
      <c r="L5" s="1133"/>
      <c r="M5" s="1134"/>
      <c r="N5" s="1134"/>
      <c r="O5" s="1134"/>
      <c r="P5" s="3182"/>
      <c r="Q5" s="3183"/>
      <c r="R5" s="3188"/>
      <c r="S5" s="3189"/>
      <c r="T5" s="3188"/>
      <c r="U5" s="3189"/>
      <c r="V5" s="3173"/>
      <c r="W5" s="3173"/>
      <c r="X5" s="1816"/>
      <c r="Y5" s="3188"/>
      <c r="Z5" s="3189"/>
      <c r="AA5" s="3175"/>
      <c r="AB5" s="3175"/>
      <c r="AC5" s="3175"/>
    </row>
    <row r="6" spans="1:30" ht="15.75" thickBot="1">
      <c r="A6" s="406"/>
      <c r="B6" s="407"/>
      <c r="C6" s="3192" t="s">
        <v>2549</v>
      </c>
      <c r="D6" s="3193"/>
      <c r="E6" s="3199" t="s">
        <v>2549</v>
      </c>
      <c r="F6" s="3200"/>
      <c r="G6" s="3192" t="s">
        <v>2549</v>
      </c>
      <c r="H6" s="3193"/>
      <c r="I6" s="3192" t="s">
        <v>2549</v>
      </c>
      <c r="J6" s="3193"/>
      <c r="K6" s="610" t="s">
        <v>2550</v>
      </c>
      <c r="L6" s="1133"/>
      <c r="M6" s="1134"/>
      <c r="N6" s="1134"/>
      <c r="O6" s="1134"/>
      <c r="P6" s="3184"/>
      <c r="Q6" s="3185"/>
      <c r="R6" s="3188"/>
      <c r="S6" s="3189"/>
      <c r="T6" s="3190"/>
      <c r="U6" s="3191"/>
      <c r="V6" s="3173"/>
      <c r="W6" s="3173"/>
      <c r="X6" s="1816"/>
      <c r="Y6" s="3190"/>
      <c r="Z6" s="3191"/>
      <c r="AA6" s="3176"/>
      <c r="AB6" s="3176"/>
      <c r="AC6" s="3176"/>
    </row>
    <row r="7" spans="1:30" s="117" customFormat="1" ht="15.75" thickBot="1">
      <c r="A7" s="408" t="s">
        <v>2551</v>
      </c>
      <c r="B7" s="409"/>
      <c r="C7" s="410">
        <f>'数据-取费表'!B2</f>
        <v>43462</v>
      </c>
      <c r="D7" s="411">
        <v>100</v>
      </c>
      <c r="E7" s="412" t="s">
        <v>3096</v>
      </c>
      <c r="F7" s="413">
        <f>SUMIF(70:70,YEAR(E7)&amp;"-"&amp;INT((MONTH(E7)+2)/3),71:71)</f>
        <v>99.5</v>
      </c>
      <c r="G7" s="2699" t="s">
        <v>3096</v>
      </c>
      <c r="H7" s="411">
        <f>SUMIF(70:70,YEAR(G7)&amp;"-"&amp;INT((MONTH(G7)+2)/3),71:71)</f>
        <v>99.5</v>
      </c>
      <c r="I7" s="2699" t="s">
        <v>3097</v>
      </c>
      <c r="J7" s="411">
        <f>SUMIF(70:70,YEAR(I7)&amp;"-"&amp;INT((MONTH(I7)+2)/3),71:71)</f>
        <v>98.5</v>
      </c>
      <c r="K7" s="611"/>
      <c r="L7" s="1135"/>
      <c r="M7" s="1136"/>
      <c r="N7" s="1136"/>
      <c r="O7" s="1136"/>
      <c r="P7" s="3196" t="s">
        <v>2552</v>
      </c>
      <c r="Q7" s="3198"/>
      <c r="R7" s="770" t="s">
        <v>17</v>
      </c>
      <c r="S7" s="771">
        <f t="shared" ref="S7:S15" si="0">F7</f>
        <v>99.5</v>
      </c>
      <c r="T7" s="770" t="s">
        <v>17</v>
      </c>
      <c r="U7" s="771">
        <f t="shared" ref="U7:U15" si="1">H7</f>
        <v>99.5</v>
      </c>
      <c r="V7" s="770" t="s">
        <v>17</v>
      </c>
      <c r="W7" s="771">
        <f t="shared" ref="W7:W15" si="2">J7</f>
        <v>98.5</v>
      </c>
      <c r="X7" s="772"/>
      <c r="Y7" s="3196" t="s">
        <v>2552</v>
      </c>
      <c r="Z7" s="3197"/>
      <c r="AA7" s="773">
        <f>D7/F7</f>
        <v>1.0050251256281406</v>
      </c>
      <c r="AB7" s="773">
        <f>D7/H7</f>
        <v>1.0050251256281406</v>
      </c>
      <c r="AC7" s="773">
        <f>D7/J7</f>
        <v>1.015228426395939</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5"/>
      <c r="M8" s="1136"/>
      <c r="N8" s="1136"/>
      <c r="O8" s="1136"/>
      <c r="P8" s="3196" t="s">
        <v>2555</v>
      </c>
      <c r="Q8" s="3197"/>
      <c r="R8" s="770" t="s">
        <v>17</v>
      </c>
      <c r="S8" s="771">
        <f t="shared" si="0"/>
        <v>100</v>
      </c>
      <c r="T8" s="770" t="s">
        <v>17</v>
      </c>
      <c r="U8" s="771">
        <f t="shared" si="1"/>
        <v>100</v>
      </c>
      <c r="V8" s="770" t="s">
        <v>17</v>
      </c>
      <c r="W8" s="771">
        <f t="shared" si="2"/>
        <v>100</v>
      </c>
      <c r="X8" s="772"/>
      <c r="Y8" s="3196" t="s">
        <v>2555</v>
      </c>
      <c r="Z8" s="3197"/>
      <c r="AA8" s="773">
        <f t="shared" ref="AA8:AA45" si="3">D8/F8</f>
        <v>1</v>
      </c>
      <c r="AB8" s="773">
        <f t="shared" ref="AB8:AB45" si="4">D8/H8</f>
        <v>1</v>
      </c>
      <c r="AC8" s="773">
        <f t="shared" ref="AC8:AC45" si="5">D8/J8</f>
        <v>1</v>
      </c>
    </row>
    <row r="9" spans="1:30" s="117" customFormat="1">
      <c r="A9" s="415" t="s">
        <v>2556</v>
      </c>
      <c r="B9" s="71" t="s">
        <v>2557</v>
      </c>
      <c r="C9" s="2702" t="s">
        <v>1377</v>
      </c>
      <c r="D9" s="135">
        <v>100</v>
      </c>
      <c r="E9" s="2702" t="s">
        <v>1377</v>
      </c>
      <c r="F9" s="135">
        <f>SUMIF(75:75,E9,76:76)-SUMIF(75:75,C9,76:76)+100</f>
        <v>100</v>
      </c>
      <c r="G9" s="2702" t="s">
        <v>1377</v>
      </c>
      <c r="H9" s="135">
        <f>SUMIF(75:75,G9,76:76)-SUMIF(75:75,C9,76:76)+100</f>
        <v>100</v>
      </c>
      <c r="I9" s="2702" t="s">
        <v>1377</v>
      </c>
      <c r="J9" s="135">
        <f>SUMIF(75:75,I9,76:76)-SUMIF(75:75,C9,76:76)+100</f>
        <v>100</v>
      </c>
      <c r="K9" s="611"/>
      <c r="L9" s="1135"/>
      <c r="M9" s="1136"/>
      <c r="N9" s="1136"/>
      <c r="O9" s="1137"/>
      <c r="P9" s="3167" t="s">
        <v>2558</v>
      </c>
      <c r="Q9" s="1798"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30" s="427" customFormat="1" ht="27">
      <c r="A10" s="421"/>
      <c r="B10" s="422" t="s">
        <v>2560</v>
      </c>
      <c r="C10" s="432">
        <f>项目基本情况!E15</f>
        <v>32.33</v>
      </c>
      <c r="D10" s="136">
        <v>100</v>
      </c>
      <c r="E10" s="465" t="s">
        <v>3099</v>
      </c>
      <c r="F10" s="136">
        <f>ROUND(100/'数据-取费表'!G16,0)</f>
        <v>108</v>
      </c>
      <c r="G10" s="463" t="s">
        <v>3099</v>
      </c>
      <c r="H10" s="136">
        <f>ROUND(100/'数据-取费表'!G16,0)</f>
        <v>108</v>
      </c>
      <c r="I10" s="463" t="s">
        <v>3099</v>
      </c>
      <c r="J10" s="136">
        <f>ROUND(100/'数据-取费表'!G16,0)</f>
        <v>108</v>
      </c>
      <c r="K10" s="672"/>
      <c r="L10" s="1138"/>
      <c r="M10" s="1139"/>
      <c r="N10" s="1139"/>
      <c r="O10" s="1140"/>
      <c r="P10" s="3167"/>
      <c r="Q10" s="1798"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30" ht="15">
      <c r="A11" s="428"/>
      <c r="B11" s="422" t="s">
        <v>2561</v>
      </c>
      <c r="C11" s="429">
        <f>'数据-汇总表'!I4</f>
        <v>2.4900000000000002</v>
      </c>
      <c r="D11" s="136">
        <v>100</v>
      </c>
      <c r="E11" s="429">
        <v>1.6</v>
      </c>
      <c r="F11" s="136">
        <f>LOOKUP(E11,80:80,81:81)-LOOKUP(C11,80:80,81:81)+100</f>
        <v>102</v>
      </c>
      <c r="G11" s="430">
        <v>1.8</v>
      </c>
      <c r="H11" s="136">
        <f>LOOKUP(G11,80:80,81:81)-LOOKUP(C11,80:80,81:81)+100</f>
        <v>102</v>
      </c>
      <c r="I11" s="429">
        <v>3</v>
      </c>
      <c r="J11" s="136">
        <f>LOOKUP(I11,80:80,81:81)-LOOKUP(C11,80:80,81:81)+100</f>
        <v>98</v>
      </c>
      <c r="K11" s="673">
        <v>2</v>
      </c>
      <c r="L11" s="1141"/>
      <c r="M11" s="1134"/>
      <c r="N11" s="1134"/>
      <c r="O11" s="1142"/>
      <c r="P11" s="3167"/>
      <c r="Q11" s="1798" t="str">
        <f t="shared" si="6"/>
        <v>容积率</v>
      </c>
      <c r="R11" s="770" t="s">
        <v>17</v>
      </c>
      <c r="S11" s="771">
        <f t="shared" si="0"/>
        <v>102</v>
      </c>
      <c r="T11" s="770" t="s">
        <v>17</v>
      </c>
      <c r="U11" s="771">
        <f t="shared" si="1"/>
        <v>102</v>
      </c>
      <c r="V11" s="770" t="s">
        <v>17</v>
      </c>
      <c r="W11" s="771">
        <f t="shared" si="2"/>
        <v>98</v>
      </c>
      <c r="X11" s="772"/>
      <c r="Y11" s="3015"/>
      <c r="Z11" s="55" t="str">
        <f t="shared" si="7"/>
        <v>容积率</v>
      </c>
      <c r="AA11" s="773">
        <f t="shared" si="3"/>
        <v>0.98039215686274506</v>
      </c>
      <c r="AB11" s="773">
        <f t="shared" si="4"/>
        <v>0.98039215686274506</v>
      </c>
      <c r="AC11" s="773">
        <f t="shared" si="5"/>
        <v>1.0204081632653061</v>
      </c>
    </row>
    <row r="12" spans="1:30" s="117" customFormat="1" ht="15" hidden="1">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7"/>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hidden="1">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hidden="1"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7"/>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hidden="1">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9" t="s">
        <v>2563</v>
      </c>
      <c r="Q15" s="1813" t="str">
        <f t="shared" si="6"/>
        <v>居住社区成熟度</v>
      </c>
      <c r="R15" s="774" t="s">
        <v>17</v>
      </c>
      <c r="S15" s="775">
        <f t="shared" si="0"/>
        <v>100</v>
      </c>
      <c r="T15" s="774" t="s">
        <v>17</v>
      </c>
      <c r="U15" s="775">
        <f t="shared" si="1"/>
        <v>100</v>
      </c>
      <c r="V15" s="774" t="s">
        <v>17</v>
      </c>
      <c r="W15" s="775">
        <f t="shared" si="2"/>
        <v>100</v>
      </c>
      <c r="X15" s="1816"/>
      <c r="Y15" s="3169" t="s">
        <v>2563</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3"/>
      <c r="M16" s="1134"/>
      <c r="N16" s="1134"/>
      <c r="O16" s="1142"/>
      <c r="P16" s="3170"/>
      <c r="Q16" s="1813"/>
      <c r="R16" s="774"/>
      <c r="S16" s="775"/>
      <c r="T16" s="774"/>
      <c r="U16" s="775"/>
      <c r="V16" s="774"/>
      <c r="W16" s="775"/>
      <c r="X16" s="1816"/>
      <c r="Y16" s="3170"/>
      <c r="Z16" s="1817"/>
      <c r="AA16" s="1814">
        <v>1</v>
      </c>
      <c r="AB16" s="1814">
        <v>1</v>
      </c>
      <c r="AC16" s="1814">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96</v>
      </c>
      <c r="K17" s="673">
        <v>2</v>
      </c>
      <c r="L17" s="1143"/>
      <c r="M17" s="1134"/>
      <c r="N17" s="1134"/>
      <c r="O17" s="1142"/>
      <c r="P17" s="3170"/>
      <c r="Q17" s="1813" t="str">
        <f>B17</f>
        <v>商业繁华度</v>
      </c>
      <c r="R17" s="774" t="s">
        <v>17</v>
      </c>
      <c r="S17" s="775">
        <f>F17</f>
        <v>100</v>
      </c>
      <c r="T17" s="774" t="s">
        <v>17</v>
      </c>
      <c r="U17" s="775">
        <f>H17</f>
        <v>100</v>
      </c>
      <c r="V17" s="774" t="s">
        <v>17</v>
      </c>
      <c r="W17" s="775">
        <f>J17</f>
        <v>96</v>
      </c>
      <c r="X17" s="1816"/>
      <c r="Y17" s="3170"/>
      <c r="Z17" s="1817" t="str">
        <f>Q17</f>
        <v>商业繁华度</v>
      </c>
      <c r="AA17" s="1814">
        <f t="shared" si="3"/>
        <v>1</v>
      </c>
      <c r="AB17" s="1814">
        <f t="shared" si="4"/>
        <v>1</v>
      </c>
      <c r="AC17" s="1814">
        <f t="shared" si="5"/>
        <v>1.0416666666666667</v>
      </c>
    </row>
    <row r="18" spans="1:29" ht="15">
      <c r="A18" s="428"/>
      <c r="B18" s="456"/>
      <c r="C18" s="2611" t="s">
        <v>3100</v>
      </c>
      <c r="D18" s="450"/>
      <c r="E18" s="2611" t="s">
        <v>3100</v>
      </c>
      <c r="F18" s="450"/>
      <c r="G18" s="2611" t="s">
        <v>3100</v>
      </c>
      <c r="H18" s="448"/>
      <c r="I18" s="2611" t="s">
        <v>3101</v>
      </c>
      <c r="J18" s="448"/>
      <c r="K18" s="672"/>
      <c r="L18" s="1143"/>
      <c r="M18" s="1134"/>
      <c r="N18" s="1134"/>
      <c r="O18" s="1142"/>
      <c r="P18" s="3170"/>
      <c r="Q18" s="1813"/>
      <c r="R18" s="774"/>
      <c r="S18" s="775"/>
      <c r="T18" s="774"/>
      <c r="U18" s="775"/>
      <c r="V18" s="774"/>
      <c r="W18" s="775"/>
      <c r="X18" s="1816"/>
      <c r="Y18" s="3170"/>
      <c r="Z18" s="1817"/>
      <c r="AA18" s="1814">
        <v>1</v>
      </c>
      <c r="AB18" s="1814">
        <v>1</v>
      </c>
      <c r="AC18" s="1814">
        <v>1</v>
      </c>
    </row>
    <row r="19" spans="1:29" ht="71.25" hidden="1">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0"/>
      <c r="Q19" s="1813" t="str">
        <f>B19</f>
        <v>办公集聚程度</v>
      </c>
      <c r="R19" s="774" t="s">
        <v>17</v>
      </c>
      <c r="S19" s="775">
        <f>F19</f>
        <v>100</v>
      </c>
      <c r="T19" s="774" t="s">
        <v>17</v>
      </c>
      <c r="U19" s="775">
        <f>H19</f>
        <v>100</v>
      </c>
      <c r="V19" s="774" t="s">
        <v>17</v>
      </c>
      <c r="W19" s="775">
        <f>J19</f>
        <v>100</v>
      </c>
      <c r="X19" s="1816"/>
      <c r="Y19" s="3170"/>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3"/>
      <c r="M20" s="1134"/>
      <c r="N20" s="1134"/>
      <c r="O20" s="1142"/>
      <c r="P20" s="3170"/>
      <c r="Q20" s="1813"/>
      <c r="R20" s="774"/>
      <c r="S20" s="775"/>
      <c r="T20" s="774"/>
      <c r="U20" s="775"/>
      <c r="V20" s="774"/>
      <c r="W20" s="775"/>
      <c r="X20" s="1816"/>
      <c r="Y20" s="3170"/>
      <c r="Z20" s="1817"/>
      <c r="AA20" s="1814">
        <v>1</v>
      </c>
      <c r="AB20" s="1814">
        <v>1</v>
      </c>
      <c r="AC20" s="1814">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98</v>
      </c>
      <c r="K21" s="673">
        <v>2</v>
      </c>
      <c r="L21" s="1143"/>
      <c r="M21" s="1134"/>
      <c r="N21" s="1134"/>
      <c r="O21" s="1142"/>
      <c r="P21" s="3170"/>
      <c r="Q21" s="1813" t="str">
        <f>B21</f>
        <v>交通便捷度</v>
      </c>
      <c r="R21" s="774" t="s">
        <v>17</v>
      </c>
      <c r="S21" s="775">
        <f>F21</f>
        <v>100</v>
      </c>
      <c r="T21" s="774" t="s">
        <v>17</v>
      </c>
      <c r="U21" s="775">
        <f>H21</f>
        <v>100</v>
      </c>
      <c r="V21" s="774" t="s">
        <v>17</v>
      </c>
      <c r="W21" s="775">
        <f>J21</f>
        <v>98</v>
      </c>
      <c r="X21" s="1816"/>
      <c r="Y21" s="3170"/>
      <c r="Z21" s="1817" t="str">
        <f>Q21</f>
        <v>交通便捷度</v>
      </c>
      <c r="AA21" s="1814">
        <f t="shared" si="3"/>
        <v>1</v>
      </c>
      <c r="AB21" s="1814">
        <f t="shared" si="4"/>
        <v>1</v>
      </c>
      <c r="AC21" s="1814">
        <f t="shared" si="5"/>
        <v>1.0204081632653061</v>
      </c>
    </row>
    <row r="22" spans="1:29" ht="15">
      <c r="A22" s="428"/>
      <c r="B22" s="1387"/>
      <c r="C22" s="447" t="s">
        <v>3100</v>
      </c>
      <c r="D22" s="450"/>
      <c r="E22" s="2608" t="s">
        <v>3100</v>
      </c>
      <c r="F22" s="448"/>
      <c r="G22" s="2608" t="s">
        <v>3100</v>
      </c>
      <c r="H22" s="448"/>
      <c r="I22" s="2607" t="s">
        <v>3102</v>
      </c>
      <c r="J22" s="448"/>
      <c r="K22" s="672"/>
      <c r="L22" s="1143"/>
      <c r="M22" s="1134"/>
      <c r="N22" s="1134"/>
      <c r="O22" s="1142"/>
      <c r="P22" s="3170"/>
      <c r="Q22" s="1813"/>
      <c r="R22" s="774"/>
      <c r="S22" s="775"/>
      <c r="T22" s="774"/>
      <c r="U22" s="775"/>
      <c r="V22" s="774"/>
      <c r="W22" s="775"/>
      <c r="X22" s="1816"/>
      <c r="Y22" s="3170"/>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0"/>
      <c r="Q23" s="1813" t="str">
        <f t="shared" ref="Q23:Q37" si="8">B23</f>
        <v>区域土地利用方向</v>
      </c>
      <c r="R23" s="774" t="s">
        <v>17</v>
      </c>
      <c r="S23" s="775">
        <f>F23</f>
        <v>100</v>
      </c>
      <c r="T23" s="774" t="s">
        <v>17</v>
      </c>
      <c r="U23" s="775">
        <f>H23</f>
        <v>100</v>
      </c>
      <c r="V23" s="774" t="s">
        <v>17</v>
      </c>
      <c r="W23" s="775">
        <f>J23</f>
        <v>100</v>
      </c>
      <c r="X23" s="1816"/>
      <c r="Y23" s="3170"/>
      <c r="Z23" s="1817" t="str">
        <f>Q23</f>
        <v>区域土地利用方向</v>
      </c>
      <c r="AA23" s="1814">
        <f t="shared" si="3"/>
        <v>1</v>
      </c>
      <c r="AB23" s="1814">
        <f t="shared" si="4"/>
        <v>1</v>
      </c>
      <c r="AC23" s="1814">
        <f t="shared" si="5"/>
        <v>1</v>
      </c>
    </row>
    <row r="24" spans="1:29" ht="15">
      <c r="A24" s="404"/>
      <c r="B24" s="456"/>
      <c r="C24" s="616" t="s">
        <v>3102</v>
      </c>
      <c r="D24" s="448"/>
      <c r="E24" s="616" t="s">
        <v>3102</v>
      </c>
      <c r="F24" s="448"/>
      <c r="G24" s="616" t="s">
        <v>3102</v>
      </c>
      <c r="H24" s="448"/>
      <c r="I24" s="616" t="s">
        <v>3102</v>
      </c>
      <c r="J24" s="448"/>
      <c r="K24" s="812"/>
      <c r="L24" s="1143"/>
      <c r="M24" s="1134"/>
      <c r="N24" s="1134"/>
      <c r="O24" s="1142"/>
      <c r="P24" s="3170"/>
      <c r="Q24" s="1813"/>
      <c r="R24" s="774"/>
      <c r="S24" s="775"/>
      <c r="T24" s="774"/>
      <c r="U24" s="775"/>
      <c r="V24" s="774"/>
      <c r="W24" s="775"/>
      <c r="X24" s="1816"/>
      <c r="Y24" s="3170"/>
      <c r="Z24" s="1817"/>
      <c r="AA24" s="1814"/>
      <c r="AB24" s="1814"/>
      <c r="AC24" s="1814"/>
    </row>
    <row r="25" spans="1:29" ht="57">
      <c r="A25" s="404"/>
      <c r="B25" s="1387"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0"/>
      <c r="Q25" s="1813" t="str">
        <f t="shared" si="8"/>
        <v>自然及人文环境状况</v>
      </c>
      <c r="R25" s="774" t="s">
        <v>17</v>
      </c>
      <c r="S25" s="775">
        <f>F25</f>
        <v>100</v>
      </c>
      <c r="T25" s="774" t="s">
        <v>17</v>
      </c>
      <c r="U25" s="775">
        <f>H25</f>
        <v>100</v>
      </c>
      <c r="V25" s="774" t="s">
        <v>17</v>
      </c>
      <c r="W25" s="775">
        <f>J25</f>
        <v>100</v>
      </c>
      <c r="X25" s="1816"/>
      <c r="Y25" s="3170"/>
      <c r="Z25" s="1817" t="str">
        <f>Q25</f>
        <v>自然及人文环境状况</v>
      </c>
      <c r="AA25" s="1814">
        <f t="shared" si="3"/>
        <v>1</v>
      </c>
      <c r="AB25" s="1814">
        <f t="shared" si="4"/>
        <v>1</v>
      </c>
      <c r="AC25" s="1814">
        <f t="shared" si="5"/>
        <v>1</v>
      </c>
    </row>
    <row r="26" spans="1:29" ht="15">
      <c r="A26" s="404"/>
      <c r="B26" s="456"/>
      <c r="C26" s="447" t="s">
        <v>3102</v>
      </c>
      <c r="D26" s="448"/>
      <c r="E26" s="447" t="s">
        <v>3102</v>
      </c>
      <c r="F26" s="448"/>
      <c r="G26" s="447" t="s">
        <v>3102</v>
      </c>
      <c r="H26" s="448"/>
      <c r="I26" s="447" t="s">
        <v>3102</v>
      </c>
      <c r="J26" s="448"/>
      <c r="K26" s="672"/>
      <c r="L26" s="1143"/>
      <c r="M26" s="1134"/>
      <c r="N26" s="1134"/>
      <c r="O26" s="1142"/>
      <c r="P26" s="3170"/>
      <c r="Q26" s="1813"/>
      <c r="R26" s="774"/>
      <c r="S26" s="775"/>
      <c r="T26" s="774"/>
      <c r="U26" s="775"/>
      <c r="V26" s="774"/>
      <c r="W26" s="775"/>
      <c r="X26" s="1816"/>
      <c r="Y26" s="3170"/>
      <c r="Z26" s="1817"/>
      <c r="AA26" s="1814">
        <v>1</v>
      </c>
      <c r="AB26" s="1814">
        <v>1</v>
      </c>
      <c r="AC26" s="1814">
        <v>1</v>
      </c>
    </row>
    <row r="27" spans="1:29" s="117" customFormat="1" ht="42.75">
      <c r="A27" s="649"/>
      <c r="B27" s="1387"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96</v>
      </c>
      <c r="K27" s="673">
        <v>2</v>
      </c>
      <c r="L27" s="1135"/>
      <c r="M27" s="1136"/>
      <c r="N27" s="1136"/>
      <c r="O27" s="1137"/>
      <c r="P27" s="3170"/>
      <c r="Q27" s="1798" t="str">
        <f t="shared" si="8"/>
        <v>公共配套设施</v>
      </c>
      <c r="R27" s="770" t="s">
        <v>17</v>
      </c>
      <c r="S27" s="771">
        <f>F27</f>
        <v>100</v>
      </c>
      <c r="T27" s="770" t="s">
        <v>17</v>
      </c>
      <c r="U27" s="771">
        <f>H27</f>
        <v>98</v>
      </c>
      <c r="V27" s="770" t="s">
        <v>17</v>
      </c>
      <c r="W27" s="771">
        <f>J27</f>
        <v>96</v>
      </c>
      <c r="X27" s="772"/>
      <c r="Y27" s="3170"/>
      <c r="Z27" s="55" t="str">
        <f>Q27</f>
        <v>公共配套设施</v>
      </c>
      <c r="AA27" s="1814">
        <f>D27/F27</f>
        <v>1</v>
      </c>
      <c r="AB27" s="1814">
        <f>D27/H27</f>
        <v>1.0204081632653061</v>
      </c>
      <c r="AC27" s="1814">
        <f>D27/J27</f>
        <v>1.0416666666666667</v>
      </c>
    </row>
    <row r="28" spans="1:29" s="117" customFormat="1" ht="15">
      <c r="A28" s="649"/>
      <c r="B28" s="456"/>
      <c r="C28" s="2703" t="s">
        <v>3100</v>
      </c>
      <c r="D28" s="448"/>
      <c r="E28" s="2703" t="s">
        <v>3100</v>
      </c>
      <c r="F28" s="448"/>
      <c r="G28" s="2614" t="s">
        <v>3102</v>
      </c>
      <c r="H28" s="448"/>
      <c r="I28" s="447" t="s">
        <v>3101</v>
      </c>
      <c r="J28" s="448"/>
      <c r="K28" s="672"/>
      <c r="L28" s="1135"/>
      <c r="M28" s="1136"/>
      <c r="N28" s="1136"/>
      <c r="O28" s="1137"/>
      <c r="P28" s="3170"/>
      <c r="Q28" s="1798"/>
      <c r="R28" s="770"/>
      <c r="S28" s="771"/>
      <c r="T28" s="770"/>
      <c r="U28" s="771"/>
      <c r="V28" s="770"/>
      <c r="W28" s="771"/>
      <c r="X28" s="772"/>
      <c r="Y28" s="3170"/>
      <c r="Z28" s="55"/>
      <c r="AA28" s="1814">
        <v>1</v>
      </c>
      <c r="AB28" s="1814">
        <v>1</v>
      </c>
      <c r="AC28" s="1814">
        <v>1</v>
      </c>
    </row>
    <row r="29" spans="1:29" s="117" customFormat="1" ht="28.5">
      <c r="A29" s="649"/>
      <c r="B29" s="1387"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70"/>
      <c r="Q29" s="1798"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4">
        <f>D29/F29</f>
        <v>1</v>
      </c>
      <c r="AB29" s="1814">
        <f>D29/H29</f>
        <v>1</v>
      </c>
      <c r="AC29" s="1814">
        <f>D29/J29</f>
        <v>1</v>
      </c>
    </row>
    <row r="30" spans="1:29" s="117" customFormat="1" ht="15">
      <c r="A30" s="649"/>
      <c r="B30" s="456"/>
      <c r="C30" s="2703" t="s">
        <v>3103</v>
      </c>
      <c r="D30" s="448"/>
      <c r="E30" s="2703" t="s">
        <v>3103</v>
      </c>
      <c r="F30" s="448"/>
      <c r="G30" s="2703" t="s">
        <v>3103</v>
      </c>
      <c r="H30" s="448"/>
      <c r="I30" s="2703" t="s">
        <v>3103</v>
      </c>
      <c r="J30" s="448"/>
      <c r="K30" s="672"/>
      <c r="L30" s="1135"/>
      <c r="M30" s="1136"/>
      <c r="N30" s="1136"/>
      <c r="O30" s="1137"/>
      <c r="P30" s="3170"/>
      <c r="Q30" s="1798"/>
      <c r="R30" s="770"/>
      <c r="S30" s="771"/>
      <c r="T30" s="770"/>
      <c r="U30" s="771"/>
      <c r="V30" s="770"/>
      <c r="W30" s="771"/>
      <c r="X30" s="772"/>
      <c r="Y30" s="3170"/>
      <c r="Z30" s="55"/>
      <c r="AA30" s="1814">
        <v>1</v>
      </c>
      <c r="AB30" s="1814">
        <v>1</v>
      </c>
      <c r="AC30" s="1814">
        <v>1</v>
      </c>
    </row>
    <row r="31" spans="1:29" ht="15" hidden="1">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0"/>
      <c r="Z31" s="1817" t="str">
        <f t="shared" ref="Z31:Z45" si="13">Q31</f>
        <v>临街状况</v>
      </c>
      <c r="AA31" s="1814">
        <f t="shared" si="3"/>
        <v>1</v>
      </c>
      <c r="AB31" s="1814">
        <f t="shared" si="4"/>
        <v>1</v>
      </c>
      <c r="AC31" s="1814">
        <f t="shared" si="5"/>
        <v>1</v>
      </c>
    </row>
    <row r="32" spans="1:29" ht="27">
      <c r="A32" s="428"/>
      <c r="B32" s="1387" t="s">
        <v>2694</v>
      </c>
      <c r="C32" s="454" t="s">
        <v>3104</v>
      </c>
      <c r="D32" s="450">
        <v>100</v>
      </c>
      <c r="E32" s="452" t="s">
        <v>3105</v>
      </c>
      <c r="F32" s="450">
        <f>SUMIF(106:106,E33,107:107)-SUMIF(106:106,C33,107:107)+100</f>
        <v>102</v>
      </c>
      <c r="G32" s="452"/>
      <c r="H32" s="450">
        <f>SUMIF(106:106,G33,107:107)-SUMIF(106:106,C33,107:107)+100</f>
        <v>96</v>
      </c>
      <c r="I32" s="454" t="s">
        <v>3106</v>
      </c>
      <c r="J32" s="450">
        <f>SUMIF(106:106,I33,107:107)-SUMIF(106:106,C33,107:107)+100</f>
        <v>100</v>
      </c>
      <c r="K32" s="673">
        <v>2</v>
      </c>
      <c r="L32" s="1143"/>
      <c r="M32" s="1134"/>
      <c r="N32" s="1134"/>
      <c r="O32" s="1142"/>
      <c r="P32" s="3170"/>
      <c r="Q32" s="1813" t="str">
        <f t="shared" si="8"/>
        <v>毗邻道路的类型与等级</v>
      </c>
      <c r="R32" s="774" t="s">
        <v>17</v>
      </c>
      <c r="S32" s="775">
        <f t="shared" si="10"/>
        <v>102</v>
      </c>
      <c r="T32" s="774" t="s">
        <v>17</v>
      </c>
      <c r="U32" s="775">
        <f t="shared" si="11"/>
        <v>96</v>
      </c>
      <c r="V32" s="774" t="s">
        <v>17</v>
      </c>
      <c r="W32" s="775">
        <f t="shared" si="12"/>
        <v>100</v>
      </c>
      <c r="X32" s="1816"/>
      <c r="Y32" s="3170"/>
      <c r="Z32" s="1817" t="str">
        <f t="shared" si="13"/>
        <v>毗邻道路的类型与等级</v>
      </c>
      <c r="AA32" s="1814">
        <f t="shared" si="3"/>
        <v>0.98039215686274506</v>
      </c>
      <c r="AB32" s="1814">
        <f t="shared" si="4"/>
        <v>1.0416666666666667</v>
      </c>
      <c r="AC32" s="1814">
        <f t="shared" si="5"/>
        <v>1</v>
      </c>
    </row>
    <row r="33" spans="1:29" ht="15.75" thickBot="1">
      <c r="A33" s="428"/>
      <c r="B33" s="456"/>
      <c r="C33" s="447" t="s">
        <v>3112</v>
      </c>
      <c r="D33" s="448"/>
      <c r="E33" s="2614" t="s">
        <v>3113</v>
      </c>
      <c r="F33" s="448"/>
      <c r="G33" s="2614" t="s">
        <v>3114</v>
      </c>
      <c r="H33" s="448"/>
      <c r="I33" s="447" t="s">
        <v>3112</v>
      </c>
      <c r="J33" s="448"/>
      <c r="K33" s="613"/>
      <c r="L33" s="1143"/>
      <c r="M33" s="1134"/>
      <c r="N33" s="1134"/>
      <c r="O33" s="1142"/>
      <c r="P33" s="3170"/>
      <c r="Q33" s="1813"/>
      <c r="R33" s="774"/>
      <c r="S33" s="775"/>
      <c r="T33" s="774"/>
      <c r="U33" s="775"/>
      <c r="V33" s="774"/>
      <c r="W33" s="775"/>
      <c r="X33" s="1816"/>
      <c r="Y33" s="3170"/>
      <c r="Z33" s="1817"/>
      <c r="AA33" s="1814">
        <v>1</v>
      </c>
      <c r="AB33" s="1814">
        <v>1</v>
      </c>
      <c r="AC33" s="1814">
        <v>1</v>
      </c>
    </row>
    <row r="34" spans="1:29" ht="15" hidden="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0"/>
      <c r="Q34" s="1813" t="str">
        <f t="shared" si="8"/>
        <v>土地级别</v>
      </c>
      <c r="R34" s="774" t="s">
        <v>17</v>
      </c>
      <c r="S34" s="775">
        <f t="shared" si="10"/>
        <v>100</v>
      </c>
      <c r="T34" s="774" t="s">
        <v>17</v>
      </c>
      <c r="U34" s="775">
        <f t="shared" si="11"/>
        <v>100</v>
      </c>
      <c r="V34" s="774" t="s">
        <v>17</v>
      </c>
      <c r="W34" s="775">
        <f t="shared" si="12"/>
        <v>100</v>
      </c>
      <c r="X34" s="1816"/>
      <c r="Y34" s="3170"/>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0"/>
      <c r="Q35" s="1813">
        <f t="shared" si="8"/>
        <v>111</v>
      </c>
      <c r="R35" s="774" t="s">
        <v>17</v>
      </c>
      <c r="S35" s="775">
        <f t="shared" si="10"/>
        <v>100</v>
      </c>
      <c r="T35" s="774" t="s">
        <v>17</v>
      </c>
      <c r="U35" s="775">
        <f t="shared" si="11"/>
        <v>100</v>
      </c>
      <c r="V35" s="774" t="s">
        <v>17</v>
      </c>
      <c r="W35" s="775">
        <f t="shared" si="12"/>
        <v>100</v>
      </c>
      <c r="X35" s="1816"/>
      <c r="Y35" s="3170"/>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1" t="s">
        <v>2568</v>
      </c>
      <c r="Q36" s="1813">
        <f t="shared" si="8"/>
        <v>111</v>
      </c>
      <c r="R36" s="774" t="s">
        <v>17</v>
      </c>
      <c r="S36" s="775">
        <f t="shared" si="10"/>
        <v>100</v>
      </c>
      <c r="T36" s="774" t="s">
        <v>17</v>
      </c>
      <c r="U36" s="775">
        <f t="shared" si="11"/>
        <v>100</v>
      </c>
      <c r="V36" s="774" t="s">
        <v>17</v>
      </c>
      <c r="W36" s="775">
        <f t="shared" si="12"/>
        <v>100</v>
      </c>
      <c r="X36" s="1816"/>
      <c r="Y36" s="3172" t="s">
        <v>2568</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3">
        <f t="shared" si="8"/>
        <v>111</v>
      </c>
      <c r="R37" s="777" t="s">
        <v>17</v>
      </c>
      <c r="S37" s="778">
        <f t="shared" si="10"/>
        <v>100</v>
      </c>
      <c r="T37" s="777" t="s">
        <v>17</v>
      </c>
      <c r="U37" s="778">
        <f t="shared" si="11"/>
        <v>100</v>
      </c>
      <c r="V37" s="777" t="s">
        <v>17</v>
      </c>
      <c r="W37" s="778">
        <f t="shared" si="12"/>
        <v>100</v>
      </c>
      <c r="X37" s="779"/>
      <c r="Y37" s="3172"/>
      <c r="Z37" s="780">
        <f t="shared" si="13"/>
        <v>111</v>
      </c>
      <c r="AA37" s="1814">
        <f t="shared" si="3"/>
        <v>1</v>
      </c>
      <c r="AB37" s="1814">
        <f t="shared" si="4"/>
        <v>1</v>
      </c>
      <c r="AC37" s="1814">
        <f t="shared" si="5"/>
        <v>1</v>
      </c>
    </row>
    <row r="38" spans="1:29" ht="15">
      <c r="A38" s="472" t="s">
        <v>2566</v>
      </c>
      <c r="B38" s="456" t="s">
        <v>2754</v>
      </c>
      <c r="C38" s="679">
        <f>项目基本情况!C18</f>
        <v>31518.76</v>
      </c>
      <c r="D38" s="467">
        <v>100</v>
      </c>
      <c r="E38" s="679">
        <v>47345</v>
      </c>
      <c r="F38" s="467">
        <f>LOOKUP(E38,117:117,118:118)-LOOKUP(C38,117:117,118:118)+100</f>
        <v>100</v>
      </c>
      <c r="G38" s="679">
        <v>17953</v>
      </c>
      <c r="H38" s="467">
        <f>LOOKUP(G38,117:117,118:118)-LOOKUP(C38,117:117,118:118)+100</f>
        <v>100</v>
      </c>
      <c r="I38" s="530">
        <v>51071.7</v>
      </c>
      <c r="J38" s="467">
        <f>LOOKUP(I38,117:117,118:118)-LOOKUP(C38,117:117,118:118)+100</f>
        <v>102</v>
      </c>
      <c r="K38" s="613"/>
      <c r="L38" s="1143"/>
      <c r="M38" s="1134"/>
      <c r="N38" s="1134"/>
      <c r="O38" s="1142"/>
      <c r="P38" s="3172"/>
      <c r="Q38" s="1813" t="str">
        <f>B38</f>
        <v>宗地面积</v>
      </c>
      <c r="R38" s="774" t="s">
        <v>17</v>
      </c>
      <c r="S38" s="775">
        <f t="shared" si="10"/>
        <v>100</v>
      </c>
      <c r="T38" s="774" t="s">
        <v>17</v>
      </c>
      <c r="U38" s="775">
        <f t="shared" si="11"/>
        <v>100</v>
      </c>
      <c r="V38" s="774" t="s">
        <v>17</v>
      </c>
      <c r="W38" s="775">
        <f t="shared" si="12"/>
        <v>102</v>
      </c>
      <c r="X38" s="1816"/>
      <c r="Y38" s="3172"/>
      <c r="Z38" s="1817" t="str">
        <f t="shared" si="13"/>
        <v>宗地面积</v>
      </c>
      <c r="AA38" s="1814">
        <f t="shared" si="3"/>
        <v>1</v>
      </c>
      <c r="AB38" s="1814">
        <f t="shared" si="4"/>
        <v>1</v>
      </c>
      <c r="AC38" s="1814">
        <f t="shared" si="5"/>
        <v>0.98039215686274506</v>
      </c>
    </row>
    <row r="39" spans="1:29" ht="15">
      <c r="A39" s="472"/>
      <c r="B39" s="422" t="s">
        <v>2755</v>
      </c>
      <c r="C39" s="2616" t="s">
        <v>3128</v>
      </c>
      <c r="D39" s="435">
        <v>100</v>
      </c>
      <c r="E39" s="2616" t="s">
        <v>3130</v>
      </c>
      <c r="F39" s="435">
        <f>SUMIF(119:119,E39,120:120)-SUMIF(119:119,C39,120:120)+100</f>
        <v>98</v>
      </c>
      <c r="G39" s="2616" t="s">
        <v>3130</v>
      </c>
      <c r="H39" s="435">
        <f>SUMIF(119:119,G39,120:120)-SUMIF(119:119,C39,120:120)+100</f>
        <v>98</v>
      </c>
      <c r="I39" s="2616" t="s">
        <v>3128</v>
      </c>
      <c r="J39" s="435">
        <f>SUMIF(119:119,I39,120:120)-SUMIF(119:119,C39,120:120)+100</f>
        <v>100</v>
      </c>
      <c r="K39" s="612">
        <v>2</v>
      </c>
      <c r="L39" s="1143"/>
      <c r="M39" s="1134"/>
      <c r="N39" s="1134"/>
      <c r="O39" s="1142"/>
      <c r="P39" s="3172"/>
      <c r="Q39" s="1813" t="str">
        <f t="shared" ref="Q39:Q45" si="14">B39</f>
        <v>宗地形状</v>
      </c>
      <c r="R39" s="774" t="s">
        <v>17</v>
      </c>
      <c r="S39" s="775">
        <f t="shared" si="10"/>
        <v>98</v>
      </c>
      <c r="T39" s="774" t="s">
        <v>17</v>
      </c>
      <c r="U39" s="775">
        <f t="shared" si="11"/>
        <v>98</v>
      </c>
      <c r="V39" s="774" t="s">
        <v>17</v>
      </c>
      <c r="W39" s="775">
        <f t="shared" si="12"/>
        <v>100</v>
      </c>
      <c r="X39" s="1816"/>
      <c r="Y39" s="3172"/>
      <c r="Z39" s="1817" t="str">
        <f t="shared" si="13"/>
        <v>宗地形状</v>
      </c>
      <c r="AA39" s="1814">
        <f t="shared" si="3"/>
        <v>1.0204081632653061</v>
      </c>
      <c r="AB39" s="1814">
        <f t="shared" si="4"/>
        <v>1.0204081632653061</v>
      </c>
      <c r="AC39" s="1814">
        <f t="shared" si="5"/>
        <v>1</v>
      </c>
    </row>
    <row r="40" spans="1:29" ht="15">
      <c r="A40" s="472"/>
      <c r="B40" s="422" t="s">
        <v>2756</v>
      </c>
      <c r="C40" s="2616" t="s">
        <v>3100</v>
      </c>
      <c r="D40" s="435">
        <v>100</v>
      </c>
      <c r="E40" s="2616" t="s">
        <v>3102</v>
      </c>
      <c r="F40" s="435">
        <f>SUMIF(121:121,E40,122:122)-SUMIF(121:121,C40,122:122)+100</f>
        <v>98</v>
      </c>
      <c r="G40" s="2616" t="s">
        <v>3102</v>
      </c>
      <c r="H40" s="435">
        <f>SUMIF(121:121,G40,122:122)-SUMIF(121:121,C40,122:122)+100</f>
        <v>98</v>
      </c>
      <c r="I40" s="2616" t="s">
        <v>3100</v>
      </c>
      <c r="J40" s="435">
        <f>SUMIF(121:121,I40,122:122)-SUMIF(121:121,C40,122:122)+100</f>
        <v>100</v>
      </c>
      <c r="K40" s="612">
        <v>2</v>
      </c>
      <c r="L40" s="1143"/>
      <c r="M40" s="1134"/>
      <c r="N40" s="1134"/>
      <c r="O40" s="1142"/>
      <c r="P40" s="3172"/>
      <c r="Q40" s="1813" t="str">
        <f t="shared" si="14"/>
        <v>临街宽度及深度</v>
      </c>
      <c r="R40" s="774" t="s">
        <v>17</v>
      </c>
      <c r="S40" s="775">
        <f t="shared" si="10"/>
        <v>98</v>
      </c>
      <c r="T40" s="774" t="s">
        <v>17</v>
      </c>
      <c r="U40" s="775">
        <f t="shared" si="11"/>
        <v>98</v>
      </c>
      <c r="V40" s="774" t="s">
        <v>17</v>
      </c>
      <c r="W40" s="775">
        <f t="shared" si="12"/>
        <v>100</v>
      </c>
      <c r="X40" s="1816"/>
      <c r="Y40" s="3172"/>
      <c r="Z40" s="1817" t="str">
        <f t="shared" si="13"/>
        <v>临街宽度及深度</v>
      </c>
      <c r="AA40" s="1814">
        <f t="shared" si="3"/>
        <v>1.0204081632653061</v>
      </c>
      <c r="AB40" s="1814">
        <f t="shared" si="4"/>
        <v>1.0204081632653061</v>
      </c>
      <c r="AC40" s="1814">
        <f t="shared" si="5"/>
        <v>1</v>
      </c>
    </row>
    <row r="41" spans="1:29" s="117" customFormat="1" ht="15">
      <c r="A41" s="473"/>
      <c r="B41" s="422" t="s">
        <v>2757</v>
      </c>
      <c r="C41" s="2705" t="s">
        <v>3129</v>
      </c>
      <c r="D41" s="136">
        <v>100</v>
      </c>
      <c r="E41" s="2705" t="s">
        <v>3129</v>
      </c>
      <c r="F41" s="435">
        <f>SUMIF(123:123,E41,124:124)-SUMIF(123:123,C41,124:124)+100</f>
        <v>100</v>
      </c>
      <c r="G41" s="2705" t="s">
        <v>3129</v>
      </c>
      <c r="H41" s="435">
        <f>SUMIF(123:123,G41,124:124)-SUMIF(123:123,C41,124:124)+100</f>
        <v>100</v>
      </c>
      <c r="I41" s="2705" t="s">
        <v>3129</v>
      </c>
      <c r="J41" s="435">
        <f>SUMIF(123:123,I41,124:124)-SUMIF(123:123,C41,124:124)+100</f>
        <v>100</v>
      </c>
      <c r="K41" s="612">
        <v>2</v>
      </c>
      <c r="L41" s="1135"/>
      <c r="M41" s="1136"/>
      <c r="N41" s="1136"/>
      <c r="O41" s="1137"/>
      <c r="P41" s="3172"/>
      <c r="Q41" s="1813"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75" thickBot="1">
      <c r="A42" s="472"/>
      <c r="B42" s="422" t="s">
        <v>2758</v>
      </c>
      <c r="C42" s="2616" t="s">
        <v>3100</v>
      </c>
      <c r="D42" s="435">
        <v>100</v>
      </c>
      <c r="E42" s="2616" t="s">
        <v>3100</v>
      </c>
      <c r="F42" s="435">
        <f>SUMIF(125:125,E42,126:126)-SUMIF(125:125,C42,126:126)+100</f>
        <v>100</v>
      </c>
      <c r="G42" s="2616" t="s">
        <v>3100</v>
      </c>
      <c r="H42" s="435">
        <f>SUMIF(125:125,G42,126:126)-SUMIF(125:125,C42,126:126)+100</f>
        <v>100</v>
      </c>
      <c r="I42" s="2616" t="s">
        <v>3100</v>
      </c>
      <c r="J42" s="435">
        <f>SUMIF(125:125,I42,126:126)-SUMIF(125:125,C42,126:126)+100</f>
        <v>100</v>
      </c>
      <c r="K42" s="612">
        <v>2</v>
      </c>
      <c r="L42" s="1143"/>
      <c r="M42" s="1134"/>
      <c r="N42" s="1134"/>
      <c r="O42" s="1142"/>
      <c r="P42" s="3172" t="s">
        <v>2568</v>
      </c>
      <c r="Q42" s="1813" t="str">
        <f t="shared" si="14"/>
        <v>工程地质条件</v>
      </c>
      <c r="R42" s="774" t="s">
        <v>17</v>
      </c>
      <c r="S42" s="775">
        <f t="shared" si="10"/>
        <v>100</v>
      </c>
      <c r="T42" s="774" t="s">
        <v>17</v>
      </c>
      <c r="U42" s="775">
        <f t="shared" si="11"/>
        <v>100</v>
      </c>
      <c r="V42" s="774" t="s">
        <v>17</v>
      </c>
      <c r="W42" s="775">
        <f t="shared" si="12"/>
        <v>100</v>
      </c>
      <c r="X42" s="1816"/>
      <c r="Y42" s="3172" t="s">
        <v>2568</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3">
        <f t="shared" si="14"/>
        <v>111</v>
      </c>
      <c r="R43" s="774" t="s">
        <v>17</v>
      </c>
      <c r="S43" s="775">
        <f t="shared" si="10"/>
        <v>100</v>
      </c>
      <c r="T43" s="774" t="s">
        <v>17</v>
      </c>
      <c r="U43" s="775">
        <f t="shared" si="11"/>
        <v>100</v>
      </c>
      <c r="V43" s="774" t="s">
        <v>17</v>
      </c>
      <c r="W43" s="775">
        <f t="shared" si="12"/>
        <v>100</v>
      </c>
      <c r="X43" s="1816"/>
      <c r="Y43" s="3172"/>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3">
        <f t="shared" si="14"/>
        <v>111</v>
      </c>
      <c r="R44" s="774" t="s">
        <v>17</v>
      </c>
      <c r="S44" s="775">
        <f t="shared" si="10"/>
        <v>100</v>
      </c>
      <c r="T44" s="774" t="s">
        <v>17</v>
      </c>
      <c r="U44" s="775">
        <f t="shared" si="11"/>
        <v>100</v>
      </c>
      <c r="V44" s="774" t="s">
        <v>17</v>
      </c>
      <c r="W44" s="775">
        <f t="shared" si="12"/>
        <v>100</v>
      </c>
      <c r="X44" s="1816"/>
      <c r="Y44" s="3172"/>
      <c r="Z44" s="1817">
        <f t="shared" si="13"/>
        <v>111</v>
      </c>
      <c r="AA44" s="1814">
        <f t="shared" si="3"/>
        <v>1</v>
      </c>
      <c r="AB44" s="1814">
        <f t="shared" si="4"/>
        <v>1</v>
      </c>
      <c r="AC44" s="1814">
        <f t="shared" si="5"/>
        <v>1</v>
      </c>
    </row>
    <row r="45" spans="1:29" s="471" customFormat="1" ht="15.75" hidden="1"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3">
        <f t="shared" si="14"/>
        <v>111</v>
      </c>
      <c r="R45" s="777" t="s">
        <v>17</v>
      </c>
      <c r="S45" s="778">
        <f t="shared" si="10"/>
        <v>100</v>
      </c>
      <c r="T45" s="777" t="s">
        <v>17</v>
      </c>
      <c r="U45" s="778">
        <f t="shared" si="11"/>
        <v>100</v>
      </c>
      <c r="V45" s="777" t="s">
        <v>17</v>
      </c>
      <c r="W45" s="778">
        <f t="shared" si="12"/>
        <v>100</v>
      </c>
      <c r="X45" s="779"/>
      <c r="Y45" s="3172"/>
      <c r="Z45" s="780">
        <f t="shared" si="13"/>
        <v>111</v>
      </c>
      <c r="AA45" s="1814">
        <f t="shared" si="3"/>
        <v>1</v>
      </c>
      <c r="AB45" s="1814">
        <f t="shared" si="4"/>
        <v>1</v>
      </c>
      <c r="AC45" s="1814">
        <f t="shared" si="5"/>
        <v>1</v>
      </c>
    </row>
    <row r="46" spans="1:29" ht="15">
      <c r="A46" s="479" t="s">
        <v>2723</v>
      </c>
      <c r="B46" s="2707" t="s">
        <v>2759</v>
      </c>
      <c r="C46" s="682" t="s">
        <v>1</v>
      </c>
      <c r="D46" s="481"/>
      <c r="E46" s="482">
        <v>2813</v>
      </c>
      <c r="F46" s="483"/>
      <c r="G46" s="484">
        <v>2615</v>
      </c>
      <c r="H46" s="485"/>
      <c r="I46" s="482">
        <v>3000</v>
      </c>
      <c r="J46" s="485"/>
      <c r="K46" s="783"/>
      <c r="L46" s="1146"/>
      <c r="M46" s="1147"/>
      <c r="N46" s="1134"/>
      <c r="O46" s="1147"/>
      <c r="P46" s="3167" t="str">
        <f>A46</f>
        <v>成交单价</v>
      </c>
      <c r="Q46" s="3167"/>
      <c r="R46" s="3173">
        <f>E46</f>
        <v>2813</v>
      </c>
      <c r="S46" s="3173"/>
      <c r="T46" s="3173">
        <f>G46</f>
        <v>2615</v>
      </c>
      <c r="U46" s="3173"/>
      <c r="V46" s="3173">
        <f>I46</f>
        <v>3000</v>
      </c>
      <c r="W46" s="3173"/>
      <c r="X46" s="759"/>
      <c r="Y46" s="781"/>
      <c r="Z46" s="759"/>
      <c r="AA46" s="759"/>
      <c r="AB46" s="759"/>
      <c r="AC46" s="759"/>
    </row>
    <row r="47" spans="1:29" ht="15.75" thickBot="1">
      <c r="A47" s="486" t="s">
        <v>2672</v>
      </c>
      <c r="B47" s="683"/>
      <c r="C47" s="490">
        <f>R48</f>
        <v>2795</v>
      </c>
      <c r="D47" s="489"/>
      <c r="E47" s="490">
        <f>R47</f>
        <v>2620</v>
      </c>
      <c r="F47" s="491"/>
      <c r="G47" s="488">
        <f>T47</f>
        <v>2640</v>
      </c>
      <c r="H47" s="489"/>
      <c r="I47" s="490">
        <f>V47</f>
        <v>3124</v>
      </c>
      <c r="J47" s="489"/>
      <c r="K47" s="784"/>
      <c r="L47" s="1146"/>
      <c r="M47" s="1147"/>
      <c r="N47" s="1147"/>
      <c r="O47" s="1147"/>
      <c r="P47" s="3167" t="str">
        <f>A47</f>
        <v>比较价值（元/平方米）</v>
      </c>
      <c r="Q47" s="3167"/>
      <c r="R47" s="3160">
        <f>ROUND(PRODUCT(R46,AA7:AA45),0)</f>
        <v>2620</v>
      </c>
      <c r="S47" s="3160"/>
      <c r="T47" s="3160">
        <f>ROUND(PRODUCT(T46,AB7:AB45),0)</f>
        <v>2640</v>
      </c>
      <c r="U47" s="3160"/>
      <c r="V47" s="3160">
        <f>ROUND(PRODUCT(V46,AC7:AC45),0)</f>
        <v>3124</v>
      </c>
      <c r="W47" s="3160"/>
      <c r="X47" s="759"/>
      <c r="Y47" s="759"/>
      <c r="Z47" s="759"/>
      <c r="AA47" s="759"/>
      <c r="AB47" s="759"/>
      <c r="AC47" s="759"/>
    </row>
    <row r="48" spans="1:29" ht="15.75" thickBot="1">
      <c r="A48" s="492" t="s">
        <v>2760</v>
      </c>
      <c r="B48" s="493"/>
      <c r="C48" s="494">
        <f>R48</f>
        <v>2795</v>
      </c>
      <c r="D48" s="494"/>
      <c r="E48" s="494"/>
      <c r="F48" s="494"/>
      <c r="G48" s="494"/>
      <c r="H48" s="494"/>
      <c r="I48" s="494"/>
      <c r="J48" s="494"/>
      <c r="K48" s="785"/>
      <c r="L48" s="1146"/>
      <c r="M48" s="1147"/>
      <c r="N48" s="1147"/>
      <c r="O48" s="1147"/>
      <c r="P48" s="3161" t="str">
        <f>A48</f>
        <v>估价对象XX用房的比较价值（楼面单价，元/平方米）</v>
      </c>
      <c r="Q48" s="3162"/>
      <c r="R48" s="3163">
        <f>ROUND(AVERAGE(R47:V47),0)</f>
        <v>2795</v>
      </c>
      <c r="S48" s="3163"/>
      <c r="T48" s="3163"/>
      <c r="U48" s="3163"/>
      <c r="V48" s="3163"/>
      <c r="W48" s="31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7.3664122137404586E-2</v>
      </c>
      <c r="F51" s="500" t="str">
        <f>IF(OR(E51&gt;=0.3,E51&lt;=-0.3),"超过30%","")</f>
        <v/>
      </c>
      <c r="G51" s="499">
        <f>IF(G46&lt;G47,G47/G46-1,G46/G47-1)</f>
        <v>9.5602294455066072E-3</v>
      </c>
      <c r="H51" s="500" t="str">
        <f>IF(OR(G51&gt;=0.3,G51&lt;=-0.3),"超过30%","")</f>
        <v/>
      </c>
      <c r="I51" s="499">
        <f>IF(I46&lt;I47,I47/I46-1,I46/I47-1)</f>
        <v>4.1333333333333444E-2</v>
      </c>
      <c r="J51" s="500" t="str">
        <f>IF(OR(I51&gt;=0.3,I51&lt;=-0.3),"超过30%","")</f>
        <v/>
      </c>
      <c r="K51" s="1108"/>
      <c r="L51" s="1109"/>
      <c r="M51" s="1147"/>
      <c r="N51" s="1147"/>
      <c r="O51" s="1147"/>
    </row>
    <row r="52" spans="1:15" ht="13.5" customHeight="1">
      <c r="A52" s="1147"/>
      <c r="B52" s="1147"/>
      <c r="C52" s="497" t="s">
        <v>2675</v>
      </c>
      <c r="D52" s="501"/>
      <c r="E52" s="499">
        <f>IF(E47&lt;G47,G47/E47-1,E47/G47-1)</f>
        <v>7.6335877862594437E-3</v>
      </c>
      <c r="F52" s="500" t="str">
        <f>IF(OR(E52&gt;=0.2,E52&lt;=-0.2),"超过20%","")</f>
        <v/>
      </c>
      <c r="G52" s="499">
        <f>IF(G47&lt;I47,I47/G47-1,G47/I47-1)</f>
        <v>0.18333333333333335</v>
      </c>
      <c r="H52" s="500" t="str">
        <f>IF(OR(G52&gt;=0.2,G52&lt;=-0.2),"超过20%","")</f>
        <v/>
      </c>
      <c r="I52" s="499">
        <f>IF(I47&lt;E47,E47/I47-1,I47/E47-1)</f>
        <v>0.19236641221374051</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7.5717017208412951E-2</v>
      </c>
      <c r="F53" s="500" t="str">
        <f>IF(OR(E53&gt;=0.3,E53&lt;=-0.3),"超过30%","")</f>
        <v/>
      </c>
      <c r="G53" s="499">
        <f>IF(G46&lt;I46,I46/G46-1,G46/I46-1)</f>
        <v>0.14722753346080308</v>
      </c>
      <c r="H53" s="500" t="str">
        <f>IF(OR(G53&gt;=0.3,G53&lt;=-0.3),"超过30%","")</f>
        <v/>
      </c>
      <c r="I53" s="499">
        <f>IF(I46&lt;E46,E46/I46-1,I46/E46-1)</f>
        <v>6.6477070742978928E-2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8" t="s">
        <v>2763</v>
      </c>
      <c r="D55" s="2709" t="s">
        <v>2764</v>
      </c>
      <c r="E55" s="686" t="s">
        <v>2765</v>
      </c>
      <c r="F55" s="1110" t="s">
        <v>2766</v>
      </c>
      <c r="G55" s="3164" t="s">
        <v>2767</v>
      </c>
      <c r="H55" s="3165"/>
      <c r="I55" s="144" t="s">
        <v>2768</v>
      </c>
      <c r="J55" s="2710" t="str">
        <f>项目基本情况!F35</f>
        <v>山东省</v>
      </c>
      <c r="K55" s="2711" t="s">
        <v>2769</v>
      </c>
      <c r="L55" s="1109"/>
      <c r="M55" s="1147"/>
      <c r="N55" s="1147"/>
      <c r="O55" s="1147"/>
    </row>
    <row r="56" spans="1:15" s="692" customFormat="1">
      <c r="A56" s="688" t="s">
        <v>2770</v>
      </c>
      <c r="B56" s="689">
        <f>C48</f>
        <v>2795</v>
      </c>
      <c r="C56" s="690">
        <v>1</v>
      </c>
      <c r="D56" s="1166">
        <v>1</v>
      </c>
      <c r="E56" s="690">
        <f>'数据-汇总表'!E8+'数据-汇总表'!E9</f>
        <v>77782.010000000009</v>
      </c>
      <c r="F56" s="1106">
        <f t="shared" ref="F56:F65" si="15">ROUND(B56*E56/10000,0)</f>
        <v>21740</v>
      </c>
      <c r="G56" s="3166"/>
      <c r="H56" s="3167"/>
      <c r="I56" s="1111">
        <v>1</v>
      </c>
      <c r="J56" s="1114">
        <v>1</v>
      </c>
      <c r="K56" s="1148"/>
      <c r="L56" s="944"/>
      <c r="M56" s="944"/>
      <c r="N56" s="944"/>
      <c r="O56" s="944"/>
    </row>
    <row r="57" spans="1:15" s="692" customFormat="1">
      <c r="A57" s="693" t="s">
        <v>2771</v>
      </c>
      <c r="B57" s="262">
        <f>ROUND($C$48*C57*D57,0)</f>
        <v>0</v>
      </c>
      <c r="C57" s="200">
        <f t="shared" ref="C57:C65" si="16">IF($C$55="北京市系数",I57,J57)</f>
        <v>0</v>
      </c>
      <c r="D57" s="1167">
        <v>0.25</v>
      </c>
      <c r="E57" s="694"/>
      <c r="F57" s="1106">
        <f t="shared" si="15"/>
        <v>0</v>
      </c>
      <c r="G57" s="3168" t="s">
        <v>2772</v>
      </c>
      <c r="H57" s="1107">
        <f>项目基本情况!B37</f>
        <v>0</v>
      </c>
      <c r="I57" s="1111">
        <f>SUMIF(修正!A45:A56,H57,修正!B45:B56)</f>
        <v>0</v>
      </c>
      <c r="J57" s="1115"/>
      <c r="K57" s="1147"/>
      <c r="L57" s="944"/>
      <c r="M57" s="944"/>
      <c r="N57" s="944"/>
      <c r="O57" s="944"/>
    </row>
    <row r="58" spans="1:15" s="692" customFormat="1">
      <c r="A58" s="693" t="s">
        <v>2773</v>
      </c>
      <c r="B58" s="262">
        <f t="shared" ref="B58:B65" si="17">ROUND($C$48*C58*D58,0)</f>
        <v>0</v>
      </c>
      <c r="C58" s="200">
        <f t="shared" si="16"/>
        <v>0</v>
      </c>
      <c r="D58" s="1167">
        <v>0.25</v>
      </c>
      <c r="E58" s="694"/>
      <c r="F58" s="1106">
        <f t="shared" si="15"/>
        <v>0</v>
      </c>
      <c r="G58" s="3168"/>
      <c r="H58" s="1107">
        <f>项目基本情况!B37</f>
        <v>0</v>
      </c>
      <c r="I58" s="1111">
        <f>SUMIF(修正!A45:A56,H58,修正!C45:C56)</f>
        <v>0</v>
      </c>
      <c r="J58" s="1115"/>
      <c r="K58" s="1148"/>
      <c r="L58" s="944"/>
      <c r="M58" s="944"/>
      <c r="N58" s="944"/>
      <c r="O58" s="944"/>
    </row>
    <row r="59" spans="1:15" s="692" customFormat="1">
      <c r="A59" s="693" t="s">
        <v>2774</v>
      </c>
      <c r="B59" s="262">
        <f t="shared" si="17"/>
        <v>0</v>
      </c>
      <c r="C59" s="200">
        <f t="shared" si="16"/>
        <v>0</v>
      </c>
      <c r="D59" s="1167">
        <v>0.25</v>
      </c>
      <c r="E59" s="694"/>
      <c r="F59" s="1106">
        <f t="shared" si="15"/>
        <v>0</v>
      </c>
      <c r="G59" s="3168"/>
      <c r="H59" s="1107">
        <f>项目基本情况!B37</f>
        <v>0</v>
      </c>
      <c r="I59" s="1111">
        <f>SUMIF(修正!A45:A56,H59,修正!D45:D56)</f>
        <v>0</v>
      </c>
      <c r="J59" s="1115"/>
      <c r="K59" s="1147"/>
      <c r="L59" s="944"/>
      <c r="M59" s="944"/>
      <c r="N59" s="944"/>
      <c r="O59" s="944"/>
    </row>
    <row r="60" spans="1:15" s="692" customFormat="1">
      <c r="A60" s="693" t="s">
        <v>2775</v>
      </c>
      <c r="B60" s="262">
        <f t="shared" si="17"/>
        <v>0</v>
      </c>
      <c r="C60" s="200">
        <f t="shared" si="16"/>
        <v>0</v>
      </c>
      <c r="D60" s="1167">
        <v>0.25</v>
      </c>
      <c r="E60" s="694"/>
      <c r="F60" s="1106">
        <f t="shared" si="15"/>
        <v>0</v>
      </c>
      <c r="G60" s="3168"/>
      <c r="H60" s="1107">
        <f>项目基本情况!B37</f>
        <v>0</v>
      </c>
      <c r="I60" s="1111">
        <f>SUMIF(修正!A45:A56,H60,修正!E45:E56)</f>
        <v>0</v>
      </c>
      <c r="J60" s="1115"/>
      <c r="K60" s="1148"/>
      <c r="L60" s="944"/>
      <c r="M60" s="944"/>
      <c r="N60" s="944"/>
      <c r="O60" s="944"/>
    </row>
    <row r="61" spans="1:15" s="692" customFormat="1">
      <c r="A61" s="693" t="s">
        <v>2776</v>
      </c>
      <c r="B61" s="262">
        <f t="shared" si="17"/>
        <v>0</v>
      </c>
      <c r="C61" s="200">
        <f t="shared" si="16"/>
        <v>0</v>
      </c>
      <c r="D61" s="1167">
        <v>0.25</v>
      </c>
      <c r="E61" s="261">
        <f>'数据-汇总表'!E11</f>
        <v>0</v>
      </c>
      <c r="F61" s="1106">
        <f t="shared" si="15"/>
        <v>0</v>
      </c>
      <c r="G61" s="2712" t="s">
        <v>2777</v>
      </c>
      <c r="H61" s="1107">
        <f>项目基本情况!C37</f>
        <v>0</v>
      </c>
      <c r="I61" s="1111">
        <f>SUMIF(修正!A45:A56,H61,修正!F45:F56)</f>
        <v>0</v>
      </c>
      <c r="J61" s="1115"/>
      <c r="K61" s="1147"/>
      <c r="L61" s="944"/>
      <c r="M61" s="944"/>
      <c r="N61" s="944"/>
      <c r="O61" s="944"/>
    </row>
    <row r="62" spans="1:15" s="692" customFormat="1">
      <c r="A62" s="693" t="s">
        <v>2778</v>
      </c>
      <c r="B62" s="262">
        <f t="shared" si="17"/>
        <v>0</v>
      </c>
      <c r="C62" s="200">
        <f t="shared" si="16"/>
        <v>0</v>
      </c>
      <c r="D62" s="1167">
        <v>0.25</v>
      </c>
      <c r="E62" s="261">
        <f>'数据-汇总表'!E12</f>
        <v>0</v>
      </c>
      <c r="F62" s="1106">
        <f t="shared" si="15"/>
        <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f t="shared" si="17"/>
        <v>0</v>
      </c>
      <c r="C63" s="200">
        <f t="shared" si="16"/>
        <v>0</v>
      </c>
      <c r="D63" s="1167">
        <v>0.25</v>
      </c>
      <c r="E63" s="261">
        <f>'数据-汇总表'!E13</f>
        <v>29042.670000000002</v>
      </c>
      <c r="F63" s="1106">
        <f t="shared" si="15"/>
        <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0</v>
      </c>
      <c r="C64" s="200">
        <f t="shared" si="16"/>
        <v>0</v>
      </c>
      <c r="D64" s="1167">
        <v>0.25</v>
      </c>
      <c r="E64" s="261">
        <f>'数据-汇总表'!E14</f>
        <v>0</v>
      </c>
      <c r="F64" s="1106">
        <f t="shared" si="15"/>
        <v>0</v>
      </c>
      <c r="G64" s="2712" t="s">
        <v>2772</v>
      </c>
      <c r="H64" s="1107">
        <f>项目基本情况!B37</f>
        <v>0</v>
      </c>
      <c r="I64" s="1111">
        <f>SUMIF(修正!A45:A56,H64,修正!H45:H56)</f>
        <v>0</v>
      </c>
      <c r="J64" s="1115"/>
      <c r="K64" s="1148"/>
      <c r="L64" s="944"/>
      <c r="M64" s="944"/>
      <c r="N64" s="944"/>
      <c r="O64" s="944"/>
    </row>
    <row r="65" spans="1:17" s="692" customFormat="1" ht="15" thickBot="1">
      <c r="A65" s="693" t="s">
        <v>2783</v>
      </c>
      <c r="B65" s="262">
        <f t="shared" si="17"/>
        <v>0</v>
      </c>
      <c r="C65" s="200">
        <f t="shared" si="16"/>
        <v>0</v>
      </c>
      <c r="D65" s="1167">
        <v>0.25</v>
      </c>
      <c r="E65" s="261">
        <f>'数据-汇总表'!E15</f>
        <v>0</v>
      </c>
      <c r="F65" s="1106">
        <f t="shared" si="15"/>
        <v>0</v>
      </c>
      <c r="G65" s="2713"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106824.68000000001</v>
      </c>
      <c r="F66" s="697">
        <f>IF(B46="楼面地价",SUM(F56:F65),ROUND(C48*E66/10000,0))</f>
        <v>21740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4"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2786</v>
      </c>
      <c r="B71" s="332" t="str">
        <f>"北京市平均增长率"&amp;TEXT(SUMIF(基准地价修正!N21:N25,A71,基准地价修正!P21:P25),"0.00%")</f>
        <v>北京市平均增长率2.41%</v>
      </c>
      <c r="C71" s="603">
        <v>100</v>
      </c>
      <c r="D71" s="595">
        <f>C71-0.5</f>
        <v>99.5</v>
      </c>
      <c r="E71" s="595">
        <f t="shared" ref="E71:J71" si="20">D71-0.5</f>
        <v>99</v>
      </c>
      <c r="F71" s="595">
        <f t="shared" si="20"/>
        <v>98.5</v>
      </c>
      <c r="G71" s="595">
        <f t="shared" si="20"/>
        <v>98</v>
      </c>
      <c r="H71" s="595">
        <f t="shared" si="20"/>
        <v>97.5</v>
      </c>
      <c r="I71" s="595">
        <f t="shared" si="20"/>
        <v>97</v>
      </c>
      <c r="J71" s="595">
        <f t="shared" si="20"/>
        <v>96.5</v>
      </c>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2960" t="s">
        <v>3098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2694</v>
      </c>
      <c r="C106" s="2961" t="s">
        <v>3107</v>
      </c>
      <c r="D106" s="2961" t="s">
        <v>3108</v>
      </c>
      <c r="E106" s="2961" t="s">
        <v>3109</v>
      </c>
      <c r="F106" s="2961" t="s">
        <v>3110</v>
      </c>
      <c r="G106" s="2961" t="s">
        <v>3111</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2794</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2795</v>
      </c>
      <c r="C119" s="2962" t="s">
        <v>3115</v>
      </c>
      <c r="D119" s="2962" t="s">
        <v>3116</v>
      </c>
      <c r="E119" s="2962" t="s">
        <v>3117</v>
      </c>
      <c r="F119" s="2962" t="s">
        <v>3118</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2796</v>
      </c>
      <c r="C121" s="2961" t="s">
        <v>3119</v>
      </c>
      <c r="D121" s="2961" t="s">
        <v>3120</v>
      </c>
      <c r="E121" s="2961" t="s">
        <v>3121</v>
      </c>
      <c r="F121" s="2962" t="s">
        <v>3122</v>
      </c>
      <c r="G121" s="2962" t="s">
        <v>3123</v>
      </c>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2797</v>
      </c>
      <c r="C123" s="2963" t="s">
        <v>3124</v>
      </c>
      <c r="D123" s="2963" t="s">
        <v>3125</v>
      </c>
      <c r="E123" s="2963" t="s">
        <v>3126</v>
      </c>
      <c r="F123" s="2963" t="s">
        <v>3127</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2798</v>
      </c>
      <c r="C125" s="2961" t="s">
        <v>3119</v>
      </c>
      <c r="D125" s="2961" t="s">
        <v>3120</v>
      </c>
      <c r="E125" s="2962" t="s">
        <v>3121</v>
      </c>
      <c r="F125" s="2962" t="s">
        <v>3122</v>
      </c>
      <c r="G125" s="2962" t="s">
        <v>3123</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3" sqref="L1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8</v>
      </c>
    </row>
    <row r="2" spans="1:33" ht="18" customHeight="1">
      <c r="A2" s="245" t="s">
        <v>2333</v>
      </c>
      <c r="B2" s="248">
        <f ca="1">C32</f>
        <v>78649</v>
      </c>
      <c r="C2" s="320" t="s">
        <v>2466</v>
      </c>
      <c r="D2" s="320"/>
      <c r="E2" s="320"/>
      <c r="F2" s="320"/>
      <c r="G2" s="320"/>
      <c r="H2" s="320"/>
      <c r="I2" s="320"/>
      <c r="J2" s="320"/>
      <c r="K2" s="320"/>
    </row>
    <row r="3" spans="1:33" ht="18" customHeight="1" thickBot="1">
      <c r="A3" s="247" t="s">
        <v>2335</v>
      </c>
      <c r="B3" s="248">
        <f ca="1">ROUND(B2*10000/IF(C1="",'数据-汇总表'!E3,INDIRECT("'数据-取费表'!K"&amp;$K$1)),0)</f>
        <v>6679</v>
      </c>
      <c r="C3" s="320" t="s">
        <v>2467</v>
      </c>
      <c r="D3" s="320"/>
      <c r="E3" s="320"/>
      <c r="F3" s="320"/>
      <c r="G3" s="320"/>
      <c r="H3" s="320"/>
      <c r="I3" s="320"/>
      <c r="J3" s="320"/>
      <c r="K3" s="320"/>
    </row>
    <row r="4" spans="1:33" s="959" customFormat="1" ht="16.5" customHeight="1">
      <c r="A4" s="956" t="s">
        <v>2468</v>
      </c>
      <c r="B4" s="957"/>
      <c r="C4" s="999">
        <f ca="1">SUM(C8:K8)</f>
        <v>121970</v>
      </c>
      <c r="D4" s="957"/>
      <c r="E4" s="957"/>
      <c r="F4" s="957"/>
      <c r="G4" s="957"/>
      <c r="H4" s="957"/>
      <c r="I4" s="957"/>
      <c r="J4" s="957"/>
      <c r="K4" s="958"/>
    </row>
    <row r="5" spans="1:33" s="963" customFormat="1" ht="15">
      <c r="A5" s="960" t="s">
        <v>2469</v>
      </c>
      <c r="B5" s="961" t="s">
        <v>2470</v>
      </c>
      <c r="C5" s="2557" t="s">
        <v>1377</v>
      </c>
      <c r="D5" s="2557" t="s">
        <v>48</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收益法!B3</f>
        <v>13669</v>
      </c>
      <c r="D6" s="965">
        <f ca="1">'收益法 (地下车库)'!B3</f>
        <v>1152</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86782.010000000009</v>
      </c>
      <c r="D7" s="321">
        <f>SUMIF('数据-汇总表'!$C19:$C33,假设开发法!D5,'数据-汇总表'!$E19:$E33)</f>
        <v>29042.670000000002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2474</v>
      </c>
      <c r="B8" s="177" t="s">
        <v>2475</v>
      </c>
      <c r="C8" s="1000">
        <f ca="1">收益法!B2</f>
        <v>118625</v>
      </c>
      <c r="D8" s="1000">
        <f ca="1">'收益法 (地下车库)'!B2</f>
        <v>3345</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17153</v>
      </c>
      <c r="D11" s="976"/>
      <c r="E11" s="375"/>
      <c r="F11" s="977">
        <f ca="1">1-IF('数据-取费表'!B24=0,1,IF(C1="",'数据-取费表'!N16,INDIRECT("'数据-取费表'!n"&amp;$K$1)))</f>
        <v>0.44999999999999996</v>
      </c>
      <c r="G11" s="8"/>
      <c r="H11" s="971"/>
      <c r="I11" s="971"/>
      <c r="J11" s="971"/>
      <c r="K11" s="972"/>
    </row>
    <row r="12" spans="1:33" s="978" customFormat="1" ht="13.5" customHeight="1">
      <c r="A12" s="974" t="s">
        <v>1335</v>
      </c>
      <c r="B12" s="975" t="s">
        <v>2484</v>
      </c>
      <c r="C12" s="24">
        <f ca="1">ROUND(C11*F12,0)</f>
        <v>515</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1060</v>
      </c>
      <c r="D14" s="1036">
        <f ca="1">IF(C1="",'数据-汇总表'!E3,INDIRECT("'数据-取费表'!K"&amp;$K$1)+INDIRECT("'数据-取费表'!S"&amp;$K$1))</f>
        <v>117760.1</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257</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18985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117760.1</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59" t="s">
        <v>3090</v>
      </c>
      <c r="H18" s="1580"/>
      <c r="I18" s="2560"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2498</v>
      </c>
      <c r="C20" s="24">
        <f ca="1">ROUND(D20*E20/10000,0)</f>
        <v>1413</v>
      </c>
      <c r="D20" s="1036">
        <f ca="1">IF(C1="",'数据-汇总表'!E6,IF(INDIRECT("'数据-取费表'!c"&amp;$K$1)="住宅",INDIRECT("'数据-取费表'!s"&amp;$K$1),INDIRECT("'数据-取费表'!k"&amp;$K$1)+INDIRECT("'数据-取费表'!s"&amp;$K$1)))</f>
        <v>117760.1</v>
      </c>
      <c r="E20" s="24">
        <f>'数据-取费表'!B28</f>
        <v>120</v>
      </c>
      <c r="F20" s="979"/>
      <c r="G20" s="15"/>
      <c r="H20" s="984"/>
      <c r="I20" s="984"/>
      <c r="J20" s="984"/>
      <c r="K20" s="985"/>
    </row>
    <row r="21" spans="1:33" s="978" customFormat="1" ht="13.5" customHeight="1">
      <c r="A21" s="964" t="s">
        <v>802</v>
      </c>
      <c r="B21" s="988" t="s">
        <v>2499</v>
      </c>
      <c r="C21" s="989">
        <f ca="1">C16+C17+C18</f>
        <v>18985</v>
      </c>
      <c r="D21" s="990"/>
      <c r="E21" s="325"/>
      <c r="F21" s="325"/>
      <c r="G21" s="140" t="s">
        <v>2500</v>
      </c>
      <c r="H21" s="982"/>
      <c r="I21" s="982"/>
      <c r="J21" s="982"/>
      <c r="K21" s="983"/>
    </row>
    <row r="22" spans="1:33" s="978" customFormat="1" ht="13.5" customHeight="1">
      <c r="A22" s="964" t="s">
        <v>2472</v>
      </c>
      <c r="B22" s="988" t="s">
        <v>2501</v>
      </c>
      <c r="C22" s="989">
        <f ca="1">ROUND(C21*F22,0)</f>
        <v>380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1098</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480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4.8899999999999999E-2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480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2512</v>
      </c>
      <c r="B28" s="2562" t="s">
        <v>2513</v>
      </c>
      <c r="C28" s="331">
        <f ca="1">C30</f>
        <v>3274</v>
      </c>
      <c r="D28" s="324">
        <f ca="1">C29</f>
        <v>8.2299999999999998E-2</v>
      </c>
      <c r="E28" s="326" t="s">
        <v>15</v>
      </c>
      <c r="F28" s="332">
        <f ca="1">IF(C1="",'数据-取费表'!Q16,INDIRECT("'数据-取费表'!q"&amp;$K$1))</f>
        <v>0.16</v>
      </c>
      <c r="G28" s="992"/>
      <c r="H28" s="993"/>
      <c r="I28" s="993"/>
      <c r="J28" s="993"/>
      <c r="K28" s="994"/>
    </row>
    <row r="29" spans="1:33" s="335" customFormat="1" ht="13.5" customHeight="1">
      <c r="A29" s="974" t="s">
        <v>803</v>
      </c>
      <c r="B29" s="997" t="s">
        <v>2514</v>
      </c>
      <c r="C29" s="328">
        <f ca="1">ROUND((1+C24)*F28*'数据-取费表'!B24/'数据-取费表'!B20,4)</f>
        <v>8.2299999999999998E-2</v>
      </c>
      <c r="D29" s="328"/>
      <c r="E29" s="329"/>
      <c r="F29" s="334"/>
      <c r="G29" s="140" t="s">
        <v>2515</v>
      </c>
      <c r="H29" s="982"/>
      <c r="I29" s="982"/>
      <c r="J29" s="982"/>
      <c r="K29" s="983"/>
    </row>
    <row r="30" spans="1:33" s="335" customFormat="1" ht="13.5" customHeight="1">
      <c r="A30" s="974" t="s">
        <v>804</v>
      </c>
      <c r="B30" s="997" t="s">
        <v>2516</v>
      </c>
      <c r="C30" s="336">
        <f ca="1">ROUND((C21+C22+C23)*F28,0)</f>
        <v>3274</v>
      </c>
      <c r="D30" s="328"/>
      <c r="E30" s="329"/>
      <c r="F30" s="334"/>
      <c r="G30" s="140"/>
      <c r="H30" s="982"/>
      <c r="I30" s="982"/>
      <c r="J30" s="982"/>
      <c r="K30" s="983"/>
    </row>
    <row r="31" spans="1:33" s="978" customFormat="1" ht="13.5" customHeight="1" thickBot="1">
      <c r="A31" s="2563" t="s">
        <v>2517</v>
      </c>
      <c r="B31" s="1008" t="s">
        <v>2518</v>
      </c>
      <c r="C31" s="1009">
        <f ca="1">ROUND(C4*F31/(1+'数据-取费表'!C42),0)</f>
        <v>6505</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78649</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3086</v>
      </c>
      <c r="E1" s="1824" t="s">
        <v>1387</v>
      </c>
      <c r="F1" s="1286">
        <f ca="1">J53</f>
        <v>31.33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118625</v>
      </c>
      <c r="C2" s="1848" t="s">
        <v>1516</v>
      </c>
      <c r="D2" s="1848"/>
      <c r="E2" s="1849"/>
      <c r="F2" s="1850"/>
      <c r="G2" s="1851"/>
      <c r="H2" s="1843"/>
      <c r="I2" s="1843"/>
      <c r="J2" s="1843"/>
      <c r="K2" s="1844"/>
      <c r="L2" s="1843"/>
      <c r="M2" s="1843"/>
    </row>
    <row r="3" spans="1:37" ht="18" customHeight="1" thickBot="1">
      <c r="A3" s="1852" t="s">
        <v>1517</v>
      </c>
      <c r="B3" s="1853">
        <f ca="1">IF(ISERROR(B2*10000/F43),0,ROUND(B2*10000/F43,0))</f>
        <v>13669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8437</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8426</v>
      </c>
      <c r="D6" s="164" t="s">
        <v>3037</v>
      </c>
      <c r="E6" s="347" t="s">
        <v>1405</v>
      </c>
      <c r="F6" s="348">
        <f ca="1">INDIRECT("'数据-取费表'!u"&amp;$G$1)</f>
        <v>2.8</v>
      </c>
      <c r="G6" s="1854"/>
      <c r="H6" s="1294" t="s">
        <v>1035</v>
      </c>
      <c r="I6" s="3205" t="s">
        <v>1403</v>
      </c>
      <c r="J6" s="346">
        <f ca="1">ROUND(M6*M8*M7*(1-M9)/10000,0)</f>
        <v>0</v>
      </c>
      <c r="K6" s="164" t="s">
        <v>3036</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86782.010000000009</v>
      </c>
      <c r="G7" s="1854"/>
      <c r="H7" s="349"/>
      <c r="I7" s="3206"/>
      <c r="J7" s="351"/>
      <c r="K7" s="352"/>
      <c r="L7" s="347" t="s">
        <v>1406</v>
      </c>
      <c r="M7" s="348">
        <f ca="1">F7</f>
        <v>86782.010000000009</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11</v>
      </c>
      <c r="D10" s="1827" t="s">
        <v>3046</v>
      </c>
      <c r="E10" s="358" t="s">
        <v>1410</v>
      </c>
      <c r="F10" s="1369" t="s">
        <v>3082</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46781</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30737</v>
      </c>
      <c r="D14" s="1803" t="s">
        <v>1418</v>
      </c>
      <c r="E14" s="1797"/>
      <c r="F14" s="364"/>
      <c r="G14" s="1854"/>
      <c r="H14" s="1204" t="s">
        <v>1035</v>
      </c>
      <c r="I14" s="347" t="s">
        <v>1419</v>
      </c>
      <c r="J14" s="24">
        <f ca="1">C29</f>
        <v>46781</v>
      </c>
      <c r="K14" s="15"/>
      <c r="L14" s="982"/>
      <c r="M14" s="983"/>
    </row>
    <row r="15" spans="1:37" s="1861" customFormat="1" ht="18" customHeight="1" thickBot="1">
      <c r="A15" s="1204" t="s">
        <v>1036</v>
      </c>
      <c r="B15" s="347" t="s">
        <v>1420</v>
      </c>
      <c r="C15" s="24">
        <f ca="1">ROUND(C14*F15,0)</f>
        <v>922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1107</v>
      </c>
      <c r="K16" s="1340" t="s">
        <v>1425</v>
      </c>
      <c r="L16" s="1341"/>
      <c r="M16" s="1297"/>
    </row>
    <row r="17" spans="1:37" s="1861" customFormat="1" ht="18" customHeight="1">
      <c r="A17" s="1204" t="s">
        <v>1390</v>
      </c>
      <c r="B17" s="347" t="s">
        <v>1426</v>
      </c>
      <c r="C17" s="24">
        <f ca="1">ROUND(F17*(F43+INDIRECT("'数据-取费表'!S"&amp;$G$1))/10000,0)</f>
        <v>1765</v>
      </c>
      <c r="D17" s="347" t="s">
        <v>1427</v>
      </c>
      <c r="E17" s="347" t="s">
        <v>1428</v>
      </c>
      <c r="F17" s="26">
        <f>'数据-取费表'!B35</f>
        <v>200</v>
      </c>
      <c r="G17" s="1857"/>
      <c r="H17" s="1204" t="s">
        <v>1035</v>
      </c>
      <c r="I17" s="347" t="s">
        <v>1429</v>
      </c>
      <c r="J17" s="24">
        <f ca="1">ROUND(IF(项目基本情况!B11="自然人",J5*M17,J18+J19+J20),1)</f>
        <v>404.8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461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33885</v>
      </c>
      <c r="D19" s="140" t="s">
        <v>1436</v>
      </c>
      <c r="E19" s="1821"/>
      <c r="F19" s="26"/>
      <c r="G19" s="1854"/>
      <c r="H19" s="1204" t="s">
        <v>1036</v>
      </c>
      <c r="I19" s="347" t="s">
        <v>1437</v>
      </c>
      <c r="J19" s="24">
        <f ca="1">IF(K19="按租金收入计税",ROUND(J5*M19,2),ROUND(C29*M19*0.7,2))</f>
        <v>392.96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678</v>
      </c>
      <c r="D20" s="369" t="s">
        <v>1440</v>
      </c>
      <c r="E20" s="347" t="s">
        <v>1422</v>
      </c>
      <c r="F20" s="367">
        <f>'数据-取费表'!B37</f>
        <v>0.02</v>
      </c>
      <c r="G20" s="1857"/>
      <c r="H20" s="1204" t="s">
        <v>1389</v>
      </c>
      <c r="I20" s="164" t="s">
        <v>1441</v>
      </c>
      <c r="J20" s="25">
        <f ca="1">ROUND(M20*M21/10000,2)</f>
        <v>11.81</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23615.530000000002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701.7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1642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-1107</v>
      </c>
      <c r="K25" s="1348" t="s">
        <v>1464</v>
      </c>
      <c r="L25" s="1349"/>
      <c r="M25" s="1350"/>
    </row>
    <row r="26" spans="1:37">
      <c r="A26" s="1204" t="s">
        <v>1034</v>
      </c>
      <c r="B26" s="347" t="s">
        <v>1465</v>
      </c>
      <c r="C26" s="24">
        <f ca="1">ROUND((C19+C20)*F26,0)</f>
        <v>6913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46781</v>
      </c>
      <c r="D29" s="1345"/>
      <c r="E29" s="1343"/>
      <c r="F29" s="1346"/>
      <c r="G29" s="1857"/>
      <c r="H29" s="380" t="s">
        <v>1033</v>
      </c>
      <c r="I29" s="381" t="s">
        <v>1479</v>
      </c>
      <c r="J29" s="382">
        <f ca="1">ROUND(J26/(1+F40)^F41,0)</f>
        <v>0</v>
      </c>
      <c r="K29" s="383" t="s">
        <v>1480</v>
      </c>
      <c r="L29" s="384"/>
      <c r="M29" s="385">
        <f ca="1">INDIRECT("'数据-取费表'!k"&amp;$G$1)</f>
        <v>86782.010000000009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2438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1474.2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449.97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1012.44</v>
      </c>
      <c r="D33" s="1831" t="s">
        <v>3083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11.81</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23615.530000000002</v>
      </c>
      <c r="G35" s="1854"/>
      <c r="H35" s="745"/>
      <c r="I35" s="1863"/>
      <c r="J35" s="1864"/>
      <c r="K35" s="1865"/>
      <c r="L35" s="1862"/>
      <c r="M35" s="1862"/>
    </row>
    <row r="36" spans="1:18" ht="18" customHeight="1">
      <c r="A36" s="1355" t="s">
        <v>1039</v>
      </c>
      <c r="B36" s="347" t="s">
        <v>1449</v>
      </c>
      <c r="C36" s="24">
        <f ca="1">ROUND(C29*F36,1)</f>
        <v>701.7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168.7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5999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118625</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31.33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13669</v>
      </c>
      <c r="D43" s="383" t="s">
        <v>1488</v>
      </c>
      <c r="E43" s="384" t="s">
        <v>1489</v>
      </c>
      <c r="F43" s="385">
        <f ca="1">INDIRECT("'数据-取费表'!k"&amp;$G$1)</f>
        <v>86782.010000000009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-184854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118625</v>
      </c>
      <c r="R47" s="1889" t="s">
        <v>1529</v>
      </c>
    </row>
    <row r="48" spans="1:18" s="1845" customFormat="1" ht="28.5" thickBot="1">
      <c r="A48" s="1363" t="s">
        <v>1135</v>
      </c>
      <c r="B48" s="345" t="s">
        <v>1401</v>
      </c>
      <c r="C48" s="1820">
        <f ca="1">C49+C53+C55</f>
        <v>0</v>
      </c>
      <c r="D48" s="1365"/>
      <c r="E48" s="1366"/>
      <c r="F48" s="1184"/>
      <c r="G48" s="792"/>
      <c r="H48" s="793"/>
      <c r="I48" s="1890" t="s">
        <v>1530</v>
      </c>
      <c r="J48" s="1891" t="s">
        <v>3085</v>
      </c>
      <c r="K48" s="1892" t="s">
        <v>1531</v>
      </c>
      <c r="L48" s="1893">
        <f ca="1">INDIRECT("'数据-取费表'!f"&amp;$G$1)</f>
        <v>32.33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c r="K49" s="1892" t="s">
        <v>1535</v>
      </c>
      <c r="L49" s="1896"/>
      <c r="O49" s="1897" t="s">
        <v>1042</v>
      </c>
      <c r="P49" s="1888" t="s">
        <v>1536</v>
      </c>
      <c r="Q49" s="1889">
        <f ca="1">C29</f>
        <v>46781</v>
      </c>
      <c r="R49" s="1889" t="s">
        <v>1529</v>
      </c>
    </row>
    <row r="50" spans="1:18" s="1845" customFormat="1" ht="13.5" thickBot="1">
      <c r="A50" s="1198"/>
      <c r="B50" s="1201"/>
      <c r="C50" s="1371"/>
      <c r="D50" s="1175"/>
      <c r="E50" s="1280" t="s">
        <v>1406</v>
      </c>
      <c r="F50" s="1281">
        <f ca="1">F7</f>
        <v>86782.010000000009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34116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31.33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31.33</v>
      </c>
      <c r="K53" s="3203" t="s">
        <v>1548</v>
      </c>
      <c r="L53" s="3204"/>
      <c r="O53" s="1887" t="s">
        <v>1046</v>
      </c>
      <c r="P53" s="1888" t="s">
        <v>1549</v>
      </c>
      <c r="Q53" s="1889">
        <f ca="1">Q47+Q48</f>
        <v>118625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46781</v>
      </c>
      <c r="D56" s="1917"/>
      <c r="E56" s="1918"/>
      <c r="F56" s="1910"/>
      <c r="I56" s="1919" t="s">
        <v>1554</v>
      </c>
      <c r="J56" s="1920" t="s">
        <v>3069</v>
      </c>
      <c r="K56" s="1890" t="s">
        <v>1555</v>
      </c>
      <c r="L56" s="1893" t="str">
        <f ca="1">IF(L48&lt;J51,"——",L48-J53)</f>
        <v>——</v>
      </c>
      <c r="O56" s="1887" t="s">
        <v>1040</v>
      </c>
      <c r="P56" s="1888" t="s">
        <v>1528</v>
      </c>
      <c r="Q56" s="1889">
        <f ca="1">C40+J29</f>
        <v>118625</v>
      </c>
      <c r="R56" s="1889" t="s">
        <v>1529</v>
      </c>
    </row>
    <row r="57" spans="1:18" s="1845" customFormat="1" ht="24.75" thickBot="1">
      <c r="A57" s="1921"/>
      <c r="B57" s="1172" t="s">
        <v>1478</v>
      </c>
      <c r="C57" s="282">
        <f ca="1">C29</f>
        <v>46781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4737</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3941.4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3929.6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11.81</v>
      </c>
      <c r="D62" s="1187" t="s">
        <v>1497</v>
      </c>
      <c r="E62" s="1172" t="s">
        <v>1498</v>
      </c>
      <c r="F62" s="371">
        <f t="shared" si="0"/>
        <v>5</v>
      </c>
      <c r="I62" s="1932" t="s">
        <v>1570</v>
      </c>
      <c r="J62" s="1933" t="s">
        <v>1571</v>
      </c>
      <c r="K62" s="1933" t="s">
        <v>1572</v>
      </c>
      <c r="L62" s="1933" t="s">
        <v>1573</v>
      </c>
      <c r="M62" s="1934" t="s">
        <v>1574</v>
      </c>
      <c r="O62" s="1887" t="s">
        <v>1046</v>
      </c>
      <c r="P62" s="1888" t="s">
        <v>1575</v>
      </c>
      <c r="Q62" s="1889">
        <f ca="1">Q56+Q57</f>
        <v>118625</v>
      </c>
      <c r="R62" s="1889" t="s">
        <v>1047</v>
      </c>
    </row>
    <row r="63" spans="1:18" s="1845" customFormat="1" ht="13.5" thickBot="1">
      <c r="A63" s="372"/>
      <c r="B63" s="1178"/>
      <c r="C63" s="29"/>
      <c r="D63" s="1188"/>
      <c r="E63" s="1172" t="s">
        <v>1499</v>
      </c>
      <c r="F63" s="348">
        <f t="shared" ca="1" si="0"/>
        <v>23615.530000000002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701.7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93.6</v>
      </c>
      <c r="D65" s="1186" t="s">
        <v>1454</v>
      </c>
      <c r="E65" s="1172" t="s">
        <v>1455</v>
      </c>
      <c r="F65" s="376">
        <f t="shared" ca="1" si="0"/>
        <v>2E-3</v>
      </c>
      <c r="I65" s="1932" t="s">
        <v>1579</v>
      </c>
      <c r="J65" s="1933">
        <v>40</v>
      </c>
      <c r="K65" s="1933">
        <v>30</v>
      </c>
      <c r="L65" s="1933">
        <v>50</v>
      </c>
      <c r="M65" s="1935">
        <v>0.02</v>
      </c>
      <c r="O65" s="1887" t="s">
        <v>1040</v>
      </c>
      <c r="P65" s="1888" t="s">
        <v>1580</v>
      </c>
      <c r="Q65" s="1889">
        <f ca="1">C40+J29</f>
        <v>118625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-4737</v>
      </c>
      <c r="D67" s="1185" t="s">
        <v>1464</v>
      </c>
      <c r="E67" s="1190"/>
      <c r="F67" s="1191"/>
      <c r="O67" s="1897" t="s">
        <v>1042</v>
      </c>
      <c r="P67" s="1888" t="s">
        <v>1562</v>
      </c>
      <c r="Q67" s="1936">
        <f ca="1">L51</f>
        <v>34116</v>
      </c>
      <c r="R67" s="1889" t="s">
        <v>1582</v>
      </c>
    </row>
    <row r="68" spans="1:18" s="1845" customFormat="1" ht="16.5" thickBot="1">
      <c r="A68" s="1169" t="s">
        <v>1032</v>
      </c>
      <c r="B68" s="1170" t="s">
        <v>1485</v>
      </c>
      <c r="C68" s="346">
        <f ca="1">ROUND(C67*(1-((1+F70)/(1+F68))^F69)/(F68-F70),0)</f>
        <v>-66229</v>
      </c>
      <c r="D68" s="1187" t="s">
        <v>1469</v>
      </c>
      <c r="E68" s="1172" t="s">
        <v>1470</v>
      </c>
      <c r="F68" s="357">
        <f ca="1">F40</f>
        <v>0.06</v>
      </c>
      <c r="O68" s="1897" t="s">
        <v>1043</v>
      </c>
      <c r="P68" s="1937" t="s">
        <v>1583</v>
      </c>
      <c r="Q68" s="1889">
        <f ca="1">ROUND(Q69-Q70*Q71,0)</f>
        <v>2023</v>
      </c>
      <c r="R68" s="1889" t="s">
        <v>1051</v>
      </c>
    </row>
    <row r="69" spans="1:18" s="1845" customFormat="1" ht="13.5" thickBot="1">
      <c r="A69" s="1173"/>
      <c r="B69" s="1174"/>
      <c r="C69" s="351"/>
      <c r="D69" s="1192" t="s">
        <v>1473</v>
      </c>
      <c r="E69" s="1172" t="s">
        <v>1474</v>
      </c>
      <c r="F69" s="379">
        <f ca="1">F41</f>
        <v>31.33</v>
      </c>
      <c r="O69" s="1897" t="s">
        <v>1048</v>
      </c>
      <c r="P69" s="1937" t="s">
        <v>1584</v>
      </c>
      <c r="Q69" s="1889">
        <f ca="1">C39</f>
        <v>5999</v>
      </c>
      <c r="R69" s="1889" t="s">
        <v>1529</v>
      </c>
    </row>
    <row r="70" spans="1:18" s="1845" customFormat="1" ht="13.5" thickBot="1">
      <c r="A70" s="1176"/>
      <c r="B70" s="1177"/>
      <c r="C70" s="355"/>
      <c r="D70" s="1188"/>
      <c r="E70" s="1172" t="s">
        <v>1477</v>
      </c>
      <c r="F70" s="1278"/>
      <c r="O70" s="1897" t="s">
        <v>1049</v>
      </c>
      <c r="P70" s="1937" t="s">
        <v>1585</v>
      </c>
      <c r="Q70" s="1889">
        <f ca="1">C13</f>
        <v>46781</v>
      </c>
      <c r="R70" s="1889" t="s">
        <v>1529</v>
      </c>
    </row>
    <row r="71" spans="1:18" s="1845" customFormat="1" ht="13.5" thickBot="1">
      <c r="A71" s="1193" t="s">
        <v>1033</v>
      </c>
      <c r="B71" s="1194" t="s">
        <v>1487</v>
      </c>
      <c r="C71" s="382">
        <f ca="1">ROUND(C68*10000/F71,0)</f>
        <v>-7632</v>
      </c>
      <c r="D71" s="1195" t="s">
        <v>1488</v>
      </c>
      <c r="E71" s="1196" t="s">
        <v>1489</v>
      </c>
      <c r="F71" s="385">
        <f ca="1">F43</f>
        <v>86782.010000000009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3976</v>
      </c>
      <c r="D75" s="1845"/>
      <c r="E75" s="1845"/>
      <c r="F75" s="1845"/>
      <c r="K75" s="1871"/>
      <c r="L75" s="1845"/>
      <c r="O75" s="1887" t="s">
        <v>1046</v>
      </c>
      <c r="P75" s="1888" t="s">
        <v>1549</v>
      </c>
      <c r="Q75" s="1889">
        <f ca="1">Q65+Q66</f>
        <v>118625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0.33699999999999997</v>
      </c>
    </row>
    <row r="80" spans="1:18">
      <c r="B80" s="386" t="s">
        <v>1511</v>
      </c>
      <c r="C80" s="318">
        <f ca="1">ROUND(C75/C39,3)</f>
        <v>0.66300000000000003</v>
      </c>
    </row>
    <row r="81" spans="2:3">
      <c r="B81" s="314" t="s">
        <v>1512</v>
      </c>
      <c r="C81" s="282"/>
    </row>
    <row r="82" spans="2:3">
      <c r="B82" s="317" t="s">
        <v>1513</v>
      </c>
      <c r="C82" s="319">
        <f ca="1">1-C83</f>
        <v>0.60599999999999998</v>
      </c>
    </row>
    <row r="83" spans="2:3">
      <c r="B83" s="317" t="s">
        <v>1514</v>
      </c>
      <c r="C83" s="318">
        <f ca="1">ROUND(C13/C40,3)</f>
        <v>0.39400000000000002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3086</v>
      </c>
      <c r="E1" s="1824" t="s">
        <v>1387</v>
      </c>
      <c r="F1" s="1286">
        <f ca="1">J53</f>
        <v>41.34</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3345</v>
      </c>
      <c r="C2" s="1848" t="s">
        <v>1516</v>
      </c>
      <c r="D2" s="1848"/>
      <c r="E2" s="1849"/>
      <c r="F2" s="1850"/>
      <c r="G2" s="1851"/>
      <c r="H2" s="1843"/>
      <c r="I2" s="1843"/>
      <c r="J2" s="1843"/>
      <c r="K2" s="1844"/>
      <c r="L2" s="1843"/>
      <c r="M2" s="1843"/>
    </row>
    <row r="3" spans="1:37" ht="18" customHeight="1" thickBot="1">
      <c r="A3" s="1852" t="s">
        <v>1517</v>
      </c>
      <c r="B3" s="1853">
        <f ca="1">IF(ISERROR(B2*10000/F43),0,ROUND(B2*10000/F43,0))</f>
        <v>1152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358</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358</v>
      </c>
      <c r="D6" s="164" t="s">
        <v>3037</v>
      </c>
      <c r="E6" s="347" t="s">
        <v>1405</v>
      </c>
      <c r="F6" s="348">
        <f ca="1">INDIRECT("'数据-取费表'!u"&amp;$G$1)</f>
        <v>400</v>
      </c>
      <c r="G6" s="1854"/>
      <c r="H6" s="1294" t="s">
        <v>1035</v>
      </c>
      <c r="I6" s="3205" t="s">
        <v>1403</v>
      </c>
      <c r="J6" s="346">
        <f ca="1">ROUND(M6*M8*M7*(1-M9)/10000,0)</f>
        <v>0</v>
      </c>
      <c r="K6" s="164" t="s">
        <v>3036</v>
      </c>
      <c r="L6" s="347" t="s">
        <v>1405</v>
      </c>
      <c r="M6" s="348">
        <f ca="1">INDIRECT("'数据-取费表'!z"&amp;$G$1)</f>
        <v>0</v>
      </c>
    </row>
    <row r="7" spans="1:37" ht="18" customHeight="1">
      <c r="A7" s="1298"/>
      <c r="B7" s="3206"/>
      <c r="C7" s="1300"/>
      <c r="D7" s="352"/>
      <c r="E7" s="2948" t="s">
        <v>1406</v>
      </c>
      <c r="F7" s="348">
        <f ca="1">IF(INDIRECT("'数据-取费表'!ah"&amp;$G$1)="",INDIRECT("'数据-取费表'!k"&amp;$G$1),INDIRECT("'数据-取费表'!ah"&amp;$G$1))</f>
        <v>785</v>
      </c>
      <c r="G7" s="1854"/>
      <c r="H7" s="349"/>
      <c r="I7" s="3206"/>
      <c r="J7" s="351"/>
      <c r="K7" s="352"/>
      <c r="L7" s="347" t="s">
        <v>1406</v>
      </c>
      <c r="M7" s="348">
        <f ca="1">F7</f>
        <v>785</v>
      </c>
    </row>
    <row r="8" spans="1:37" ht="18" customHeight="1">
      <c r="A8" s="349"/>
      <c r="B8" s="3206"/>
      <c r="C8" s="351"/>
      <c r="D8" s="352"/>
      <c r="E8" s="347" t="s">
        <v>1407</v>
      </c>
      <c r="F8" s="348">
        <f ca="1">INDIRECT("'数据-取费表'!ai"&amp;$G$1)</f>
        <v>12</v>
      </c>
      <c r="G8" s="1854"/>
      <c r="H8" s="349"/>
      <c r="I8" s="3206"/>
      <c r="J8" s="351"/>
      <c r="K8" s="352"/>
      <c r="L8" s="347" t="s">
        <v>1407</v>
      </c>
      <c r="M8" s="348">
        <f ca="1">INDIRECT("'数据-取费表'!ai"&amp;$G$1)</f>
        <v>12</v>
      </c>
    </row>
    <row r="9" spans="1:37" ht="18" customHeight="1">
      <c r="A9" s="349"/>
      <c r="B9" s="3207"/>
      <c r="C9" s="351"/>
      <c r="D9" s="352"/>
      <c r="E9" s="347" t="s">
        <v>1408</v>
      </c>
      <c r="F9" s="357">
        <f ca="1">INDIRECT("'数据-取费表'!w"&amp;$G$1)</f>
        <v>0.05</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3087</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10054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7382</v>
      </c>
      <c r="D14" s="2951" t="s">
        <v>1418</v>
      </c>
      <c r="E14" s="2950"/>
      <c r="F14" s="364"/>
      <c r="G14" s="1854"/>
      <c r="H14" s="1204" t="s">
        <v>1035</v>
      </c>
      <c r="I14" s="347" t="s">
        <v>1419</v>
      </c>
      <c r="J14" s="24">
        <f ca="1">C29</f>
        <v>10054</v>
      </c>
      <c r="K14" s="2947"/>
      <c r="L14" s="982"/>
      <c r="M14" s="983"/>
    </row>
    <row r="15" spans="1:37" s="1861" customFormat="1" ht="18" customHeight="1" thickBot="1">
      <c r="A15" s="1204" t="s">
        <v>1036</v>
      </c>
      <c r="B15" s="347" t="s">
        <v>1420</v>
      </c>
      <c r="C15" s="24">
        <f ca="1">ROUND(C14*F15,0)</f>
        <v>221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239</v>
      </c>
      <c r="K16" s="1340" t="s">
        <v>1425</v>
      </c>
      <c r="L16" s="2953"/>
      <c r="M16" s="1297"/>
    </row>
    <row r="17" spans="1:37" s="1861" customFormat="1" ht="18" customHeight="1">
      <c r="A17" s="1204" t="s">
        <v>1390</v>
      </c>
      <c r="B17" s="347" t="s">
        <v>1426</v>
      </c>
      <c r="C17" s="24">
        <f ca="1">ROUND(F17*(F43+INDIRECT("'数据-取费表'!S"&amp;$G$1))/10000,0)</f>
        <v>591</v>
      </c>
      <c r="D17" s="347" t="s">
        <v>1427</v>
      </c>
      <c r="E17" s="347" t="s">
        <v>1428</v>
      </c>
      <c r="F17" s="26">
        <f>'数据-取费表'!B35</f>
        <v>200</v>
      </c>
      <c r="G17" s="1857"/>
      <c r="H17" s="1204" t="s">
        <v>1035</v>
      </c>
      <c r="I17" s="347" t="s">
        <v>1429</v>
      </c>
      <c r="J17" s="24">
        <f ca="1">ROUND(IF(项目基本情况!B11="自然人",J5*M17,J18+J19+J20),1)</f>
        <v>88.4</v>
      </c>
      <c r="K17" s="2951"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111</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8305</v>
      </c>
      <c r="D19" s="140" t="s">
        <v>1436</v>
      </c>
      <c r="E19" s="2946"/>
      <c r="F19" s="26"/>
      <c r="G19" s="1854"/>
      <c r="H19" s="1204" t="s">
        <v>1036</v>
      </c>
      <c r="I19" s="347" t="s">
        <v>1437</v>
      </c>
      <c r="J19" s="24">
        <f ca="1">IF(K19="按租金收入计税",ROUND(J5*M19,2),ROUND(C29*M19*0.7,2))</f>
        <v>84.45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166</v>
      </c>
      <c r="D20" s="369" t="s">
        <v>1440</v>
      </c>
      <c r="E20" s="347" t="s">
        <v>1422</v>
      </c>
      <c r="F20" s="367">
        <f>'数据-取费表'!B37</f>
        <v>0.02</v>
      </c>
      <c r="G20" s="1857"/>
      <c r="H20" s="1204" t="s">
        <v>1389</v>
      </c>
      <c r="I20" s="164" t="s">
        <v>1441</v>
      </c>
      <c r="J20" s="25">
        <f ca="1">ROUND(M20*M21/10000,2)</f>
        <v>3.95</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7903.2300000000005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4"/>
      <c r="H22" s="1204" t="s">
        <v>1039</v>
      </c>
      <c r="I22" s="347" t="s">
        <v>1449</v>
      </c>
      <c r="J22" s="24">
        <f ca="1">ROUND(J14*M22,1)</f>
        <v>150.80000000000001</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402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2"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6"/>
      <c r="F25" s="26"/>
      <c r="G25" s="1854"/>
      <c r="H25" s="1332" t="s">
        <v>1031</v>
      </c>
      <c r="I25" s="1347" t="s">
        <v>1463</v>
      </c>
      <c r="J25" s="355">
        <f ca="1">J5-J16</f>
        <v>-239</v>
      </c>
      <c r="K25" s="1348" t="s">
        <v>1464</v>
      </c>
      <c r="L25" s="1349"/>
      <c r="M25" s="1350"/>
    </row>
    <row r="26" spans="1:37">
      <c r="A26" s="1204" t="s">
        <v>1034</v>
      </c>
      <c r="B26" s="347" t="s">
        <v>1465</v>
      </c>
      <c r="C26" s="24">
        <f ca="1">ROUND((C19+C20)*F26,0)</f>
        <v>424</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10054</v>
      </c>
      <c r="D29" s="1345"/>
      <c r="E29" s="1343"/>
      <c r="F29" s="1346"/>
      <c r="G29" s="1857"/>
      <c r="H29" s="380" t="s">
        <v>1033</v>
      </c>
      <c r="I29" s="381" t="s">
        <v>1479</v>
      </c>
      <c r="J29" s="382">
        <f ca="1">ROUND(J26/(1+F40)^F41,0)</f>
        <v>0</v>
      </c>
      <c r="K29" s="383" t="s">
        <v>1480</v>
      </c>
      <c r="L29" s="384"/>
      <c r="M29" s="385">
        <f ca="1">INDIRECT("'数据-取费表'!k"&amp;$G$1)</f>
        <v>29042.670000000002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236</v>
      </c>
      <c r="D30" s="1340" t="s">
        <v>1425</v>
      </c>
      <c r="E30" s="2953"/>
      <c r="F30" s="1297"/>
      <c r="G30" s="1854"/>
      <c r="H30" s="745"/>
      <c r="I30" s="746"/>
      <c r="J30" s="747"/>
      <c r="K30" s="748"/>
      <c r="L30" s="749"/>
      <c r="M30" s="750"/>
    </row>
    <row r="31" spans="1:37" ht="18" customHeight="1">
      <c r="A31" s="1204" t="s">
        <v>1035</v>
      </c>
      <c r="B31" s="347" t="s">
        <v>1429</v>
      </c>
      <c r="C31" s="24">
        <f ca="1">ROUND(IF(项目基本情况!B11="自然人",C5*F31,C32+C33+C34),1)</f>
        <v>66</v>
      </c>
      <c r="D31" s="2951"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19.09</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42.96</v>
      </c>
      <c r="D33" s="1831" t="s">
        <v>3083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3.95</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7903.2300000000005</v>
      </c>
      <c r="G35" s="1854"/>
      <c r="H35" s="745"/>
      <c r="I35" s="1863"/>
      <c r="J35" s="1864"/>
      <c r="K35" s="1865"/>
      <c r="L35" s="1862"/>
      <c r="M35" s="1862"/>
    </row>
    <row r="36" spans="1:18" ht="18" customHeight="1">
      <c r="A36" s="1355" t="s">
        <v>1039</v>
      </c>
      <c r="B36" s="347" t="s">
        <v>1449</v>
      </c>
      <c r="C36" s="24">
        <f ca="1">ROUND(C29*F36,1)</f>
        <v>150.80000000000001</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15.1</v>
      </c>
      <c r="D37" s="2952"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3345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41.34</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1152</v>
      </c>
      <c r="D43" s="383" t="s">
        <v>1488</v>
      </c>
      <c r="E43" s="384" t="s">
        <v>1489</v>
      </c>
      <c r="F43" s="385">
        <f ca="1">INDIRECT("'数据-取费表'!k"&amp;$G$1)</f>
        <v>29042.670000000002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-20927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50</v>
      </c>
      <c r="M47" s="1841" t="str">
        <f>IF(ISNUMBER(FIND("住宅",C1)),"住宅","非住宅")</f>
        <v>非住宅</v>
      </c>
      <c r="O47" s="1887" t="s">
        <v>1040</v>
      </c>
      <c r="P47" s="1888" t="s">
        <v>1528</v>
      </c>
      <c r="Q47" s="1889">
        <f ca="1">C40+J29</f>
        <v>3345</v>
      </c>
      <c r="R47" s="1889" t="s">
        <v>1529</v>
      </c>
    </row>
    <row r="48" spans="1:18" s="1845" customFormat="1" ht="28.5" thickBot="1">
      <c r="A48" s="1363" t="s">
        <v>1135</v>
      </c>
      <c r="B48" s="345" t="s">
        <v>1401</v>
      </c>
      <c r="C48" s="2945">
        <f ca="1">C49+C53+C55</f>
        <v>0</v>
      </c>
      <c r="D48" s="1365"/>
      <c r="E48" s="1366"/>
      <c r="F48" s="1184"/>
      <c r="G48" s="792"/>
      <c r="H48" s="793"/>
      <c r="I48" s="1890" t="s">
        <v>1530</v>
      </c>
      <c r="J48" s="1891" t="s">
        <v>3085</v>
      </c>
      <c r="K48" s="1892" t="s">
        <v>1531</v>
      </c>
      <c r="L48" s="1893">
        <f ca="1">INDIRECT("'数据-取费表'!f"&amp;$G$1)</f>
        <v>42.34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c r="K49" s="1892" t="s">
        <v>1535</v>
      </c>
      <c r="L49" s="1896"/>
      <c r="O49" s="1897" t="s">
        <v>1042</v>
      </c>
      <c r="P49" s="1888" t="s">
        <v>1536</v>
      </c>
      <c r="Q49" s="1889">
        <f ca="1">C29</f>
        <v>10054</v>
      </c>
      <c r="R49" s="1889" t="s">
        <v>1529</v>
      </c>
    </row>
    <row r="50" spans="1:18" s="1845" customFormat="1" ht="13.5" thickBot="1">
      <c r="A50" s="1198"/>
      <c r="B50" s="1201"/>
      <c r="C50" s="1371"/>
      <c r="D50" s="1175"/>
      <c r="E50" s="1280" t="s">
        <v>1406</v>
      </c>
      <c r="F50" s="1281">
        <f ca="1">F7</f>
        <v>785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-13755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41.34</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41.34</v>
      </c>
      <c r="K53" s="3203" t="s">
        <v>1548</v>
      </c>
      <c r="L53" s="3204"/>
      <c r="O53" s="1887" t="s">
        <v>1046</v>
      </c>
      <c r="P53" s="1888" t="s">
        <v>1549</v>
      </c>
      <c r="Q53" s="1889">
        <f ca="1">Q47+Q48</f>
        <v>3345</v>
      </c>
      <c r="R53" s="1889" t="s">
        <v>1047</v>
      </c>
    </row>
    <row r="54" spans="1:18" s="1845" customFormat="1" ht="13.5" thickBot="1">
      <c r="A54" s="1409"/>
      <c r="B54" s="1828" t="s">
        <v>1388</v>
      </c>
      <c r="C54" s="1181"/>
      <c r="D54" s="1827"/>
      <c r="E54" s="2949"/>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9"/>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10054</v>
      </c>
      <c r="D56" s="1917"/>
      <c r="E56" s="1918"/>
      <c r="F56" s="1910"/>
      <c r="I56" s="1919" t="s">
        <v>1554</v>
      </c>
      <c r="J56" s="1920" t="s">
        <v>3069</v>
      </c>
      <c r="K56" s="1890" t="s">
        <v>1555</v>
      </c>
      <c r="L56" s="1893" t="str">
        <f ca="1">IF(L48&lt;J51,"——",L48-J53)</f>
        <v>——</v>
      </c>
      <c r="O56" s="1887" t="s">
        <v>1040</v>
      </c>
      <c r="P56" s="1888" t="s">
        <v>1528</v>
      </c>
      <c r="Q56" s="1889">
        <f ca="1">C40+J29</f>
        <v>3345</v>
      </c>
      <c r="R56" s="1889" t="s">
        <v>1529</v>
      </c>
    </row>
    <row r="57" spans="1:18" s="1845" customFormat="1" ht="24.75" thickBot="1">
      <c r="A57" s="1921"/>
      <c r="B57" s="1172" t="s">
        <v>1478</v>
      </c>
      <c r="C57" s="282">
        <f ca="1">C29</f>
        <v>10054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1014</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848.5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844.54</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3.95</v>
      </c>
      <c r="D62" s="1187" t="s">
        <v>1497</v>
      </c>
      <c r="E62" s="1172" t="s">
        <v>1443</v>
      </c>
      <c r="F62" s="371">
        <f t="shared" si="0"/>
        <v>5</v>
      </c>
      <c r="I62" s="1932" t="s">
        <v>1570</v>
      </c>
      <c r="J62" s="1933" t="s">
        <v>1571</v>
      </c>
      <c r="K62" s="1933" t="s">
        <v>1572</v>
      </c>
      <c r="L62" s="1933" t="s">
        <v>1573</v>
      </c>
      <c r="M62" s="1934" t="s">
        <v>1574</v>
      </c>
      <c r="O62" s="1887" t="s">
        <v>1046</v>
      </c>
      <c r="P62" s="1888" t="s">
        <v>1575</v>
      </c>
      <c r="Q62" s="1889">
        <f ca="1">Q56+Q57</f>
        <v>3345</v>
      </c>
      <c r="R62" s="1889" t="s">
        <v>1047</v>
      </c>
    </row>
    <row r="63" spans="1:18" s="1845" customFormat="1" ht="13.5" thickBot="1">
      <c r="A63" s="372"/>
      <c r="B63" s="1178"/>
      <c r="C63" s="29"/>
      <c r="D63" s="1188"/>
      <c r="E63" s="1172" t="s">
        <v>1447</v>
      </c>
      <c r="F63" s="348">
        <f t="shared" ca="1" si="0"/>
        <v>7903.2300000000005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150.80000000000001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15.1</v>
      </c>
      <c r="D65" s="1186" t="s">
        <v>1454</v>
      </c>
      <c r="E65" s="1172" t="s">
        <v>1455</v>
      </c>
      <c r="F65" s="376">
        <f t="shared" ca="1" si="0"/>
        <v>1.5E-3</v>
      </c>
      <c r="I65" s="1932" t="s">
        <v>1579</v>
      </c>
      <c r="J65" s="1933">
        <v>40</v>
      </c>
      <c r="K65" s="1933">
        <v>30</v>
      </c>
      <c r="L65" s="1933">
        <v>50</v>
      </c>
      <c r="M65" s="1935">
        <v>0.02</v>
      </c>
      <c r="O65" s="1887" t="s">
        <v>1040</v>
      </c>
      <c r="P65" s="1888" t="s">
        <v>1528</v>
      </c>
      <c r="Q65" s="1889">
        <f ca="1">C40+J29</f>
        <v>3345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-1014</v>
      </c>
      <c r="D67" s="1185" t="s">
        <v>1464</v>
      </c>
      <c r="E67" s="1190"/>
      <c r="F67" s="1191"/>
      <c r="O67" s="1897" t="s">
        <v>1042</v>
      </c>
      <c r="P67" s="1888" t="s">
        <v>1562</v>
      </c>
      <c r="Q67" s="1936">
        <f ca="1">L51</f>
        <v>-13755</v>
      </c>
      <c r="R67" s="1889" t="s">
        <v>1582</v>
      </c>
    </row>
    <row r="68" spans="1:18" s="1845" customFormat="1" ht="16.5" thickBot="1">
      <c r="A68" s="1169" t="s">
        <v>1032</v>
      </c>
      <c r="B68" s="1170" t="s">
        <v>1485</v>
      </c>
      <c r="C68" s="346">
        <f ca="1">ROUND(C67*(1-((1+F70)/(1+F68))^F69)/(F68-F70),0)</f>
        <v>-17582</v>
      </c>
      <c r="D68" s="1187" t="s">
        <v>1469</v>
      </c>
      <c r="E68" s="1172" t="s">
        <v>1470</v>
      </c>
      <c r="F68" s="357">
        <f ca="1">F40</f>
        <v>0.05</v>
      </c>
      <c r="O68" s="1897" t="s">
        <v>1043</v>
      </c>
      <c r="P68" s="1937" t="s">
        <v>1583</v>
      </c>
      <c r="Q68" s="1889">
        <f ca="1">ROUND(Q69-Q70*Q71,0)</f>
        <v>-733</v>
      </c>
      <c r="R68" s="1889" t="s">
        <v>1051</v>
      </c>
    </row>
    <row r="69" spans="1:18" s="1845" customFormat="1" ht="13.5" thickBot="1">
      <c r="A69" s="1173"/>
      <c r="B69" s="1174"/>
      <c r="C69" s="351"/>
      <c r="D69" s="1192" t="s">
        <v>1473</v>
      </c>
      <c r="E69" s="1172" t="s">
        <v>1474</v>
      </c>
      <c r="F69" s="379">
        <f ca="1">F41</f>
        <v>41.34</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10054</v>
      </c>
      <c r="R70" s="1889" t="s">
        <v>1529</v>
      </c>
    </row>
    <row r="71" spans="1:18" s="1845" customFormat="1" ht="13.5" thickBot="1">
      <c r="A71" s="1193" t="s">
        <v>1033</v>
      </c>
      <c r="B71" s="1194" t="s">
        <v>1487</v>
      </c>
      <c r="C71" s="382">
        <f ca="1">ROUND(C68*10000/F71,0)</f>
        <v>-6054</v>
      </c>
      <c r="D71" s="1195" t="s">
        <v>1488</v>
      </c>
      <c r="E71" s="1196" t="s">
        <v>1489</v>
      </c>
      <c r="F71" s="385">
        <f ca="1">F43</f>
        <v>29042.670000000002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855</v>
      </c>
      <c r="D75" s="1845"/>
      <c r="E75" s="1845"/>
      <c r="F75" s="1845"/>
      <c r="K75" s="1871"/>
      <c r="L75" s="1845"/>
      <c r="O75" s="1887" t="s">
        <v>1046</v>
      </c>
      <c r="P75" s="1888" t="s">
        <v>1549</v>
      </c>
      <c r="Q75" s="1889">
        <f ca="1">Q65+Q66</f>
        <v>3345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-6.008</v>
      </c>
    </row>
    <row r="80" spans="1:18">
      <c r="B80" s="386" t="s">
        <v>1511</v>
      </c>
      <c r="C80" s="318">
        <f ca="1">ROUND(C75/C39,3)</f>
        <v>7.008</v>
      </c>
    </row>
    <row r="81" spans="2:3">
      <c r="B81" s="314" t="s">
        <v>1512</v>
      </c>
      <c r="C81" s="282"/>
    </row>
    <row r="82" spans="2:3">
      <c r="B82" s="317" t="s">
        <v>1513</v>
      </c>
      <c r="C82" s="319">
        <f ca="1">1-C83</f>
        <v>-2.0059999999999998</v>
      </c>
    </row>
    <row r="83" spans="2:3">
      <c r="B83" s="317" t="s">
        <v>1514</v>
      </c>
      <c r="C83" s="318">
        <f ca="1">ROUND(C13/C40,3)</f>
        <v>3.0059999999999998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5" t="s">
        <v>1403</v>
      </c>
      <c r="C6" s="1299">
        <f ca="1">ROUND(F6*F8*F7*(1-F9),0)</f>
        <v>0</v>
      </c>
      <c r="D6" s="164" t="s">
        <v>3034</v>
      </c>
      <c r="E6" s="347" t="s">
        <v>1405</v>
      </c>
      <c r="F6" s="348">
        <f ca="1">INDIRECT("'数据-取费表'!u"&amp;$G$1)</f>
        <v>0</v>
      </c>
      <c r="G6" s="1854"/>
      <c r="H6" s="1294" t="s">
        <v>1035</v>
      </c>
      <c r="I6" s="3205" t="s">
        <v>1403</v>
      </c>
      <c r="J6" s="346">
        <f ca="1">ROUND(M6*M8*M7*(1-M9),0)</f>
        <v>0</v>
      </c>
      <c r="K6" s="1837" t="s">
        <v>3035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4"/>
      <c r="H7" s="349"/>
      <c r="I7" s="3206"/>
      <c r="J7" s="351"/>
      <c r="K7" s="352"/>
      <c r="L7" s="347" t="s">
        <v>1406</v>
      </c>
      <c r="M7" s="348">
        <f ca="1">F7</f>
        <v>0</v>
      </c>
    </row>
    <row r="8" spans="1:37" ht="18" customHeight="1">
      <c r="A8" s="349"/>
      <c r="B8" s="3206"/>
      <c r="C8" s="351"/>
      <c r="D8" s="352"/>
      <c r="E8" s="347" t="s">
        <v>1407</v>
      </c>
      <c r="F8" s="348">
        <f ca="1">INDIRECT("'数据-取费表'!ai"&amp;$G$1)</f>
        <v>0</v>
      </c>
      <c r="G8" s="1854"/>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3" t="s">
        <v>1548</v>
      </c>
      <c r="L53" s="320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2333</v>
      </c>
      <c r="B2" s="2568">
        <f ca="1">SUMIF(B6:B13,"&lt;&gt;#ref!",B6:B13)</f>
        <v>121970</v>
      </c>
      <c r="C2" s="2569" t="s">
        <v>2522</v>
      </c>
      <c r="D2" s="2570" t="s">
        <v>2523</v>
      </c>
      <c r="E2" s="2571">
        <f>SUM(E6:E13)</f>
        <v>117760.1</v>
      </c>
    </row>
    <row r="3" spans="1:6" ht="15.75">
      <c r="A3" s="2567" t="s">
        <v>1395</v>
      </c>
      <c r="B3" s="2568">
        <f ca="1">ROUND(B2*10000/E2,0)</f>
        <v>10357</v>
      </c>
      <c r="C3" s="2569" t="s">
        <v>2530</v>
      </c>
      <c r="D3" s="2572"/>
      <c r="E3" s="2573"/>
    </row>
    <row r="4" spans="1:6" ht="15.75">
      <c r="A4" s="2574"/>
      <c r="B4" s="2572"/>
      <c r="C4" s="2572"/>
      <c r="D4" s="2572"/>
      <c r="E4" s="2573"/>
    </row>
    <row r="5" spans="1:6" ht="15">
      <c r="A5" s="2575" t="s">
        <v>2524</v>
      </c>
      <c r="B5" s="3208" t="s">
        <v>2525</v>
      </c>
      <c r="C5" s="3208"/>
      <c r="D5" s="2576"/>
      <c r="E5" s="2577" t="s">
        <v>2526</v>
      </c>
      <c r="F5" s="2578" t="s">
        <v>2527</v>
      </c>
    </row>
    <row r="6" spans="1:6">
      <c r="A6" s="2579" t="str">
        <f>'数据-取费表'!AN6</f>
        <v>收益法</v>
      </c>
      <c r="B6" s="2578">
        <f ca="1">IF(F6="是",'数据-取费表'!AO6,0)</f>
        <v>118625</v>
      </c>
      <c r="C6" s="2569" t="s">
        <v>2522</v>
      </c>
      <c r="D6" s="2572"/>
      <c r="E6" s="2580">
        <f>IF(OR(A6=0,F6="否"),0,'数据-取费表'!K6+'数据-取费表'!S6)</f>
        <v>88232.13</v>
      </c>
      <c r="F6" s="2581" t="s">
        <v>2528</v>
      </c>
    </row>
    <row r="7" spans="1:6">
      <c r="A7" s="2579" t="str">
        <f>'数据-取费表'!AN7</f>
        <v>收益法 (地下车库)</v>
      </c>
      <c r="B7" s="2578">
        <f ca="1">IF(F7="是",'数据-取费表'!AO7,0)</f>
        <v>3345</v>
      </c>
      <c r="C7" s="2569" t="s">
        <v>2522</v>
      </c>
      <c r="D7" s="2572"/>
      <c r="E7" s="2580">
        <f>IF(OR(A7=0,F7="否"),0,'数据-取费表'!K7+'数据-取费表'!S7)</f>
        <v>29527.97</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4.2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24">
      <c r="A16" s="3215" t="s">
        <v>1102</v>
      </c>
      <c r="B16" s="3216" t="s">
        <v>1103</v>
      </c>
      <c r="C16" s="3216"/>
      <c r="D16" s="1306" t="s">
        <v>1079</v>
      </c>
      <c r="E16" s="1317" t="s">
        <v>1104</v>
      </c>
      <c r="F16" s="1307" t="s">
        <v>1105</v>
      </c>
      <c r="G16" s="1308" t="s">
        <v>1083</v>
      </c>
      <c r="H16" s="1314" t="s">
        <v>1098</v>
      </c>
      <c r="I16" s="1305" t="s">
        <v>1084</v>
      </c>
    </row>
    <row r="17" spans="1:9" ht="14.25">
      <c r="A17" s="3215"/>
      <c r="B17" s="3216" t="s">
        <v>1106</v>
      </c>
      <c r="C17" s="3216"/>
      <c r="D17" s="1306"/>
      <c r="E17" s="1306"/>
      <c r="F17" s="1307"/>
      <c r="G17" s="1308"/>
      <c r="H17" s="1318"/>
      <c r="I17" s="1319">
        <f>ROUND(D17*E17*F17*G17/10000,0)</f>
        <v>0</v>
      </c>
    </row>
    <row r="18" spans="1:9" ht="14.25">
      <c r="A18" s="3215"/>
      <c r="B18" s="3216" t="s">
        <v>1107</v>
      </c>
      <c r="C18" s="3216"/>
      <c r="D18" s="1306"/>
      <c r="E18" s="1306"/>
      <c r="F18" s="1307"/>
      <c r="G18" s="1308"/>
      <c r="H18" s="1318"/>
      <c r="I18" s="1319">
        <f>ROUND(D18*E18*F18*G18/10000,0)</f>
        <v>0</v>
      </c>
    </row>
    <row r="19" spans="1:9" ht="14.2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8"/>
      <c r="C21" s="3218"/>
      <c r="D21" s="3218"/>
      <c r="E21" s="3218"/>
      <c r="F21" s="3218"/>
      <c r="G21" s="3218"/>
      <c r="H21" s="1768">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12">
        <f>C27-C30-C31-C32</f>
        <v>0</v>
      </c>
      <c r="F26" s="3212"/>
      <c r="G26" s="3212"/>
      <c r="H26" s="1740" t="s">
        <v>1340</v>
      </c>
    </row>
    <row r="27" spans="1:9">
      <c r="A27" s="1327">
        <v>1</v>
      </c>
      <c r="B27" s="1328" t="s">
        <v>1118</v>
      </c>
      <c r="C27" s="1328">
        <f>C28+C29</f>
        <v>0</v>
      </c>
      <c r="D27" s="1328"/>
      <c r="E27" s="3213"/>
      <c r="F27" s="3213"/>
      <c r="G27" s="3213"/>
    </row>
    <row r="28" spans="1:9">
      <c r="A28" s="1329" t="s">
        <v>1119</v>
      </c>
      <c r="B28" s="1328" t="s">
        <v>1120</v>
      </c>
      <c r="C28" s="1328"/>
      <c r="D28" s="1328"/>
      <c r="E28" s="3213"/>
      <c r="F28" s="3213"/>
      <c r="G28" s="321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09" t="s">
        <v>1129</v>
      </c>
      <c r="B33" s="3210"/>
      <c r="C33" s="3210"/>
      <c r="D33" s="3211"/>
      <c r="E33" s="3212"/>
      <c r="F33" s="3212"/>
      <c r="G33" s="3212"/>
    </row>
    <row r="34" spans="1:7" hidden="1">
      <c r="A34" s="1331">
        <v>1</v>
      </c>
      <c r="B34" s="1328" t="s">
        <v>1130</v>
      </c>
      <c r="C34" s="1328"/>
      <c r="D34" s="1328"/>
      <c r="E34" s="3213"/>
      <c r="F34" s="3213"/>
      <c r="G34" s="3213"/>
    </row>
    <row r="35" spans="1:7" hidden="1">
      <c r="A35" s="1331">
        <v>2</v>
      </c>
      <c r="B35" s="1328" t="s">
        <v>1131</v>
      </c>
      <c r="C35" s="1328"/>
      <c r="D35" s="1328"/>
      <c r="E35" s="3213"/>
      <c r="F35" s="3213"/>
      <c r="G35" s="3213"/>
    </row>
    <row r="36" spans="1:7" hidden="1">
      <c r="A36" s="1331">
        <v>3</v>
      </c>
      <c r="B36" s="1328" t="s">
        <v>1132</v>
      </c>
      <c r="C36" s="1328"/>
      <c r="D36" s="1328"/>
      <c r="E36" s="3213"/>
      <c r="F36" s="3213"/>
      <c r="G36" s="3213"/>
    </row>
    <row r="37" spans="1:7" hidden="1">
      <c r="A37" s="1331">
        <v>4</v>
      </c>
      <c r="B37" s="1328" t="s">
        <v>1133</v>
      </c>
      <c r="C37" s="1328"/>
      <c r="D37" s="1328"/>
      <c r="E37" s="3213"/>
      <c r="F37" s="3213"/>
      <c r="G37" s="3213"/>
    </row>
    <row r="38" spans="1:7" hidden="1">
      <c r="A38" s="3209" t="s">
        <v>1134</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117760.1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2538</v>
      </c>
      <c r="B4" s="402"/>
      <c r="C4" s="3164" t="s">
        <v>2539</v>
      </c>
      <c r="D4" s="3177"/>
      <c r="E4" s="3178" t="s">
        <v>2540</v>
      </c>
      <c r="F4" s="3179"/>
      <c r="G4" s="3164" t="s">
        <v>2541</v>
      </c>
      <c r="H4" s="3177"/>
      <c r="I4" s="3164" t="s">
        <v>2542</v>
      </c>
      <c r="J4" s="3177"/>
      <c r="K4" s="2599" t="s">
        <v>2543</v>
      </c>
      <c r="L4" s="1133"/>
      <c r="M4" s="1134"/>
      <c r="N4" s="1134"/>
      <c r="O4" s="1134"/>
      <c r="P4" s="3180" t="s">
        <v>2544</v>
      </c>
      <c r="Q4" s="3181"/>
      <c r="R4" s="3186" t="s">
        <v>2540</v>
      </c>
      <c r="S4" s="3187"/>
      <c r="T4" s="3186" t="s">
        <v>2541</v>
      </c>
      <c r="U4" s="3187"/>
      <c r="V4" s="3173" t="s">
        <v>2542</v>
      </c>
      <c r="W4" s="3173"/>
      <c r="X4" s="1816"/>
      <c r="Y4" s="3186" t="s">
        <v>2544</v>
      </c>
      <c r="Z4" s="3187"/>
      <c r="AA4" s="3174" t="s">
        <v>2540</v>
      </c>
      <c r="AB4" s="3174" t="s">
        <v>2541</v>
      </c>
      <c r="AC4" s="3174" t="s">
        <v>2542</v>
      </c>
    </row>
    <row r="5" spans="1:29" ht="15">
      <c r="A5" s="404"/>
      <c r="B5" s="405"/>
      <c r="C5" s="3194" t="s">
        <v>2545</v>
      </c>
      <c r="D5" s="3195"/>
      <c r="E5" s="3201" t="s">
        <v>2546</v>
      </c>
      <c r="F5" s="3202"/>
      <c r="G5" s="3194" t="s">
        <v>2547</v>
      </c>
      <c r="H5" s="3195"/>
      <c r="I5" s="3194" t="s">
        <v>2548</v>
      </c>
      <c r="J5" s="3195"/>
      <c r="K5" s="2600"/>
      <c r="L5" s="1133"/>
      <c r="M5" s="1134"/>
      <c r="N5" s="1134"/>
      <c r="O5" s="1134"/>
      <c r="P5" s="3182"/>
      <c r="Q5" s="3183"/>
      <c r="R5" s="3188"/>
      <c r="S5" s="3189"/>
      <c r="T5" s="3188"/>
      <c r="U5" s="3189"/>
      <c r="V5" s="3173"/>
      <c r="W5" s="3173"/>
      <c r="X5" s="1816"/>
      <c r="Y5" s="3188"/>
      <c r="Z5" s="3189"/>
      <c r="AA5" s="3175"/>
      <c r="AB5" s="3175"/>
      <c r="AC5" s="3175"/>
    </row>
    <row r="6" spans="1:29" ht="15.75" thickBot="1">
      <c r="A6" s="406"/>
      <c r="B6" s="407"/>
      <c r="C6" s="3192" t="s">
        <v>2549</v>
      </c>
      <c r="D6" s="3193"/>
      <c r="E6" s="3199" t="s">
        <v>2549</v>
      </c>
      <c r="F6" s="3200"/>
      <c r="G6" s="3192" t="s">
        <v>2549</v>
      </c>
      <c r="H6" s="3193"/>
      <c r="I6" s="3192" t="s">
        <v>2549</v>
      </c>
      <c r="J6" s="3193"/>
      <c r="K6" s="2600" t="s">
        <v>2550</v>
      </c>
      <c r="L6" s="1133"/>
      <c r="M6" s="1134"/>
      <c r="N6" s="1134"/>
      <c r="O6" s="1134"/>
      <c r="P6" s="3184"/>
      <c r="Q6" s="3185"/>
      <c r="R6" s="3188"/>
      <c r="S6" s="3189"/>
      <c r="T6" s="3190"/>
      <c r="U6" s="3191"/>
      <c r="V6" s="3173"/>
      <c r="W6" s="3173"/>
      <c r="X6" s="1816"/>
      <c r="Y6" s="3190"/>
      <c r="Z6" s="3191"/>
      <c r="AA6" s="3176"/>
      <c r="AB6" s="3176"/>
      <c r="AC6" s="3176"/>
    </row>
    <row r="7" spans="1:29" s="117" customFormat="1" ht="15.75" thickBot="1">
      <c r="A7" s="408" t="s">
        <v>2551</v>
      </c>
      <c r="B7" s="409"/>
      <c r="C7" s="410">
        <f>'数据-取费表'!B2</f>
        <v>43462</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6" t="s">
        <v>2552</v>
      </c>
      <c r="Q7" s="3198"/>
      <c r="R7" s="770" t="s">
        <v>23</v>
      </c>
      <c r="S7" s="771">
        <f t="shared" ref="S7:S15" si="0">F7</f>
        <v>0</v>
      </c>
      <c r="T7" s="770" t="s">
        <v>23</v>
      </c>
      <c r="U7" s="771">
        <f t="shared" ref="U7:U15" si="1">H7</f>
        <v>0</v>
      </c>
      <c r="V7" s="770" t="s">
        <v>23</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6" t="s">
        <v>2555</v>
      </c>
      <c r="Q8" s="3197"/>
      <c r="R8" s="770" t="s">
        <v>23</v>
      </c>
      <c r="S8" s="771">
        <f t="shared" si="0"/>
        <v>0</v>
      </c>
      <c r="T8" s="770" t="s">
        <v>23</v>
      </c>
      <c r="U8" s="771">
        <f t="shared" si="1"/>
        <v>0</v>
      </c>
      <c r="V8" s="770" t="s">
        <v>23</v>
      </c>
      <c r="W8" s="771">
        <f t="shared" si="2"/>
        <v>0</v>
      </c>
      <c r="X8" s="772"/>
      <c r="Y8" s="3196" t="s">
        <v>2555</v>
      </c>
      <c r="Z8" s="3197"/>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66" t="s">
        <v>2558</v>
      </c>
      <c r="Q9" s="1798"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6"/>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66"/>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66"/>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66"/>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6" t="s">
        <v>2563</v>
      </c>
      <c r="Q15" s="1813" t="str">
        <f t="shared" si="6"/>
        <v>居住社区成熟度</v>
      </c>
      <c r="R15" s="774" t="s">
        <v>21</v>
      </c>
      <c r="S15" s="775">
        <f t="shared" si="0"/>
        <v>100</v>
      </c>
      <c r="T15" s="774" t="s">
        <v>21</v>
      </c>
      <c r="U15" s="775">
        <f t="shared" si="1"/>
        <v>100</v>
      </c>
      <c r="V15" s="774" t="s">
        <v>21</v>
      </c>
      <c r="W15" s="775">
        <f t="shared" si="2"/>
        <v>100</v>
      </c>
      <c r="X15" s="1816"/>
      <c r="Y15" s="3169" t="s">
        <v>2563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7"/>
      <c r="Q16" s="1813"/>
      <c r="R16" s="774"/>
      <c r="S16" s="775"/>
      <c r="T16" s="774"/>
      <c r="U16" s="775"/>
      <c r="V16" s="774"/>
      <c r="W16" s="775"/>
      <c r="X16" s="1816"/>
      <c r="Y16" s="3170"/>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7"/>
      <c r="Q17" s="1813" t="str">
        <f>B17</f>
        <v>交通便捷度</v>
      </c>
      <c r="R17" s="774" t="s">
        <v>21</v>
      </c>
      <c r="S17" s="775">
        <f>F17</f>
        <v>100</v>
      </c>
      <c r="T17" s="774" t="s">
        <v>21</v>
      </c>
      <c r="U17" s="775">
        <f>H17</f>
        <v>100</v>
      </c>
      <c r="V17" s="774" t="s">
        <v>21</v>
      </c>
      <c r="W17" s="775">
        <f>J17</f>
        <v>100</v>
      </c>
      <c r="X17" s="1816"/>
      <c r="Y17" s="3170"/>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7"/>
      <c r="Q18" s="1813"/>
      <c r="R18" s="774"/>
      <c r="S18" s="775"/>
      <c r="T18" s="774"/>
      <c r="U18" s="775"/>
      <c r="V18" s="774"/>
      <c r="W18" s="775"/>
      <c r="X18" s="1816"/>
      <c r="Y18" s="3170"/>
      <c r="Z18" s="1817"/>
      <c r="AA18" s="1814">
        <v>1</v>
      </c>
      <c r="AB18" s="1814">
        <v>1</v>
      </c>
      <c r="AC18" s="1814">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7"/>
      <c r="Q19" s="1813" t="str">
        <f>B19</f>
        <v>公共配套设施</v>
      </c>
      <c r="R19" s="774" t="s">
        <v>21</v>
      </c>
      <c r="S19" s="775">
        <f>F19</f>
        <v>100</v>
      </c>
      <c r="T19" s="774" t="s">
        <v>21</v>
      </c>
      <c r="U19" s="775">
        <f>H19</f>
        <v>100</v>
      </c>
      <c r="V19" s="774" t="s">
        <v>21</v>
      </c>
      <c r="W19" s="775">
        <f>J19</f>
        <v>100</v>
      </c>
      <c r="X19" s="1816"/>
      <c r="Y19" s="3170"/>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7"/>
      <c r="Q20" s="1813"/>
      <c r="R20" s="774"/>
      <c r="S20" s="775"/>
      <c r="T20" s="774"/>
      <c r="U20" s="775"/>
      <c r="V20" s="774"/>
      <c r="W20" s="775"/>
      <c r="X20" s="1816"/>
      <c r="Y20" s="3170"/>
      <c r="Z20" s="1817"/>
      <c r="AA20" s="1814">
        <v>1</v>
      </c>
      <c r="AB20" s="1814">
        <v>1</v>
      </c>
      <c r="AC20" s="1814">
        <v>1</v>
      </c>
    </row>
    <row r="21" spans="1:29" ht="28.5">
      <c r="A21" s="428"/>
      <c r="B21" s="1387"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7"/>
      <c r="Q22" s="1813"/>
      <c r="R22" s="774"/>
      <c r="S22" s="775"/>
      <c r="T22" s="774"/>
      <c r="U22" s="775"/>
      <c r="V22" s="774"/>
      <c r="W22" s="775"/>
      <c r="X22" s="1816"/>
      <c r="Y22" s="3170"/>
      <c r="Z22" s="1817"/>
      <c r="AA22" s="1814">
        <v>1</v>
      </c>
      <c r="AB22" s="1814">
        <v>1</v>
      </c>
      <c r="AC22" s="1814">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7"/>
      <c r="Q23" s="1813" t="str">
        <f>B23</f>
        <v>自然及人文环境</v>
      </c>
      <c r="R23" s="774" t="s">
        <v>21</v>
      </c>
      <c r="S23" s="775">
        <f>F23</f>
        <v>100</v>
      </c>
      <c r="T23" s="774" t="s">
        <v>21</v>
      </c>
      <c r="U23" s="775">
        <f>H23</f>
        <v>100</v>
      </c>
      <c r="V23" s="774" t="s">
        <v>21</v>
      </c>
      <c r="W23" s="775">
        <f>J23</f>
        <v>100</v>
      </c>
      <c r="X23" s="1816"/>
      <c r="Y23" s="3170"/>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7"/>
      <c r="Q24" s="1813"/>
      <c r="R24" s="774"/>
      <c r="S24" s="775"/>
      <c r="T24" s="774"/>
      <c r="U24" s="775"/>
      <c r="V24" s="774"/>
      <c r="W24" s="775"/>
      <c r="X24" s="1816"/>
      <c r="Y24" s="3170"/>
      <c r="Z24" s="1817"/>
      <c r="AA24" s="1814">
        <v>1</v>
      </c>
      <c r="AB24" s="1814">
        <v>1</v>
      </c>
      <c r="AC24" s="1814">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0"/>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7"/>
      <c r="Q26" s="1813" t="str">
        <f t="shared" si="11"/>
        <v>朝向</v>
      </c>
      <c r="R26" s="774" t="s">
        <v>21</v>
      </c>
      <c r="S26" s="775">
        <f t="shared" si="12"/>
        <v>100</v>
      </c>
      <c r="T26" s="774" t="s">
        <v>21</v>
      </c>
      <c r="U26" s="775">
        <f t="shared" si="13"/>
        <v>100</v>
      </c>
      <c r="V26" s="774" t="s">
        <v>21</v>
      </c>
      <c r="W26" s="775">
        <f t="shared" si="14"/>
        <v>100</v>
      </c>
      <c r="X26" s="1816"/>
      <c r="Y26" s="317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7"/>
      <c r="Q27" s="1798">
        <f t="shared" si="11"/>
        <v>111</v>
      </c>
      <c r="R27" s="770" t="s">
        <v>21</v>
      </c>
      <c r="S27" s="771">
        <f t="shared" si="12"/>
        <v>100</v>
      </c>
      <c r="T27" s="770" t="s">
        <v>21</v>
      </c>
      <c r="U27" s="771">
        <f t="shared" si="13"/>
        <v>100</v>
      </c>
      <c r="V27" s="770" t="s">
        <v>21</v>
      </c>
      <c r="W27" s="771">
        <f t="shared" si="14"/>
        <v>100</v>
      </c>
      <c r="X27" s="772"/>
      <c r="Y27" s="317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7"/>
      <c r="Q28" s="1813">
        <f t="shared" si="11"/>
        <v>111</v>
      </c>
      <c r="R28" s="774" t="s">
        <v>21</v>
      </c>
      <c r="S28" s="775">
        <f t="shared" si="12"/>
        <v>100</v>
      </c>
      <c r="T28" s="774" t="s">
        <v>21</v>
      </c>
      <c r="U28" s="775">
        <f t="shared" si="13"/>
        <v>100</v>
      </c>
      <c r="V28" s="774" t="s">
        <v>21</v>
      </c>
      <c r="W28" s="775">
        <f t="shared" si="14"/>
        <v>100</v>
      </c>
      <c r="X28" s="1816"/>
      <c r="Y28" s="317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7"/>
      <c r="Q29" s="1813">
        <f t="shared" si="11"/>
        <v>111</v>
      </c>
      <c r="R29" s="774" t="s">
        <v>21</v>
      </c>
      <c r="S29" s="775">
        <f t="shared" si="12"/>
        <v>100</v>
      </c>
      <c r="T29" s="774" t="s">
        <v>21</v>
      </c>
      <c r="U29" s="775">
        <f t="shared" si="13"/>
        <v>100</v>
      </c>
      <c r="V29" s="774" t="s">
        <v>21</v>
      </c>
      <c r="W29" s="775">
        <f t="shared" si="14"/>
        <v>100</v>
      </c>
      <c r="X29" s="1816"/>
      <c r="Y29" s="317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7"/>
      <c r="Q30" s="1813">
        <f t="shared" si="11"/>
        <v>111</v>
      </c>
      <c r="R30" s="774" t="s">
        <v>21</v>
      </c>
      <c r="S30" s="775">
        <f t="shared" si="12"/>
        <v>100</v>
      </c>
      <c r="T30" s="774" t="s">
        <v>21</v>
      </c>
      <c r="U30" s="775">
        <f t="shared" si="13"/>
        <v>100</v>
      </c>
      <c r="V30" s="774" t="s">
        <v>21</v>
      </c>
      <c r="W30" s="775">
        <f t="shared" si="14"/>
        <v>100</v>
      </c>
      <c r="X30" s="1816"/>
      <c r="Y30" s="317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7"/>
      <c r="Q31" s="1813">
        <f t="shared" si="11"/>
        <v>111</v>
      </c>
      <c r="R31" s="774" t="s">
        <v>21</v>
      </c>
      <c r="S31" s="775">
        <f t="shared" si="12"/>
        <v>100</v>
      </c>
      <c r="T31" s="774" t="s">
        <v>21</v>
      </c>
      <c r="U31" s="775">
        <f t="shared" si="13"/>
        <v>100</v>
      </c>
      <c r="V31" s="774" t="s">
        <v>21</v>
      </c>
      <c r="W31" s="775">
        <f t="shared" si="14"/>
        <v>100</v>
      </c>
      <c r="X31" s="1816"/>
      <c r="Y31" s="3170"/>
      <c r="Z31" s="1817">
        <f t="shared" si="18"/>
        <v>111</v>
      </c>
      <c r="AA31" s="1814">
        <f t="shared" si="15"/>
        <v>1</v>
      </c>
      <c r="AB31" s="1814">
        <f t="shared" si="16"/>
        <v>1</v>
      </c>
      <c r="AC31" s="1814">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2" t="s">
        <v>2568</v>
      </c>
      <c r="Q32" s="1813" t="str">
        <f t="shared" si="11"/>
        <v>建筑类型</v>
      </c>
      <c r="R32" s="774" t="s">
        <v>21</v>
      </c>
      <c r="S32" s="775">
        <f t="shared" si="12"/>
        <v>100</v>
      </c>
      <c r="T32" s="774" t="s">
        <v>21</v>
      </c>
      <c r="U32" s="775">
        <f t="shared" si="13"/>
        <v>100</v>
      </c>
      <c r="V32" s="774" t="s">
        <v>21</v>
      </c>
      <c r="W32" s="775">
        <f t="shared" si="14"/>
        <v>100</v>
      </c>
      <c r="X32" s="1816"/>
      <c r="Y32" s="3172"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3"/>
      <c r="Q33" s="776" t="str">
        <f t="shared" si="11"/>
        <v>项目建筑规模</v>
      </c>
      <c r="R33" s="777" t="s">
        <v>21</v>
      </c>
      <c r="S33" s="778" t="e">
        <f t="shared" si="12"/>
        <v>#N/A</v>
      </c>
      <c r="T33" s="777" t="s">
        <v>21</v>
      </c>
      <c r="U33" s="778" t="e">
        <f t="shared" si="13"/>
        <v>#N/A</v>
      </c>
      <c r="V33" s="777" t="s">
        <v>21</v>
      </c>
      <c r="W33" s="778" t="e">
        <f t="shared" si="14"/>
        <v>#N/A</v>
      </c>
      <c r="X33" s="779"/>
      <c r="Y33" s="3172"/>
      <c r="Z33" s="780" t="str">
        <f t="shared" si="18"/>
        <v>项目建筑规模</v>
      </c>
      <c r="AA33" s="1814" t="e">
        <f t="shared" si="15"/>
        <v>#N/A</v>
      </c>
      <c r="AB33" s="1814" t="e">
        <f t="shared" si="16"/>
        <v>#N/A</v>
      </c>
      <c r="AC33" s="1814"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3"/>
      <c r="Q34" s="1813" t="str">
        <f t="shared" si="11"/>
        <v>建筑结构</v>
      </c>
      <c r="R34" s="774" t="s">
        <v>21</v>
      </c>
      <c r="S34" s="775">
        <f t="shared" si="12"/>
        <v>100</v>
      </c>
      <c r="T34" s="774" t="s">
        <v>21</v>
      </c>
      <c r="U34" s="775">
        <f t="shared" si="13"/>
        <v>100</v>
      </c>
      <c r="V34" s="774" t="s">
        <v>21</v>
      </c>
      <c r="W34" s="775">
        <f t="shared" si="14"/>
        <v>100</v>
      </c>
      <c r="X34" s="1816"/>
      <c r="Y34" s="3172"/>
      <c r="Z34" s="1817" t="str">
        <f t="shared" si="18"/>
        <v>建筑结构</v>
      </c>
      <c r="AA34" s="1814">
        <f t="shared" si="15"/>
        <v>1</v>
      </c>
      <c r="AB34" s="1814">
        <f t="shared" si="16"/>
        <v>1</v>
      </c>
      <c r="AC34" s="1814">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3"/>
      <c r="Q35" s="1813" t="str">
        <f t="shared" si="11"/>
        <v>建筑品质</v>
      </c>
      <c r="R35" s="774" t="s">
        <v>21</v>
      </c>
      <c r="S35" s="775">
        <f t="shared" si="12"/>
        <v>100</v>
      </c>
      <c r="T35" s="774" t="s">
        <v>21</v>
      </c>
      <c r="U35" s="775">
        <f t="shared" si="13"/>
        <v>100</v>
      </c>
      <c r="V35" s="774" t="s">
        <v>21</v>
      </c>
      <c r="W35" s="775">
        <f t="shared" si="14"/>
        <v>100</v>
      </c>
      <c r="X35" s="1816"/>
      <c r="Y35" s="3172"/>
      <c r="Z35" s="1817" t="str">
        <f t="shared" si="18"/>
        <v>建筑品质</v>
      </c>
      <c r="AA35" s="1814">
        <f t="shared" si="15"/>
        <v>1</v>
      </c>
      <c r="AB35" s="1814">
        <f t="shared" si="16"/>
        <v>1</v>
      </c>
      <c r="AC35" s="1814">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3"/>
      <c r="Q36" s="1813" t="str">
        <f t="shared" si="11"/>
        <v>公共部分装修</v>
      </c>
      <c r="R36" s="774" t="s">
        <v>21</v>
      </c>
      <c r="S36" s="775">
        <f t="shared" si="12"/>
        <v>100</v>
      </c>
      <c r="T36" s="774" t="s">
        <v>21</v>
      </c>
      <c r="U36" s="775">
        <f t="shared" si="13"/>
        <v>100</v>
      </c>
      <c r="V36" s="774" t="s">
        <v>21</v>
      </c>
      <c r="W36" s="775">
        <f t="shared" si="14"/>
        <v>100</v>
      </c>
      <c r="X36" s="1816"/>
      <c r="Y36" s="3172"/>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3"/>
      <c r="Q37" s="1798" t="str">
        <f t="shared" si="11"/>
        <v>成新度</v>
      </c>
      <c r="R37" s="770" t="s">
        <v>21</v>
      </c>
      <c r="S37" s="771" t="e">
        <f t="shared" si="12"/>
        <v>#N/A</v>
      </c>
      <c r="T37" s="770" t="s">
        <v>21</v>
      </c>
      <c r="U37" s="771" t="e">
        <f t="shared" si="13"/>
        <v>#N/A</v>
      </c>
      <c r="V37" s="770" t="s">
        <v>21</v>
      </c>
      <c r="W37" s="771" t="e">
        <f t="shared" si="14"/>
        <v>#N/A</v>
      </c>
      <c r="X37" s="772"/>
      <c r="Y37" s="3172"/>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3" t="s">
        <v>2568</v>
      </c>
      <c r="Q38" s="1813" t="str">
        <f t="shared" si="11"/>
        <v>物业管理</v>
      </c>
      <c r="R38" s="774" t="s">
        <v>21</v>
      </c>
      <c r="S38" s="775">
        <f t="shared" si="12"/>
        <v>100</v>
      </c>
      <c r="T38" s="774" t="s">
        <v>21</v>
      </c>
      <c r="U38" s="775">
        <f t="shared" si="13"/>
        <v>100</v>
      </c>
      <c r="V38" s="774" t="s">
        <v>21</v>
      </c>
      <c r="W38" s="775">
        <f t="shared" si="14"/>
        <v>100</v>
      </c>
      <c r="X38" s="1816"/>
      <c r="Y38" s="3172" t="s">
        <v>2568</v>
      </c>
      <c r="Z38" s="1817" t="str">
        <f t="shared" si="18"/>
        <v>物业管理</v>
      </c>
      <c r="AA38" s="1814">
        <f t="shared" si="15"/>
        <v>1</v>
      </c>
      <c r="AB38" s="1814">
        <f t="shared" si="16"/>
        <v>1</v>
      </c>
      <c r="AC38" s="1814">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3"/>
      <c r="Q39" s="1813" t="str">
        <f t="shared" si="11"/>
        <v>市政基础设施</v>
      </c>
      <c r="R39" s="774" t="s">
        <v>21</v>
      </c>
      <c r="S39" s="775">
        <f t="shared" si="12"/>
        <v>100</v>
      </c>
      <c r="T39" s="774" t="s">
        <v>21</v>
      </c>
      <c r="U39" s="775">
        <f t="shared" si="13"/>
        <v>100</v>
      </c>
      <c r="V39" s="774" t="s">
        <v>21</v>
      </c>
      <c r="W39" s="775">
        <f t="shared" si="14"/>
        <v>100</v>
      </c>
      <c r="X39" s="1816"/>
      <c r="Y39" s="3172"/>
      <c r="Z39" s="1817" t="str">
        <f t="shared" si="18"/>
        <v>市政基础设施</v>
      </c>
      <c r="AA39" s="1814">
        <f t="shared" si="15"/>
        <v>1</v>
      </c>
      <c r="AB39" s="1814">
        <f t="shared" si="16"/>
        <v>1</v>
      </c>
      <c r="AC39" s="1814">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3"/>
      <c r="Q40" s="1813" t="str">
        <f t="shared" si="11"/>
        <v>房型</v>
      </c>
      <c r="R40" s="774" t="s">
        <v>21</v>
      </c>
      <c r="S40" s="775">
        <f t="shared" si="12"/>
        <v>100</v>
      </c>
      <c r="T40" s="774" t="s">
        <v>21</v>
      </c>
      <c r="U40" s="775">
        <f t="shared" si="13"/>
        <v>100</v>
      </c>
      <c r="V40" s="774" t="s">
        <v>21</v>
      </c>
      <c r="W40" s="775">
        <f t="shared" si="14"/>
        <v>100</v>
      </c>
      <c r="X40" s="1816"/>
      <c r="Y40" s="3172"/>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4">
        <f t="shared" si="15"/>
        <v>1</v>
      </c>
      <c r="AB41" s="1814">
        <f t="shared" si="16"/>
        <v>1</v>
      </c>
      <c r="AC41" s="1814">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3"/>
      <c r="Q42" s="1813" t="str">
        <f t="shared" si="11"/>
        <v>内部装修</v>
      </c>
      <c r="R42" s="774" t="s">
        <v>21</v>
      </c>
      <c r="S42" s="775">
        <f t="shared" si="12"/>
        <v>100</v>
      </c>
      <c r="T42" s="774" t="s">
        <v>21</v>
      </c>
      <c r="U42" s="775">
        <f t="shared" si="13"/>
        <v>100</v>
      </c>
      <c r="V42" s="774" t="s">
        <v>21</v>
      </c>
      <c r="W42" s="775">
        <f t="shared" si="14"/>
        <v>100</v>
      </c>
      <c r="X42" s="1816"/>
      <c r="Y42" s="3172"/>
      <c r="Z42" s="1817" t="str">
        <f t="shared" si="18"/>
        <v>内部装修</v>
      </c>
      <c r="AA42" s="1814">
        <f t="shared" si="15"/>
        <v>1</v>
      </c>
      <c r="AB42" s="1814">
        <f t="shared" si="16"/>
        <v>1</v>
      </c>
      <c r="AC42" s="1814">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3"/>
      <c r="Q43" s="1813" t="str">
        <f t="shared" si="11"/>
        <v>内部装修维护情况</v>
      </c>
      <c r="R43" s="774" t="s">
        <v>21</v>
      </c>
      <c r="S43" s="775">
        <f t="shared" si="12"/>
        <v>100</v>
      </c>
      <c r="T43" s="774" t="s">
        <v>21</v>
      </c>
      <c r="U43" s="775">
        <f t="shared" si="13"/>
        <v>100</v>
      </c>
      <c r="V43" s="774" t="s">
        <v>21</v>
      </c>
      <c r="W43" s="775">
        <f t="shared" si="14"/>
        <v>100</v>
      </c>
      <c r="X43" s="1816"/>
      <c r="Y43" s="31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3"/>
      <c r="Q44" s="1798">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3"/>
      <c r="Q45" s="1813">
        <f t="shared" si="11"/>
        <v>111</v>
      </c>
      <c r="R45" s="774" t="s">
        <v>21</v>
      </c>
      <c r="S45" s="775">
        <f t="shared" si="12"/>
        <v>100</v>
      </c>
      <c r="T45" s="774" t="s">
        <v>21</v>
      </c>
      <c r="U45" s="775">
        <f t="shared" si="13"/>
        <v>100</v>
      </c>
      <c r="V45" s="774" t="s">
        <v>21</v>
      </c>
      <c r="W45" s="775">
        <f t="shared" si="14"/>
        <v>100</v>
      </c>
      <c r="X45" s="1816"/>
      <c r="Y45" s="317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4"/>
      <c r="Q46" s="1813">
        <f t="shared" si="11"/>
        <v>111</v>
      </c>
      <c r="R46" s="774" t="s">
        <v>20</v>
      </c>
      <c r="S46" s="775">
        <f t="shared" si="12"/>
        <v>100</v>
      </c>
      <c r="T46" s="774" t="s">
        <v>20</v>
      </c>
      <c r="U46" s="775">
        <f t="shared" si="13"/>
        <v>100</v>
      </c>
      <c r="V46" s="774" t="s">
        <v>20</v>
      </c>
      <c r="W46" s="775">
        <f t="shared" si="14"/>
        <v>100</v>
      </c>
      <c r="X46" s="1816"/>
      <c r="Y46" s="3235"/>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4"/>
      <c r="L47" s="1146"/>
      <c r="M47" s="1147"/>
      <c r="N47" s="1134"/>
      <c r="O47" s="1147"/>
      <c r="P47" s="3167" t="str">
        <f>A47</f>
        <v>成交单价（元/平方米）</v>
      </c>
      <c r="Q47" s="3167"/>
      <c r="R47" s="3231">
        <f>E47</f>
        <v>0</v>
      </c>
      <c r="S47" s="3231"/>
      <c r="T47" s="3231">
        <f>G47</f>
        <v>0</v>
      </c>
      <c r="U47" s="3231"/>
      <c r="V47" s="3231">
        <f>I47</f>
        <v>0</v>
      </c>
      <c r="W47" s="3231"/>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5"/>
      <c r="L48" s="1146"/>
      <c r="M48" s="1147"/>
      <c r="N48" s="1147"/>
      <c r="O48" s="1147"/>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6"/>
      <c r="L49" s="1146"/>
      <c r="M49" s="1147"/>
      <c r="N49" s="1147"/>
      <c r="O49" s="1147"/>
      <c r="P49" s="3161" t="str">
        <f>A49</f>
        <v>估价对象XX用房的比较价值（楼面单价，元/平方米）</v>
      </c>
      <c r="Q49" s="3162"/>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29"/>
      <c r="Q57" s="504"/>
    </row>
    <row r="58" spans="1:29" s="508" customFormat="1" ht="15">
      <c r="A58" s="505" t="s">
        <v>2587</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2566</v>
      </c>
      <c r="B100" s="528" t="s">
        <v>2615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2620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7">
        <v>6</v>
      </c>
      <c r="C139" s="1088">
        <v>96</v>
      </c>
      <c r="D139" s="2651" t="s">
        <v>2634</v>
      </c>
      <c r="E139" s="1089">
        <v>100</v>
      </c>
      <c r="F139" s="1090">
        <v>102.5</v>
      </c>
      <c r="G139" s="2651" t="s">
        <v>2634</v>
      </c>
      <c r="H139" s="1091">
        <v>105</v>
      </c>
      <c r="I139" s="2652" t="s">
        <v>2635</v>
      </c>
      <c r="J139" s="1088">
        <v>20</v>
      </c>
      <c r="K139" s="1092">
        <f>C145/(J139-2)</f>
        <v>4.0555555555555553E-3</v>
      </c>
    </row>
    <row r="140" spans="1:17" ht="15">
      <c r="B140" s="1093">
        <v>5</v>
      </c>
      <c r="C140" s="1094">
        <v>100</v>
      </c>
      <c r="D140" s="1094"/>
      <c r="E140" s="1095"/>
      <c r="F140" s="1096">
        <v>102</v>
      </c>
      <c r="G140" s="1094"/>
      <c r="H140" s="1097"/>
      <c r="I140" s="2653" t="s">
        <v>2636</v>
      </c>
      <c r="J140" s="315">
        <f>ROUNDUP((J139-1)/2,0)</f>
        <v>10</v>
      </c>
      <c r="K140" s="1098">
        <v>100</v>
      </c>
    </row>
    <row r="141" spans="1:17" ht="15">
      <c r="B141" s="1093">
        <v>4</v>
      </c>
      <c r="C141" s="1094">
        <v>102</v>
      </c>
      <c r="D141" s="1094"/>
      <c r="E141" s="1095"/>
      <c r="F141" s="1096">
        <v>101.5</v>
      </c>
      <c r="G141" s="1094"/>
      <c r="H141" s="1097"/>
      <c r="I141" s="2653" t="s">
        <v>2637</v>
      </c>
      <c r="J141" s="315">
        <v>1</v>
      </c>
      <c r="K141" s="1099">
        <f>ROUND(100+(J141-J140)*K139*100,1)</f>
        <v>96.4</v>
      </c>
    </row>
    <row r="142" spans="1:17" ht="15">
      <c r="B142" s="1093">
        <v>3</v>
      </c>
      <c r="C142" s="1094">
        <v>103</v>
      </c>
      <c r="D142" s="1094"/>
      <c r="E142" s="1095"/>
      <c r="F142" s="1096">
        <v>101</v>
      </c>
      <c r="G142" s="1094"/>
      <c r="H142" s="1097"/>
      <c r="I142" s="2653" t="s">
        <v>2638</v>
      </c>
      <c r="J142" s="315">
        <f>J139</f>
        <v>20</v>
      </c>
      <c r="K142" s="1100">
        <v>95</v>
      </c>
    </row>
    <row r="143" spans="1:17" ht="15">
      <c r="B143" s="1093">
        <v>2</v>
      </c>
      <c r="C143" s="1094">
        <v>100</v>
      </c>
      <c r="D143" s="1094"/>
      <c r="E143" s="1095"/>
      <c r="F143" s="1096">
        <v>100.5</v>
      </c>
      <c r="G143" s="1094"/>
      <c r="H143" s="1097"/>
      <c r="I143" s="2653" t="s">
        <v>2639</v>
      </c>
      <c r="J143" s="1094">
        <v>15</v>
      </c>
      <c r="K143" s="1099">
        <f>ROUND(100+(J143-J140)*K139*100,1)</f>
        <v>102</v>
      </c>
    </row>
    <row r="144" spans="1:17" ht="15">
      <c r="B144" s="1093">
        <v>1</v>
      </c>
      <c r="C144" s="1094">
        <v>98</v>
      </c>
      <c r="D144" s="2654" t="s">
        <v>2640</v>
      </c>
      <c r="E144" s="1095">
        <v>102</v>
      </c>
      <c r="F144" s="1101">
        <v>100</v>
      </c>
      <c r="G144" s="2654" t="s">
        <v>2640</v>
      </c>
      <c r="H144" s="1097">
        <v>105</v>
      </c>
      <c r="I144" s="2653" t="s">
        <v>2639</v>
      </c>
      <c r="J144" s="1094">
        <v>18</v>
      </c>
      <c r="K144" s="1099">
        <f>ROUND(100+(J144-J140)*K139*100,1)</f>
        <v>103.2</v>
      </c>
    </row>
    <row r="145" spans="2:11" ht="15.75" thickBot="1">
      <c r="B145" s="2655" t="s">
        <v>2641</v>
      </c>
      <c r="C145" s="1102">
        <f>ROUND(MAX(C139:C144)/MIN(C139:C144)-1,3)</f>
        <v>7.2999999999999995E-2</v>
      </c>
      <c r="D145" s="1103"/>
      <c r="E145" s="1103"/>
      <c r="F145" s="2656" t="s">
        <v>2642</v>
      </c>
      <c r="G145" s="2657"/>
      <c r="H145" s="2658"/>
      <c r="I145" s="2659" t="s">
        <v>2639</v>
      </c>
      <c r="J145" s="1104">
        <v>8</v>
      </c>
      <c r="K145" s="1105">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2645</v>
      </c>
      <c r="C1" s="1637" t="s">
        <v>2533</v>
      </c>
      <c r="D1" s="1624"/>
      <c r="E1" s="2660"/>
      <c r="F1" s="2587"/>
      <c r="G1" s="1634" t="s">
        <v>2646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2333</v>
      </c>
      <c r="B2" s="1421" t="e">
        <f ca="1">IF(C2="——",ROUND(C49*D3/10000,0),ROUND(C49*D3/10000,0)-D2)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2335</v>
      </c>
      <c r="B3" s="609" t="e">
        <f ca="1">IF(C2="——",C49,ROUND(B2*10000/D3,0))</f>
        <v>#DIV/0!</v>
      </c>
      <c r="C3" s="400" t="s">
        <v>2647</v>
      </c>
      <c r="D3" s="399">
        <f>IF(D1="",'数据-汇总表'!E3,SUMIF('数据-汇总表'!$C19:$C33,D1,'数据-汇总表'!$E19:$E33))</f>
        <v>117760.1</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2648</v>
      </c>
      <c r="B4" s="402"/>
      <c r="C4" s="3164" t="s">
        <v>2649</v>
      </c>
      <c r="D4" s="3177"/>
      <c r="E4" s="3178" t="s">
        <v>2650</v>
      </c>
      <c r="F4" s="3179"/>
      <c r="G4" s="3164" t="s">
        <v>2651</v>
      </c>
      <c r="H4" s="3177"/>
      <c r="I4" s="3164" t="s">
        <v>2652</v>
      </c>
      <c r="J4" s="3177"/>
      <c r="K4" s="610" t="s">
        <v>2653</v>
      </c>
      <c r="L4" s="1133"/>
      <c r="M4" s="1134"/>
      <c r="N4" s="1134"/>
      <c r="O4" s="1134"/>
      <c r="P4" s="3180" t="s">
        <v>2654</v>
      </c>
      <c r="Q4" s="3181"/>
      <c r="R4" s="3186" t="s">
        <v>2650</v>
      </c>
      <c r="S4" s="3187"/>
      <c r="T4" s="3186" t="s">
        <v>2651</v>
      </c>
      <c r="U4" s="3187"/>
      <c r="V4" s="3173" t="s">
        <v>2652</v>
      </c>
      <c r="W4" s="3173"/>
      <c r="X4" s="1816"/>
      <c r="Y4" s="3186" t="s">
        <v>2654</v>
      </c>
      <c r="Z4" s="3187"/>
      <c r="AA4" s="3174" t="s">
        <v>2650</v>
      </c>
      <c r="AB4" s="3173" t="s">
        <v>2651</v>
      </c>
      <c r="AC4" s="3174" t="s">
        <v>2652</v>
      </c>
    </row>
    <row r="5" spans="1:29" ht="15">
      <c r="A5" s="404"/>
      <c r="B5" s="405"/>
      <c r="C5" s="3194" t="s">
        <v>2545</v>
      </c>
      <c r="D5" s="3195"/>
      <c r="E5" s="3201" t="s">
        <v>2546</v>
      </c>
      <c r="F5" s="3202"/>
      <c r="G5" s="3194" t="s">
        <v>2547</v>
      </c>
      <c r="H5" s="3195"/>
      <c r="I5" s="3194" t="s">
        <v>2548</v>
      </c>
      <c r="J5" s="3195"/>
      <c r="K5" s="610"/>
      <c r="L5" s="1133"/>
      <c r="M5" s="1134"/>
      <c r="N5" s="1134"/>
      <c r="O5" s="1134"/>
      <c r="P5" s="3182"/>
      <c r="Q5" s="3183"/>
      <c r="R5" s="3188"/>
      <c r="S5" s="3189"/>
      <c r="T5" s="3188"/>
      <c r="U5" s="3189"/>
      <c r="V5" s="3173"/>
      <c r="W5" s="3173"/>
      <c r="X5" s="1816"/>
      <c r="Y5" s="3188"/>
      <c r="Z5" s="3189"/>
      <c r="AA5" s="3175"/>
      <c r="AB5" s="3173"/>
      <c r="AC5" s="3175"/>
    </row>
    <row r="6" spans="1:29" ht="15.75" thickBot="1">
      <c r="A6" s="406"/>
      <c r="B6" s="407"/>
      <c r="C6" s="3192" t="s">
        <v>2549</v>
      </c>
      <c r="D6" s="3193"/>
      <c r="E6" s="3199" t="s">
        <v>2549</v>
      </c>
      <c r="F6" s="3200"/>
      <c r="G6" s="3192" t="s">
        <v>2549</v>
      </c>
      <c r="H6" s="3193"/>
      <c r="I6" s="3192" t="s">
        <v>2549</v>
      </c>
      <c r="J6" s="3193"/>
      <c r="K6" s="610" t="s">
        <v>2550</v>
      </c>
      <c r="L6" s="1133"/>
      <c r="M6" s="1134"/>
      <c r="N6" s="1134"/>
      <c r="O6" s="1134"/>
      <c r="P6" s="3184"/>
      <c r="Q6" s="3185"/>
      <c r="R6" s="3188"/>
      <c r="S6" s="3189"/>
      <c r="T6" s="3190"/>
      <c r="U6" s="3191"/>
      <c r="V6" s="3173"/>
      <c r="W6" s="3173"/>
      <c r="X6" s="1816"/>
      <c r="Y6" s="3190"/>
      <c r="Z6" s="3191"/>
      <c r="AA6" s="3176"/>
      <c r="AB6" s="3173"/>
      <c r="AC6" s="3176"/>
    </row>
    <row r="7" spans="1:29" s="117" customFormat="1" ht="15.75" thickBot="1">
      <c r="A7" s="408" t="s">
        <v>2551</v>
      </c>
      <c r="B7" s="409"/>
      <c r="C7" s="410">
        <f>'数据-取费表'!B2</f>
        <v>43462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6"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6" t="s">
        <v>2555</v>
      </c>
      <c r="Q8" s="3197"/>
      <c r="R8" s="770" t="s">
        <v>17</v>
      </c>
      <c r="S8" s="771">
        <f t="shared" si="0"/>
        <v>0</v>
      </c>
      <c r="T8" s="770" t="s">
        <v>17</v>
      </c>
      <c r="U8" s="771">
        <f t="shared" si="1"/>
        <v>0</v>
      </c>
      <c r="V8" s="770" t="s">
        <v>17</v>
      </c>
      <c r="W8" s="771">
        <f t="shared" si="2"/>
        <v>0</v>
      </c>
      <c r="X8" s="772"/>
      <c r="Y8" s="3196" t="s">
        <v>2555</v>
      </c>
      <c r="Z8" s="3197"/>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6" t="s">
        <v>2558</v>
      </c>
      <c r="Q9" s="1798"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6"/>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6"/>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6" t="s">
        <v>2563</v>
      </c>
      <c r="Q15" s="1813" t="str">
        <f t="shared" si="6"/>
        <v>商业繁华度</v>
      </c>
      <c r="R15" s="774" t="s">
        <v>17</v>
      </c>
      <c r="S15" s="775">
        <f t="shared" si="0"/>
        <v>100</v>
      </c>
      <c r="T15" s="774" t="s">
        <v>17</v>
      </c>
      <c r="U15" s="775">
        <f t="shared" si="1"/>
        <v>100</v>
      </c>
      <c r="V15" s="774" t="s">
        <v>17</v>
      </c>
      <c r="W15" s="775">
        <f t="shared" si="2"/>
        <v>100</v>
      </c>
      <c r="X15" s="1816"/>
      <c r="Y15" s="3169"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7"/>
      <c r="Q16" s="1813"/>
      <c r="R16" s="774"/>
      <c r="S16" s="775"/>
      <c r="T16" s="774"/>
      <c r="U16" s="775"/>
      <c r="V16" s="774"/>
      <c r="W16" s="775"/>
      <c r="X16" s="1816"/>
      <c r="Y16" s="3170"/>
      <c r="Z16" s="1817"/>
      <c r="AA16" s="1814">
        <v>1</v>
      </c>
      <c r="AB16" s="1814">
        <v>1</v>
      </c>
      <c r="AC16" s="1814">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7"/>
      <c r="Q18" s="1813"/>
      <c r="R18" s="774"/>
      <c r="S18" s="775"/>
      <c r="T18" s="774"/>
      <c r="U18" s="775"/>
      <c r="V18" s="774"/>
      <c r="W18" s="775"/>
      <c r="X18" s="1816"/>
      <c r="Y18" s="3170"/>
      <c r="Z18" s="1817"/>
      <c r="AA18" s="1814">
        <v>1</v>
      </c>
      <c r="AB18" s="1814">
        <v>1</v>
      </c>
      <c r="AC18" s="1814">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17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7"/>
      <c r="Q20" s="1813"/>
      <c r="R20" s="774"/>
      <c r="S20" s="775"/>
      <c r="T20" s="774"/>
      <c r="U20" s="775"/>
      <c r="V20" s="774"/>
      <c r="W20" s="775"/>
      <c r="X20" s="1816"/>
      <c r="Y20" s="3170"/>
      <c r="Z20" s="1817"/>
      <c r="AA20" s="1814">
        <v>1</v>
      </c>
      <c r="AB20" s="1814">
        <v>1</v>
      </c>
      <c r="AC20" s="1814">
        <v>1</v>
      </c>
    </row>
    <row r="21" spans="1:29" ht="28.5">
      <c r="A21" s="428"/>
      <c r="B21" s="1387"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7"/>
      <c r="Q22" s="1813"/>
      <c r="R22" s="774"/>
      <c r="S22" s="775"/>
      <c r="T22" s="774"/>
      <c r="U22" s="775"/>
      <c r="V22" s="774"/>
      <c r="W22" s="775"/>
      <c r="X22" s="1816"/>
      <c r="Y22" s="3170"/>
      <c r="Z22" s="1817"/>
      <c r="AA22" s="1814">
        <v>1</v>
      </c>
      <c r="AB22" s="1814">
        <v>1</v>
      </c>
      <c r="AC22" s="1814">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7"/>
      <c r="Q23" s="1813" t="str">
        <f>B23</f>
        <v>自然及人文环境</v>
      </c>
      <c r="R23" s="774" t="s">
        <v>17</v>
      </c>
      <c r="S23" s="775">
        <f>F23</f>
        <v>100</v>
      </c>
      <c r="T23" s="774" t="s">
        <v>17</v>
      </c>
      <c r="U23" s="775">
        <f>H23</f>
        <v>100</v>
      </c>
      <c r="V23" s="774" t="s">
        <v>17</v>
      </c>
      <c r="W23" s="775">
        <f>J23</f>
        <v>100</v>
      </c>
      <c r="X23" s="1816"/>
      <c r="Y23" s="3170"/>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7"/>
      <c r="Q24" s="1813"/>
      <c r="R24" s="774"/>
      <c r="S24" s="775"/>
      <c r="T24" s="774"/>
      <c r="U24" s="775"/>
      <c r="V24" s="774"/>
      <c r="W24" s="775"/>
      <c r="X24" s="1816"/>
      <c r="Y24" s="3170"/>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7"/>
      <c r="Q25" s="1813" t="str">
        <f t="shared" ref="Q25:Q46" si="11">B25</f>
        <v>临街状况</v>
      </c>
      <c r="R25" s="774" t="s">
        <v>17</v>
      </c>
      <c r="S25" s="775">
        <f>F25</f>
        <v>100</v>
      </c>
      <c r="T25" s="774" t="s">
        <v>17</v>
      </c>
      <c r="U25" s="775">
        <f>H25</f>
        <v>100</v>
      </c>
      <c r="V25" s="774" t="s">
        <v>17</v>
      </c>
      <c r="W25" s="775">
        <f>J25</f>
        <v>100</v>
      </c>
      <c r="X25" s="1816"/>
      <c r="Y25" s="3170"/>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7"/>
      <c r="Q26" s="1813" t="str">
        <f t="shared" si="11"/>
        <v>平面位置/可视性</v>
      </c>
      <c r="R26" s="774" t="s">
        <v>17</v>
      </c>
      <c r="S26" s="775">
        <f>F26</f>
        <v>100</v>
      </c>
      <c r="T26" s="774" t="s">
        <v>17</v>
      </c>
      <c r="U26" s="775">
        <f>H26</f>
        <v>100</v>
      </c>
      <c r="V26" s="774" t="s">
        <v>17</v>
      </c>
      <c r="W26" s="775">
        <f>J26</f>
        <v>100</v>
      </c>
      <c r="X26" s="1816"/>
      <c r="Y26" s="3170"/>
      <c r="Z26" s="1817" t="str">
        <f>Q26</f>
        <v>平面位置/可视性</v>
      </c>
      <c r="AA26" s="1814">
        <f t="shared" si="3"/>
        <v>1</v>
      </c>
      <c r="AB26" s="1814">
        <f t="shared" si="4"/>
        <v>1</v>
      </c>
      <c r="AC26" s="1814">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7"/>
      <c r="Q27" s="1798" t="str">
        <f t="shared" si="11"/>
        <v>人流量</v>
      </c>
      <c r="R27" s="770" t="s">
        <v>17</v>
      </c>
      <c r="S27" s="771">
        <f>F27</f>
        <v>100</v>
      </c>
      <c r="T27" s="770" t="s">
        <v>17</v>
      </c>
      <c r="U27" s="771">
        <f>H27</f>
        <v>100</v>
      </c>
      <c r="V27" s="770" t="s">
        <v>17</v>
      </c>
      <c r="W27" s="771">
        <f>J27</f>
        <v>100</v>
      </c>
      <c r="X27" s="772"/>
      <c r="Y27" s="3170"/>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3">
        <f t="shared" si="11"/>
        <v>111</v>
      </c>
      <c r="R29" s="774" t="s">
        <v>17</v>
      </c>
      <c r="S29" s="775">
        <f t="shared" si="12"/>
        <v>100</v>
      </c>
      <c r="T29" s="774" t="s">
        <v>17</v>
      </c>
      <c r="U29" s="775">
        <f t="shared" si="13"/>
        <v>100</v>
      </c>
      <c r="V29" s="774" t="s">
        <v>17</v>
      </c>
      <c r="W29" s="775">
        <f t="shared" si="14"/>
        <v>100</v>
      </c>
      <c r="X29" s="1816"/>
      <c r="Y29" s="317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17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170"/>
      <c r="Z31" s="1817">
        <f t="shared" si="15"/>
        <v>111</v>
      </c>
      <c r="AA31" s="1814">
        <f t="shared" si="3"/>
        <v>1</v>
      </c>
      <c r="AB31" s="1814">
        <f t="shared" si="4"/>
        <v>1</v>
      </c>
      <c r="AC31" s="1814">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2" t="s">
        <v>2568</v>
      </c>
      <c r="Q32" s="1813" t="str">
        <f t="shared" si="11"/>
        <v>商业类型</v>
      </c>
      <c r="R32" s="774" t="s">
        <v>17</v>
      </c>
      <c r="S32" s="775">
        <f t="shared" si="12"/>
        <v>100</v>
      </c>
      <c r="T32" s="774" t="s">
        <v>17</v>
      </c>
      <c r="U32" s="775">
        <f t="shared" si="13"/>
        <v>100</v>
      </c>
      <c r="V32" s="774" t="s">
        <v>17</v>
      </c>
      <c r="W32" s="775">
        <f t="shared" si="14"/>
        <v>100</v>
      </c>
      <c r="X32" s="1816"/>
      <c r="Y32" s="3172"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4" t="e">
        <f t="shared" si="3"/>
        <v>#N/A</v>
      </c>
      <c r="AB33" s="1814" t="e">
        <f t="shared" si="4"/>
        <v>#N/A</v>
      </c>
      <c r="AC33" s="1814"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3"/>
      <c r="Q34" s="1813" t="str">
        <f t="shared" si="11"/>
        <v>建筑结构</v>
      </c>
      <c r="R34" s="774" t="s">
        <v>17</v>
      </c>
      <c r="S34" s="775">
        <f t="shared" si="12"/>
        <v>100</v>
      </c>
      <c r="T34" s="774" t="s">
        <v>17</v>
      </c>
      <c r="U34" s="775">
        <f t="shared" si="13"/>
        <v>100</v>
      </c>
      <c r="V34" s="774" t="s">
        <v>17</v>
      </c>
      <c r="W34" s="775">
        <f t="shared" si="14"/>
        <v>100</v>
      </c>
      <c r="X34" s="1816"/>
      <c r="Y34" s="3172"/>
      <c r="Z34" s="1817" t="str">
        <f t="shared" si="15"/>
        <v>建筑结构</v>
      </c>
      <c r="AA34" s="1814">
        <f t="shared" si="3"/>
        <v>1</v>
      </c>
      <c r="AB34" s="1814">
        <f t="shared" si="4"/>
        <v>1</v>
      </c>
      <c r="AC34" s="1814">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3"/>
      <c r="Q35" s="1813" t="str">
        <f t="shared" si="11"/>
        <v>公共部分装修</v>
      </c>
      <c r="R35" s="774" t="s">
        <v>17</v>
      </c>
      <c r="S35" s="775">
        <f t="shared" si="12"/>
        <v>100</v>
      </c>
      <c r="T35" s="774" t="s">
        <v>17</v>
      </c>
      <c r="U35" s="775">
        <f t="shared" si="13"/>
        <v>100</v>
      </c>
      <c r="V35" s="774" t="s">
        <v>17</v>
      </c>
      <c r="W35" s="775">
        <f t="shared" si="14"/>
        <v>100</v>
      </c>
      <c r="X35" s="1816"/>
      <c r="Y35" s="3172"/>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3" t="str">
        <f t="shared" si="11"/>
        <v>成新度</v>
      </c>
      <c r="R36" s="774" t="s">
        <v>17</v>
      </c>
      <c r="S36" s="775" t="e">
        <f t="shared" si="12"/>
        <v>#N/A</v>
      </c>
      <c r="T36" s="774" t="s">
        <v>17</v>
      </c>
      <c r="U36" s="775" t="e">
        <f t="shared" si="13"/>
        <v>#N/A</v>
      </c>
      <c r="V36" s="774" t="s">
        <v>17</v>
      </c>
      <c r="W36" s="775" t="e">
        <f t="shared" si="14"/>
        <v>#N/A</v>
      </c>
      <c r="X36" s="1816"/>
      <c r="Y36" s="3172"/>
      <c r="Z36" s="1817" t="str">
        <f t="shared" si="15"/>
        <v>成新度</v>
      </c>
      <c r="AA36" s="1814" t="e">
        <f t="shared" si="3"/>
        <v>#N/A</v>
      </c>
      <c r="AB36" s="1814" t="e">
        <f t="shared" si="4"/>
        <v>#N/A</v>
      </c>
      <c r="AC36" s="1814"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3"/>
      <c r="Q37" s="1798"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3" t="s">
        <v>2568</v>
      </c>
      <c r="Q38" s="1813" t="str">
        <f t="shared" si="11"/>
        <v>业态</v>
      </c>
      <c r="R38" s="774" t="s">
        <v>17</v>
      </c>
      <c r="S38" s="775">
        <f t="shared" si="12"/>
        <v>100</v>
      </c>
      <c r="T38" s="774" t="s">
        <v>17</v>
      </c>
      <c r="U38" s="775">
        <f t="shared" si="13"/>
        <v>100</v>
      </c>
      <c r="V38" s="774" t="s">
        <v>17</v>
      </c>
      <c r="W38" s="775">
        <f t="shared" si="14"/>
        <v>100</v>
      </c>
      <c r="X38" s="1816"/>
      <c r="Y38" s="3172" t="s">
        <v>2568</v>
      </c>
      <c r="Z38" s="1817" t="str">
        <f t="shared" si="15"/>
        <v>业态</v>
      </c>
      <c r="AA38" s="1814">
        <f t="shared" si="3"/>
        <v>1</v>
      </c>
      <c r="AB38" s="1814">
        <f t="shared" si="4"/>
        <v>1</v>
      </c>
      <c r="AC38" s="1814">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3"/>
      <c r="Q39" s="1813" t="str">
        <f t="shared" si="11"/>
        <v>层高</v>
      </c>
      <c r="R39" s="774" t="s">
        <v>17</v>
      </c>
      <c r="S39" s="775">
        <f t="shared" si="12"/>
        <v>100</v>
      </c>
      <c r="T39" s="774" t="s">
        <v>17</v>
      </c>
      <c r="U39" s="775">
        <f t="shared" si="13"/>
        <v>100</v>
      </c>
      <c r="V39" s="774" t="s">
        <v>17</v>
      </c>
      <c r="W39" s="775">
        <f t="shared" si="14"/>
        <v>100</v>
      </c>
      <c r="X39" s="1816"/>
      <c r="Y39" s="3172"/>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3" t="str">
        <f t="shared" si="11"/>
        <v>单套建筑面积</v>
      </c>
      <c r="R40" s="774" t="s">
        <v>17</v>
      </c>
      <c r="S40" s="775">
        <f t="shared" si="12"/>
        <v>100</v>
      </c>
      <c r="T40" s="774" t="s">
        <v>17</v>
      </c>
      <c r="U40" s="775">
        <f t="shared" si="13"/>
        <v>100</v>
      </c>
      <c r="V40" s="774" t="s">
        <v>17</v>
      </c>
      <c r="W40" s="775">
        <f t="shared" si="14"/>
        <v>100</v>
      </c>
      <c r="X40" s="1816"/>
      <c r="Y40" s="3172"/>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4">
        <f t="shared" si="3"/>
        <v>1</v>
      </c>
      <c r="AB41" s="1814">
        <f t="shared" si="4"/>
        <v>1</v>
      </c>
      <c r="AC41" s="1814">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3"/>
      <c r="Q42" s="1813" t="str">
        <f t="shared" si="11"/>
        <v>内部装修</v>
      </c>
      <c r="R42" s="774" t="s">
        <v>17</v>
      </c>
      <c r="S42" s="775">
        <f t="shared" si="12"/>
        <v>100</v>
      </c>
      <c r="T42" s="774" t="s">
        <v>17</v>
      </c>
      <c r="U42" s="775">
        <f t="shared" si="13"/>
        <v>100</v>
      </c>
      <c r="V42" s="774" t="s">
        <v>17</v>
      </c>
      <c r="W42" s="775">
        <f t="shared" si="14"/>
        <v>100</v>
      </c>
      <c r="X42" s="1816"/>
      <c r="Y42" s="3172"/>
      <c r="Z42" s="1817" t="str">
        <f t="shared" si="15"/>
        <v>内部装修</v>
      </c>
      <c r="AA42" s="1814">
        <f t="shared" si="3"/>
        <v>1</v>
      </c>
      <c r="AB42" s="1814">
        <f t="shared" si="4"/>
        <v>1</v>
      </c>
      <c r="AC42" s="1814">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3"/>
      <c r="Q43" s="1813" t="str">
        <f t="shared" si="11"/>
        <v>内部装修维护情况</v>
      </c>
      <c r="R43" s="774" t="s">
        <v>17</v>
      </c>
      <c r="S43" s="775">
        <f t="shared" si="12"/>
        <v>100</v>
      </c>
      <c r="T43" s="774" t="s">
        <v>17</v>
      </c>
      <c r="U43" s="775">
        <f t="shared" si="13"/>
        <v>100</v>
      </c>
      <c r="V43" s="774" t="s">
        <v>17</v>
      </c>
      <c r="W43" s="775">
        <f t="shared" si="14"/>
        <v>100</v>
      </c>
      <c r="X43" s="1816"/>
      <c r="Y43" s="31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8">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3">
        <f t="shared" si="11"/>
        <v>111</v>
      </c>
      <c r="R45" s="774" t="s">
        <v>17</v>
      </c>
      <c r="S45" s="775">
        <f t="shared" si="12"/>
        <v>100</v>
      </c>
      <c r="T45" s="774" t="s">
        <v>17</v>
      </c>
      <c r="U45" s="775">
        <f t="shared" si="13"/>
        <v>100</v>
      </c>
      <c r="V45" s="774" t="s">
        <v>17</v>
      </c>
      <c r="W45" s="775">
        <f t="shared" si="14"/>
        <v>100</v>
      </c>
      <c r="X45" s="1816"/>
      <c r="Y45" s="317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235"/>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67" t="str">
        <f>A47</f>
        <v>成交单价（元/平方米）</v>
      </c>
      <c r="Q47" s="3167"/>
      <c r="R47" s="3173">
        <f>E47</f>
        <v>0</v>
      </c>
      <c r="S47" s="3173"/>
      <c r="T47" s="3173">
        <f>G47</f>
        <v>0</v>
      </c>
      <c r="U47" s="3173"/>
      <c r="V47" s="3173">
        <f>I47</f>
        <v>0</v>
      </c>
      <c r="W47" s="3173"/>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2551</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2591</v>
      </c>
      <c r="B63" s="528" t="s">
        <v>2557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2566</v>
      </c>
      <c r="B100" s="528" t="s">
        <v>2684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青岛北曲后汇豪置业有限公司：</v>
      </c>
    </row>
    <row r="4" spans="1:1" ht="54">
      <c r="A4" s="1951" t="str">
        <f>"受贵公司委托，我公司对"&amp;项目基本情况!S1&amp;"进行了预评估。"</f>
        <v>受贵公司委托，我公司对山东省青岛市城阳街道大北曲后社区青岛北曲后汇豪置业有限公司出让国有建设用地使用权及在建建筑物房地产抵押价值进行了预评估。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城阳街道大北曲后社区青岛北曲后汇豪置业有限公司出让国有建设用地使用权及在建建筑物房地产，为青岛北曲后汇豪置业有限公司所有。根据《国有土地使用证》[]，估价对象（分摊）出让国有建设用地使用权面积为31518.76平方米，建筑面积为117760.1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城阳街道大北曲后社区青岛北曲后汇豪置业有限公司出让国有建设用地使用权及在建建筑物房地产,为青岛北曲后汇豪置业有限公司开发建设的，该项目尚在开发建设中。根据《国有土地使用证》[]，估价对象（分摊）出让国有建设用地使用权面积为31518.76平方米，规划建筑面积为117760.1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2018年12月28日（评估专业人员实地查勘之日）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2689</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89"/>
      <c r="D2" s="1368"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117760.1</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64" t="s">
        <v>2649</v>
      </c>
      <c r="D4" s="3177"/>
      <c r="E4" s="3178" t="s">
        <v>2650</v>
      </c>
      <c r="F4" s="3179"/>
      <c r="G4" s="3164" t="s">
        <v>2651</v>
      </c>
      <c r="H4" s="3177"/>
      <c r="I4" s="3164" t="s">
        <v>2652</v>
      </c>
      <c r="J4" s="3177"/>
      <c r="K4" s="610" t="s">
        <v>2653</v>
      </c>
      <c r="L4" s="1133"/>
      <c r="M4" s="1134"/>
      <c r="N4" s="1134"/>
      <c r="O4" s="1134"/>
      <c r="P4" s="3244" t="s">
        <v>2654</v>
      </c>
      <c r="Q4" s="3245"/>
      <c r="R4" s="3248" t="s">
        <v>2650</v>
      </c>
      <c r="S4" s="3249"/>
      <c r="T4" s="3248" t="s">
        <v>2651</v>
      </c>
      <c r="U4" s="3249"/>
      <c r="V4" s="3250" t="s">
        <v>2652</v>
      </c>
      <c r="W4" s="3250"/>
      <c r="X4" s="2673"/>
      <c r="Y4" s="3248" t="s">
        <v>2654</v>
      </c>
      <c r="Z4" s="3249"/>
      <c r="AA4" s="3252" t="s">
        <v>2650</v>
      </c>
      <c r="AB4" s="3252" t="s">
        <v>2651</v>
      </c>
      <c r="AC4" s="3241" t="s">
        <v>2652</v>
      </c>
    </row>
    <row r="5" spans="1:29" ht="15">
      <c r="A5" s="404"/>
      <c r="B5" s="405"/>
      <c r="C5" s="3194" t="s">
        <v>2545</v>
      </c>
      <c r="D5" s="3195"/>
      <c r="E5" s="3201" t="s">
        <v>2546</v>
      </c>
      <c r="F5" s="3202"/>
      <c r="G5" s="3194" t="s">
        <v>2547</v>
      </c>
      <c r="H5" s="3195"/>
      <c r="I5" s="3194" t="s">
        <v>2548</v>
      </c>
      <c r="J5" s="3195"/>
      <c r="K5" s="610"/>
      <c r="L5" s="1133"/>
      <c r="M5" s="1134"/>
      <c r="N5" s="1134"/>
      <c r="O5" s="1134"/>
      <c r="P5" s="3246"/>
      <c r="Q5" s="3183"/>
      <c r="R5" s="3188"/>
      <c r="S5" s="3189"/>
      <c r="T5" s="3188"/>
      <c r="U5" s="3189"/>
      <c r="V5" s="3173"/>
      <c r="W5" s="3173"/>
      <c r="X5" s="1816"/>
      <c r="Y5" s="3188"/>
      <c r="Z5" s="3189"/>
      <c r="AA5" s="3175"/>
      <c r="AB5" s="3175"/>
      <c r="AC5" s="3242"/>
    </row>
    <row r="6" spans="1:29" ht="15.75" thickBot="1">
      <c r="A6" s="406"/>
      <c r="B6" s="407"/>
      <c r="C6" s="3192" t="s">
        <v>2549</v>
      </c>
      <c r="D6" s="3193"/>
      <c r="E6" s="3199" t="s">
        <v>2549</v>
      </c>
      <c r="F6" s="3200"/>
      <c r="G6" s="3192" t="s">
        <v>2549</v>
      </c>
      <c r="H6" s="3193"/>
      <c r="I6" s="3192" t="s">
        <v>2549</v>
      </c>
      <c r="J6" s="3193"/>
      <c r="K6" s="610" t="s">
        <v>2550</v>
      </c>
      <c r="L6" s="1133"/>
      <c r="M6" s="1134"/>
      <c r="N6" s="1134"/>
      <c r="O6" s="1134"/>
      <c r="P6" s="3247"/>
      <c r="Q6" s="3185"/>
      <c r="R6" s="3188"/>
      <c r="S6" s="3189"/>
      <c r="T6" s="3190"/>
      <c r="U6" s="3191"/>
      <c r="V6" s="3173"/>
      <c r="W6" s="3173"/>
      <c r="X6" s="1816"/>
      <c r="Y6" s="3190"/>
      <c r="Z6" s="3191"/>
      <c r="AA6" s="3176"/>
      <c r="AB6" s="3176"/>
      <c r="AC6" s="3243"/>
    </row>
    <row r="7" spans="1:29" s="117" customFormat="1" ht="15.75" thickBot="1">
      <c r="A7" s="408" t="s">
        <v>2551</v>
      </c>
      <c r="B7" s="409"/>
      <c r="C7" s="410">
        <f>'数据-取费表'!B2</f>
        <v>43462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2555</v>
      </c>
      <c r="Q8" s="3197"/>
      <c r="R8" s="770" t="s">
        <v>17</v>
      </c>
      <c r="S8" s="771">
        <f t="shared" si="0"/>
        <v>0</v>
      </c>
      <c r="T8" s="770" t="s">
        <v>17</v>
      </c>
      <c r="U8" s="771">
        <f t="shared" si="1"/>
        <v>0</v>
      </c>
      <c r="V8" s="770" t="s">
        <v>17</v>
      </c>
      <c r="W8" s="771">
        <f t="shared" si="2"/>
        <v>0</v>
      </c>
      <c r="X8" s="772"/>
      <c r="Y8" s="3196" t="s">
        <v>2555</v>
      </c>
      <c r="Z8" s="3197"/>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6" t="s">
        <v>2558</v>
      </c>
      <c r="Q9" s="1798"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6"/>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66"/>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2563</v>
      </c>
      <c r="Q15" s="1813" t="str">
        <f t="shared" si="6"/>
        <v>办公集聚程度</v>
      </c>
      <c r="R15" s="774" t="s">
        <v>17</v>
      </c>
      <c r="S15" s="775">
        <f t="shared" si="0"/>
        <v>100</v>
      </c>
      <c r="T15" s="774" t="s">
        <v>17</v>
      </c>
      <c r="U15" s="775">
        <f t="shared" si="1"/>
        <v>100</v>
      </c>
      <c r="V15" s="774" t="s">
        <v>17</v>
      </c>
      <c r="W15" s="775">
        <f t="shared" si="2"/>
        <v>100</v>
      </c>
      <c r="X15" s="1816"/>
      <c r="Y15" s="3169" t="s">
        <v>2563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7"/>
      <c r="Q16" s="1813"/>
      <c r="R16" s="774"/>
      <c r="S16" s="775"/>
      <c r="T16" s="774"/>
      <c r="U16" s="775"/>
      <c r="V16" s="774"/>
      <c r="W16" s="775"/>
      <c r="X16" s="1816"/>
      <c r="Y16" s="3170"/>
      <c r="Z16" s="1817"/>
      <c r="AA16" s="1814">
        <v>1</v>
      </c>
      <c r="AB16" s="1814">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7"/>
      <c r="Q18" s="1813"/>
      <c r="R18" s="774"/>
      <c r="S18" s="775"/>
      <c r="T18" s="774"/>
      <c r="U18" s="775"/>
      <c r="V18" s="774"/>
      <c r="W18" s="775"/>
      <c r="X18" s="1816"/>
      <c r="Y18" s="3170"/>
      <c r="Z18" s="1817"/>
      <c r="AA18" s="1814">
        <v>1</v>
      </c>
      <c r="AB18" s="1814">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170"/>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7"/>
      <c r="Q20" s="1813"/>
      <c r="R20" s="774"/>
      <c r="S20" s="775"/>
      <c r="T20" s="774"/>
      <c r="U20" s="775"/>
      <c r="V20" s="774"/>
      <c r="W20" s="775"/>
      <c r="X20" s="1816"/>
      <c r="Y20" s="3170"/>
      <c r="Z20" s="1817"/>
      <c r="AA20" s="1814">
        <v>1</v>
      </c>
      <c r="AB20" s="1814">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7"/>
      <c r="Q22" s="1813"/>
      <c r="R22" s="774"/>
      <c r="S22" s="775"/>
      <c r="T22" s="774"/>
      <c r="U22" s="775"/>
      <c r="V22" s="774"/>
      <c r="W22" s="775"/>
      <c r="X22" s="1816"/>
      <c r="Y22" s="3170"/>
      <c r="Z22" s="1817"/>
      <c r="AA22" s="1814">
        <v>1</v>
      </c>
      <c r="AB22" s="1814">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3" t="str">
        <f>B23</f>
        <v>环境质量</v>
      </c>
      <c r="R23" s="774" t="s">
        <v>17</v>
      </c>
      <c r="S23" s="775">
        <f>F23</f>
        <v>100</v>
      </c>
      <c r="T23" s="774" t="s">
        <v>17</v>
      </c>
      <c r="U23" s="775">
        <f>H23</f>
        <v>100</v>
      </c>
      <c r="V23" s="774" t="s">
        <v>17</v>
      </c>
      <c r="W23" s="775">
        <f>J23</f>
        <v>100</v>
      </c>
      <c r="X23" s="1816"/>
      <c r="Y23" s="3170"/>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7"/>
      <c r="Q24" s="1813"/>
      <c r="R24" s="774"/>
      <c r="S24" s="775"/>
      <c r="T24" s="774"/>
      <c r="U24" s="775"/>
      <c r="V24" s="774"/>
      <c r="W24" s="775"/>
      <c r="X24" s="1816"/>
      <c r="Y24" s="3170"/>
      <c r="Z24" s="1817"/>
      <c r="AA24" s="1814">
        <v>1</v>
      </c>
      <c r="AB24" s="1814">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7"/>
      <c r="Q25" s="1813" t="str">
        <f>B25</f>
        <v>毗邻道路的类型与等级</v>
      </c>
      <c r="R25" s="774" t="s">
        <v>17</v>
      </c>
      <c r="S25" s="775">
        <f>F25</f>
        <v>100</v>
      </c>
      <c r="T25" s="774" t="s">
        <v>17</v>
      </c>
      <c r="U25" s="775">
        <f>H25</f>
        <v>100</v>
      </c>
      <c r="V25" s="774" t="s">
        <v>17</v>
      </c>
      <c r="W25" s="775">
        <f>J25</f>
        <v>100</v>
      </c>
      <c r="X25" s="1816"/>
      <c r="Y25" s="3170"/>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7"/>
      <c r="Q26" s="1813"/>
      <c r="R26" s="774"/>
      <c r="S26" s="775"/>
      <c r="T26" s="774"/>
      <c r="U26" s="775"/>
      <c r="V26" s="774"/>
      <c r="W26" s="775"/>
      <c r="X26" s="1816"/>
      <c r="Y26" s="3170"/>
      <c r="Z26" s="1817"/>
      <c r="AA26" s="1814">
        <v>1</v>
      </c>
      <c r="AB26" s="1814">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3" t="str">
        <f t="shared" ref="Q27:Q47" si="11">B27</f>
        <v>楼层</v>
      </c>
      <c r="R27" s="774" t="s">
        <v>17</v>
      </c>
      <c r="S27" s="775">
        <f>F27</f>
        <v>100</v>
      </c>
      <c r="T27" s="774" t="s">
        <v>17</v>
      </c>
      <c r="U27" s="775">
        <f>H27</f>
        <v>100</v>
      </c>
      <c r="V27" s="774" t="s">
        <v>17</v>
      </c>
      <c r="W27" s="775">
        <f>J27</f>
        <v>100</v>
      </c>
      <c r="X27" s="1816"/>
      <c r="Y27" s="3170"/>
      <c r="Z27" s="1817" t="str">
        <f>Q27</f>
        <v>楼层</v>
      </c>
      <c r="AA27" s="1814">
        <f t="shared" si="3"/>
        <v>1</v>
      </c>
      <c r="AB27" s="1814">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7"/>
      <c r="Q28" s="1798" t="str">
        <f t="shared" si="11"/>
        <v>朝向</v>
      </c>
      <c r="R28" s="770" t="s">
        <v>17</v>
      </c>
      <c r="S28" s="771">
        <f>F28</f>
        <v>100</v>
      </c>
      <c r="T28" s="770" t="s">
        <v>17</v>
      </c>
      <c r="U28" s="771">
        <f>H28</f>
        <v>100</v>
      </c>
      <c r="V28" s="770" t="s">
        <v>17</v>
      </c>
      <c r="W28" s="771">
        <f>J28</f>
        <v>100</v>
      </c>
      <c r="X28" s="772"/>
      <c r="Y28" s="3170"/>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7"/>
      <c r="Q29" s="1813">
        <f t="shared" si="11"/>
        <v>111</v>
      </c>
      <c r="R29" s="774" t="s">
        <v>17</v>
      </c>
      <c r="S29" s="775">
        <f t="shared" ref="S29:S47" si="12">F29</f>
        <v>100</v>
      </c>
      <c r="T29" s="774" t="s">
        <v>17</v>
      </c>
      <c r="U29" s="775">
        <f t="shared" ref="U29:U47" si="13">H29</f>
        <v>100</v>
      </c>
      <c r="V29" s="774" t="s">
        <v>17</v>
      </c>
      <c r="W29" s="775">
        <f t="shared" ref="W29:W47" si="14">J29</f>
        <v>100</v>
      </c>
      <c r="X29" s="1816"/>
      <c r="Y29" s="3170"/>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170"/>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170"/>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7"/>
      <c r="Q32" s="1813">
        <f t="shared" si="11"/>
        <v>111</v>
      </c>
      <c r="R32" s="774" t="s">
        <v>17</v>
      </c>
      <c r="S32" s="775">
        <f t="shared" si="12"/>
        <v>100</v>
      </c>
      <c r="T32" s="774" t="s">
        <v>17</v>
      </c>
      <c r="U32" s="775">
        <f t="shared" si="13"/>
        <v>100</v>
      </c>
      <c r="V32" s="774" t="s">
        <v>17</v>
      </c>
      <c r="W32" s="775">
        <f t="shared" si="14"/>
        <v>100</v>
      </c>
      <c r="X32" s="1816"/>
      <c r="Y32" s="3170"/>
      <c r="Z32" s="1817">
        <f t="shared" si="15"/>
        <v>111</v>
      </c>
      <c r="AA32" s="1814">
        <f t="shared" si="3"/>
        <v>1</v>
      </c>
      <c r="AB32" s="1814">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32" t="s">
        <v>2568</v>
      </c>
      <c r="Q33" s="1813" t="str">
        <f t="shared" si="11"/>
        <v>建筑类型</v>
      </c>
      <c r="R33" s="774" t="s">
        <v>17</v>
      </c>
      <c r="S33" s="775">
        <f t="shared" si="12"/>
        <v>100</v>
      </c>
      <c r="T33" s="774" t="s">
        <v>17</v>
      </c>
      <c r="U33" s="775">
        <f t="shared" si="13"/>
        <v>100</v>
      </c>
      <c r="V33" s="774" t="s">
        <v>17</v>
      </c>
      <c r="W33" s="775">
        <f t="shared" si="14"/>
        <v>100</v>
      </c>
      <c r="X33" s="1816"/>
      <c r="Y33" s="3172" t="s">
        <v>2568</v>
      </c>
      <c r="Z33" s="1817" t="str">
        <f t="shared" si="15"/>
        <v>建筑类型</v>
      </c>
      <c r="AA33" s="1814">
        <f t="shared" si="3"/>
        <v>1</v>
      </c>
      <c r="AB33" s="1814">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4" t="e">
        <f t="shared" si="3"/>
        <v>#N/A</v>
      </c>
      <c r="AB34" s="1814"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3" t="str">
        <f t="shared" si="11"/>
        <v>建筑结构</v>
      </c>
      <c r="R35" s="774" t="s">
        <v>17</v>
      </c>
      <c r="S35" s="775">
        <f t="shared" si="12"/>
        <v>100</v>
      </c>
      <c r="T35" s="774" t="s">
        <v>17</v>
      </c>
      <c r="U35" s="775">
        <f t="shared" si="13"/>
        <v>100</v>
      </c>
      <c r="V35" s="774" t="s">
        <v>17</v>
      </c>
      <c r="W35" s="775">
        <f t="shared" si="14"/>
        <v>100</v>
      </c>
      <c r="X35" s="1816"/>
      <c r="Y35" s="3172"/>
      <c r="Z35" s="1817" t="str">
        <f t="shared" si="15"/>
        <v>建筑结构</v>
      </c>
      <c r="AA35" s="1814">
        <f t="shared" si="3"/>
        <v>1</v>
      </c>
      <c r="AB35" s="1814">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3" t="str">
        <f t="shared" si="11"/>
        <v>公共部分装修</v>
      </c>
      <c r="R36" s="774" t="s">
        <v>17</v>
      </c>
      <c r="S36" s="775">
        <f t="shared" si="12"/>
        <v>100</v>
      </c>
      <c r="T36" s="774" t="s">
        <v>17</v>
      </c>
      <c r="U36" s="775">
        <f t="shared" si="13"/>
        <v>100</v>
      </c>
      <c r="V36" s="774" t="s">
        <v>17</v>
      </c>
      <c r="W36" s="775">
        <f t="shared" si="14"/>
        <v>100</v>
      </c>
      <c r="X36" s="1816"/>
      <c r="Y36" s="3172"/>
      <c r="Z36" s="1817" t="str">
        <f t="shared" si="15"/>
        <v>公共部分装修</v>
      </c>
      <c r="AA36" s="1814">
        <f t="shared" si="3"/>
        <v>1</v>
      </c>
      <c r="AB36" s="1814">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3" t="str">
        <f t="shared" si="11"/>
        <v>成新度</v>
      </c>
      <c r="R37" s="774" t="s">
        <v>17</v>
      </c>
      <c r="S37" s="775" t="e">
        <f t="shared" si="12"/>
        <v>#N/A</v>
      </c>
      <c r="T37" s="774" t="s">
        <v>17</v>
      </c>
      <c r="U37" s="775" t="e">
        <f t="shared" si="13"/>
        <v>#N/A</v>
      </c>
      <c r="V37" s="774" t="s">
        <v>17</v>
      </c>
      <c r="W37" s="775" t="e">
        <f t="shared" si="14"/>
        <v>#N/A</v>
      </c>
      <c r="X37" s="1816"/>
      <c r="Y37" s="3172"/>
      <c r="Z37" s="1817" t="str">
        <f t="shared" si="15"/>
        <v>成新度</v>
      </c>
      <c r="AA37" s="1814" t="e">
        <f t="shared" si="3"/>
        <v>#N/A</v>
      </c>
      <c r="AB37" s="1814"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8"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2568</v>
      </c>
      <c r="Q39" s="1813" t="str">
        <f t="shared" si="11"/>
        <v>物业管理</v>
      </c>
      <c r="R39" s="774" t="s">
        <v>17</v>
      </c>
      <c r="S39" s="775">
        <f t="shared" si="12"/>
        <v>100</v>
      </c>
      <c r="T39" s="774" t="s">
        <v>17</v>
      </c>
      <c r="U39" s="775">
        <f t="shared" si="13"/>
        <v>100</v>
      </c>
      <c r="V39" s="774" t="s">
        <v>17</v>
      </c>
      <c r="W39" s="775">
        <f t="shared" si="14"/>
        <v>100</v>
      </c>
      <c r="X39" s="1816"/>
      <c r="Y39" s="3172" t="s">
        <v>2568</v>
      </c>
      <c r="Z39" s="1817" t="str">
        <f t="shared" si="15"/>
        <v>物业管理</v>
      </c>
      <c r="AA39" s="1814">
        <f t="shared" si="3"/>
        <v>1</v>
      </c>
      <c r="AB39" s="1814">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3" t="str">
        <f t="shared" si="11"/>
        <v>市政基础设施</v>
      </c>
      <c r="R40" s="774" t="s">
        <v>17</v>
      </c>
      <c r="S40" s="775">
        <f t="shared" si="12"/>
        <v>100</v>
      </c>
      <c r="T40" s="774" t="s">
        <v>17</v>
      </c>
      <c r="U40" s="775">
        <f t="shared" si="13"/>
        <v>100</v>
      </c>
      <c r="V40" s="774" t="s">
        <v>17</v>
      </c>
      <c r="W40" s="775">
        <f t="shared" si="14"/>
        <v>100</v>
      </c>
      <c r="X40" s="1816"/>
      <c r="Y40" s="3172"/>
      <c r="Z40" s="1817" t="str">
        <f t="shared" si="15"/>
        <v>市政基础设施</v>
      </c>
      <c r="AA40" s="1814">
        <f t="shared" si="3"/>
        <v>1</v>
      </c>
      <c r="AB40" s="1814">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3" t="str">
        <f t="shared" si="11"/>
        <v>层高</v>
      </c>
      <c r="R41" s="774" t="s">
        <v>17</v>
      </c>
      <c r="S41" s="775">
        <f t="shared" si="12"/>
        <v>100</v>
      </c>
      <c r="T41" s="774" t="s">
        <v>17</v>
      </c>
      <c r="U41" s="775">
        <f t="shared" si="13"/>
        <v>100</v>
      </c>
      <c r="V41" s="774" t="s">
        <v>17</v>
      </c>
      <c r="W41" s="775">
        <f t="shared" si="14"/>
        <v>100</v>
      </c>
      <c r="X41" s="1816"/>
      <c r="Y41" s="3172"/>
      <c r="Z41" s="1817" t="str">
        <f t="shared" si="15"/>
        <v>层高</v>
      </c>
      <c r="AA41" s="1814">
        <f t="shared" si="3"/>
        <v>1</v>
      </c>
      <c r="AB41" s="1814">
        <f t="shared" si="4"/>
        <v>1</v>
      </c>
      <c r="AC41" s="2677">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4">
        <f t="shared" si="3"/>
        <v>1</v>
      </c>
      <c r="AB42" s="1814">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3" t="str">
        <f t="shared" si="11"/>
        <v>内部装修</v>
      </c>
      <c r="R43" s="774" t="s">
        <v>17</v>
      </c>
      <c r="S43" s="775">
        <f t="shared" si="12"/>
        <v>100</v>
      </c>
      <c r="T43" s="774" t="s">
        <v>17</v>
      </c>
      <c r="U43" s="775">
        <f t="shared" si="13"/>
        <v>100</v>
      </c>
      <c r="V43" s="774" t="s">
        <v>17</v>
      </c>
      <c r="W43" s="775">
        <f t="shared" si="14"/>
        <v>100</v>
      </c>
      <c r="X43" s="1816"/>
      <c r="Y43" s="3172"/>
      <c r="Z43" s="1817" t="str">
        <f t="shared" si="15"/>
        <v>内部装修</v>
      </c>
      <c r="AA43" s="1814">
        <f t="shared" si="3"/>
        <v>1</v>
      </c>
      <c r="AB43" s="1814">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33"/>
      <c r="Q44" s="1813" t="str">
        <f t="shared" si="11"/>
        <v>内部装修维护情况</v>
      </c>
      <c r="R44" s="774" t="s">
        <v>17</v>
      </c>
      <c r="S44" s="775">
        <f t="shared" si="12"/>
        <v>100</v>
      </c>
      <c r="T44" s="774" t="s">
        <v>17</v>
      </c>
      <c r="U44" s="775">
        <f t="shared" si="13"/>
        <v>100</v>
      </c>
      <c r="V44" s="774" t="s">
        <v>17</v>
      </c>
      <c r="W44" s="775">
        <f t="shared" si="14"/>
        <v>100</v>
      </c>
      <c r="X44" s="1816"/>
      <c r="Y44" s="317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8">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3">
        <f t="shared" si="11"/>
        <v>111</v>
      </c>
      <c r="R47" s="774" t="s">
        <v>17</v>
      </c>
      <c r="S47" s="775">
        <f t="shared" si="12"/>
        <v>100</v>
      </c>
      <c r="T47" s="774" t="s">
        <v>17</v>
      </c>
      <c r="U47" s="775">
        <f t="shared" si="13"/>
        <v>100</v>
      </c>
      <c r="V47" s="774" t="s">
        <v>17</v>
      </c>
      <c r="W47" s="775">
        <f t="shared" si="14"/>
        <v>100</v>
      </c>
      <c r="X47" s="1816"/>
      <c r="Y47" s="3235"/>
      <c r="Z47" s="1817">
        <f t="shared" si="15"/>
        <v>111</v>
      </c>
      <c r="AA47" s="1814">
        <f t="shared" si="3"/>
        <v>1</v>
      </c>
      <c r="AB47" s="1814">
        <f t="shared" si="4"/>
        <v>1</v>
      </c>
      <c r="AC47" s="2677">
        <f t="shared" si="5"/>
        <v>1</v>
      </c>
    </row>
    <row r="48" spans="1:29" ht="15">
      <c r="A48" s="479" t="s">
        <v>2580</v>
      </c>
      <c r="B48" s="480"/>
      <c r="C48" s="1410" t="s">
        <v>1</v>
      </c>
      <c r="D48" s="1411"/>
      <c r="E48" s="1412"/>
      <c r="F48" s="1413"/>
      <c r="G48" s="1414"/>
      <c r="H48" s="1415"/>
      <c r="I48" s="1412"/>
      <c r="J48" s="485"/>
      <c r="K48" s="783"/>
      <c r="L48" s="1146"/>
      <c r="M48" s="1134"/>
      <c r="N48" s="1134"/>
      <c r="O48" s="1134"/>
      <c r="P48" s="3166" t="str">
        <f>A48</f>
        <v>成交单价（元/平方米）</v>
      </c>
      <c r="Q48" s="3167"/>
      <c r="R48" s="3231">
        <f>E48</f>
        <v>0</v>
      </c>
      <c r="S48" s="3231"/>
      <c r="T48" s="3231">
        <f>G48</f>
        <v>0</v>
      </c>
      <c r="U48" s="3231"/>
      <c r="V48" s="3231">
        <f>I48</f>
        <v>0</v>
      </c>
      <c r="W48" s="3231"/>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6" t="str">
        <f>A49</f>
        <v>比较价值（元/平方米）</v>
      </c>
      <c r="Q49" s="3167"/>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38" t="str">
        <f>A50</f>
        <v>估价对象XX用房的比较价值（楼面单价，元/平方米）</v>
      </c>
      <c r="Q50" s="3239"/>
      <c r="R50" s="3240" t="e">
        <f>IF(F1="售价",ROUND(AVERAGE(R49:V49),0),ROUND(AVERAGE(R49:V49),1))</f>
        <v>#DIV/0!</v>
      </c>
      <c r="S50" s="3240"/>
      <c r="T50" s="3240"/>
      <c r="U50" s="3240"/>
      <c r="V50" s="3240"/>
      <c r="W50" s="3240"/>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4"/>
      <c r="Q58" s="504"/>
    </row>
    <row r="59" spans="1:29" s="508" customFormat="1" ht="15">
      <c r="A59" s="505" t="s">
        <v>2551</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2591</v>
      </c>
      <c r="B64" s="528" t="s">
        <v>2557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2702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2566</v>
      </c>
      <c r="B101" s="528" t="s">
        <v>2615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2620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2621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2705</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89"/>
      <c r="D2" s="1127" t="e">
        <f ca="1">SUMIF(INDIRECT("'"&amp;F2&amp;"'"&amp;"!A:A"),"承租人权益价值",INDIRECT("'"&amp;F2&amp;"'"&amp;"!c:c"))</f>
        <v>#REF!</v>
      </c>
      <c r="E2" s="2590" t="s">
        <v>2334</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117760.1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33"/>
      <c r="M4" s="1134"/>
      <c r="N4" s="1134"/>
      <c r="O4" s="1134"/>
      <c r="P4" s="3180" t="s">
        <v>2654</v>
      </c>
      <c r="Q4" s="3181"/>
      <c r="R4" s="3186" t="s">
        <v>2650</v>
      </c>
      <c r="S4" s="3187"/>
      <c r="T4" s="3186" t="s">
        <v>2651</v>
      </c>
      <c r="U4" s="3187"/>
      <c r="V4" s="3173" t="s">
        <v>2652</v>
      </c>
      <c r="W4" s="3173"/>
      <c r="X4" s="1816"/>
      <c r="Y4" s="3186" t="s">
        <v>2654</v>
      </c>
      <c r="Z4" s="3187"/>
      <c r="AA4" s="3174" t="s">
        <v>2650</v>
      </c>
      <c r="AB4" s="3175" t="s">
        <v>2651</v>
      </c>
      <c r="AC4" s="3174" t="s">
        <v>2652</v>
      </c>
    </row>
    <row r="5" spans="1:29" ht="15">
      <c r="A5" s="404"/>
      <c r="B5" s="405"/>
      <c r="C5" s="3194" t="s">
        <v>2545</v>
      </c>
      <c r="D5" s="3195"/>
      <c r="E5" s="3201" t="s">
        <v>2546</v>
      </c>
      <c r="F5" s="3202"/>
      <c r="G5" s="3194" t="s">
        <v>2547</v>
      </c>
      <c r="H5" s="3195"/>
      <c r="I5" s="3194" t="s">
        <v>2548</v>
      </c>
      <c r="J5" s="3195"/>
      <c r="K5" s="610"/>
      <c r="L5" s="1133"/>
      <c r="M5" s="1134"/>
      <c r="N5" s="1134"/>
      <c r="O5" s="1134"/>
      <c r="P5" s="3182"/>
      <c r="Q5" s="3183"/>
      <c r="R5" s="3188"/>
      <c r="S5" s="3189"/>
      <c r="T5" s="3188"/>
      <c r="U5" s="3189"/>
      <c r="V5" s="3173"/>
      <c r="W5" s="3173"/>
      <c r="X5" s="1816"/>
      <c r="Y5" s="3188"/>
      <c r="Z5" s="3189"/>
      <c r="AA5" s="3175"/>
      <c r="AB5" s="3175"/>
      <c r="AC5" s="3175"/>
    </row>
    <row r="6" spans="1:29" ht="15.75" thickBot="1">
      <c r="A6" s="406"/>
      <c r="B6" s="407"/>
      <c r="C6" s="3192" t="s">
        <v>2549</v>
      </c>
      <c r="D6" s="3193"/>
      <c r="E6" s="3199" t="s">
        <v>2549</v>
      </c>
      <c r="F6" s="3200"/>
      <c r="G6" s="3192" t="s">
        <v>2549</v>
      </c>
      <c r="H6" s="3193"/>
      <c r="I6" s="3192" t="s">
        <v>2549</v>
      </c>
      <c r="J6" s="3193"/>
      <c r="K6" s="610" t="s">
        <v>2550</v>
      </c>
      <c r="L6" s="1133"/>
      <c r="M6" s="1134"/>
      <c r="N6" s="1134"/>
      <c r="O6" s="1134"/>
      <c r="P6" s="3184"/>
      <c r="Q6" s="3185"/>
      <c r="R6" s="3188"/>
      <c r="S6" s="3189"/>
      <c r="T6" s="3190"/>
      <c r="U6" s="3191"/>
      <c r="V6" s="3173"/>
      <c r="W6" s="3173"/>
      <c r="X6" s="1816"/>
      <c r="Y6" s="3190"/>
      <c r="Z6" s="3191"/>
      <c r="AA6" s="3176"/>
      <c r="AB6" s="3176"/>
      <c r="AC6" s="3176"/>
    </row>
    <row r="7" spans="1:29" s="117" customFormat="1" ht="15.75" thickBot="1">
      <c r="A7" s="408" t="s">
        <v>2551</v>
      </c>
      <c r="B7" s="409"/>
      <c r="C7" s="410">
        <f>'数据-取费表'!B2</f>
        <v>43462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6"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6" t="s">
        <v>2555</v>
      </c>
      <c r="Q8" s="3197"/>
      <c r="R8" s="770" t="s">
        <v>17</v>
      </c>
      <c r="S8" s="771">
        <f t="shared" si="0"/>
        <v>0</v>
      </c>
      <c r="T8" s="770" t="s">
        <v>17</v>
      </c>
      <c r="U8" s="771">
        <f t="shared" si="1"/>
        <v>0</v>
      </c>
      <c r="V8" s="770" t="s">
        <v>17</v>
      </c>
      <c r="W8" s="771">
        <f t="shared" si="2"/>
        <v>0</v>
      </c>
      <c r="X8" s="772"/>
      <c r="Y8" s="3196" t="s">
        <v>2555</v>
      </c>
      <c r="Z8" s="3197"/>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7" t="s">
        <v>2558</v>
      </c>
      <c r="Q9" s="1798"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7"/>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7"/>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67"/>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67"/>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9" t="s">
        <v>2563</v>
      </c>
      <c r="Q15" s="1813" t="str">
        <f t="shared" si="6"/>
        <v>产业集聚程度</v>
      </c>
      <c r="R15" s="774" t="s">
        <v>17</v>
      </c>
      <c r="S15" s="775">
        <f t="shared" si="0"/>
        <v>100</v>
      </c>
      <c r="T15" s="774" t="s">
        <v>17</v>
      </c>
      <c r="U15" s="775">
        <f t="shared" si="1"/>
        <v>100</v>
      </c>
      <c r="V15" s="774" t="s">
        <v>17</v>
      </c>
      <c r="W15" s="775">
        <f t="shared" si="2"/>
        <v>100</v>
      </c>
      <c r="X15" s="1816"/>
      <c r="Y15" s="3169"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0"/>
      <c r="Q16" s="1813"/>
      <c r="R16" s="774"/>
      <c r="S16" s="775"/>
      <c r="T16" s="774"/>
      <c r="U16" s="775"/>
      <c r="V16" s="774"/>
      <c r="W16" s="775"/>
      <c r="X16" s="1816"/>
      <c r="Y16" s="3170"/>
      <c r="Z16" s="1817"/>
      <c r="AA16" s="1814">
        <v>1</v>
      </c>
      <c r="AB16" s="1814">
        <v>1</v>
      </c>
      <c r="AC16" s="1814">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0"/>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70"/>
      <c r="Q18" s="1813"/>
      <c r="R18" s="774"/>
      <c r="S18" s="775"/>
      <c r="T18" s="774"/>
      <c r="U18" s="775"/>
      <c r="V18" s="774"/>
      <c r="W18" s="775"/>
      <c r="X18" s="1816"/>
      <c r="Y18" s="3170"/>
      <c r="Z18" s="1817"/>
      <c r="AA18" s="1814">
        <v>1</v>
      </c>
      <c r="AB18" s="1814">
        <v>1</v>
      </c>
      <c r="AC18" s="1814">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0"/>
      <c r="Q19" s="1813" t="str">
        <f>B19</f>
        <v>公共配套设施</v>
      </c>
      <c r="R19" s="774" t="s">
        <v>17</v>
      </c>
      <c r="S19" s="775">
        <f>F19</f>
        <v>100</v>
      </c>
      <c r="T19" s="774" t="s">
        <v>17</v>
      </c>
      <c r="U19" s="775">
        <f>H19</f>
        <v>100</v>
      </c>
      <c r="V19" s="774" t="s">
        <v>17</v>
      </c>
      <c r="W19" s="775">
        <f>J19</f>
        <v>100</v>
      </c>
      <c r="X19" s="1816"/>
      <c r="Y19" s="3170"/>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70"/>
      <c r="Q20" s="1813"/>
      <c r="R20" s="774"/>
      <c r="S20" s="775"/>
      <c r="T20" s="774"/>
      <c r="U20" s="775"/>
      <c r="V20" s="774"/>
      <c r="W20" s="775"/>
      <c r="X20" s="1816"/>
      <c r="Y20" s="3170"/>
      <c r="Z20" s="1817"/>
      <c r="AA20" s="1814">
        <v>1</v>
      </c>
      <c r="AB20" s="1814">
        <v>1</v>
      </c>
      <c r="AC20" s="1814">
        <v>1</v>
      </c>
    </row>
    <row r="21" spans="1:29" ht="28.5">
      <c r="A21" s="428"/>
      <c r="B21" s="1387"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0"/>
      <c r="Q21" s="1813" t="str">
        <f>B21</f>
        <v>基础设施水平</v>
      </c>
      <c r="R21" s="774" t="s">
        <v>17</v>
      </c>
      <c r="S21" s="775">
        <f>F21</f>
        <v>100</v>
      </c>
      <c r="T21" s="774" t="s">
        <v>17</v>
      </c>
      <c r="U21" s="775">
        <f>H21</f>
        <v>100</v>
      </c>
      <c r="V21" s="774" t="s">
        <v>17</v>
      </c>
      <c r="W21" s="775">
        <f>J21</f>
        <v>100</v>
      </c>
      <c r="X21" s="1816"/>
      <c r="Y21" s="3170"/>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70"/>
      <c r="Q22" s="1813"/>
      <c r="R22" s="774"/>
      <c r="S22" s="775"/>
      <c r="T22" s="774"/>
      <c r="U22" s="775"/>
      <c r="V22" s="774"/>
      <c r="W22" s="775"/>
      <c r="X22" s="1816"/>
      <c r="Y22" s="3170"/>
      <c r="Z22" s="1817"/>
      <c r="AA22" s="1814">
        <v>1</v>
      </c>
      <c r="AB22" s="1814">
        <v>1</v>
      </c>
      <c r="AC22" s="1814">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0"/>
      <c r="Q23" s="1813" t="str">
        <f>B23</f>
        <v>环境质量</v>
      </c>
      <c r="R23" s="774" t="s">
        <v>17</v>
      </c>
      <c r="S23" s="775">
        <f>F23</f>
        <v>100</v>
      </c>
      <c r="T23" s="774" t="s">
        <v>17</v>
      </c>
      <c r="U23" s="775">
        <f>H23</f>
        <v>100</v>
      </c>
      <c r="V23" s="774" t="s">
        <v>17</v>
      </c>
      <c r="W23" s="775">
        <f>J23</f>
        <v>100</v>
      </c>
      <c r="X23" s="1816"/>
      <c r="Y23" s="3170"/>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70"/>
      <c r="Q24" s="1813"/>
      <c r="R24" s="774"/>
      <c r="S24" s="775"/>
      <c r="T24" s="774"/>
      <c r="U24" s="775"/>
      <c r="V24" s="774"/>
      <c r="W24" s="775"/>
      <c r="X24" s="1816"/>
      <c r="Y24" s="317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0"/>
      <c r="Q25" s="1813">
        <f>B25</f>
        <v>111</v>
      </c>
      <c r="R25" s="774" t="s">
        <v>17</v>
      </c>
      <c r="S25" s="775">
        <f>F25</f>
        <v>100</v>
      </c>
      <c r="T25" s="774" t="s">
        <v>17</v>
      </c>
      <c r="U25" s="775">
        <f>H25</f>
        <v>100</v>
      </c>
      <c r="V25" s="774" t="s">
        <v>17</v>
      </c>
      <c r="W25" s="775">
        <f>J25</f>
        <v>100</v>
      </c>
      <c r="X25" s="1816"/>
      <c r="Y25" s="317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0"/>
      <c r="Q26" s="1813">
        <f t="shared" ref="Q26:Q40" si="11">B26</f>
        <v>111</v>
      </c>
      <c r="R26" s="774" t="s">
        <v>17</v>
      </c>
      <c r="S26" s="775">
        <f>F26</f>
        <v>100</v>
      </c>
      <c r="T26" s="774" t="s">
        <v>17</v>
      </c>
      <c r="U26" s="775">
        <f>H26</f>
        <v>100</v>
      </c>
      <c r="V26" s="774" t="s">
        <v>17</v>
      </c>
      <c r="W26" s="775">
        <f>J26</f>
        <v>100</v>
      </c>
      <c r="X26" s="1816"/>
      <c r="Y26" s="317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0"/>
      <c r="Q27" s="1798">
        <f t="shared" si="11"/>
        <v>111</v>
      </c>
      <c r="R27" s="770" t="s">
        <v>17</v>
      </c>
      <c r="S27" s="771">
        <f>F27</f>
        <v>100</v>
      </c>
      <c r="T27" s="770" t="s">
        <v>17</v>
      </c>
      <c r="U27" s="771">
        <f>H27</f>
        <v>100</v>
      </c>
      <c r="V27" s="770" t="s">
        <v>17</v>
      </c>
      <c r="W27" s="771">
        <f>J27</f>
        <v>100</v>
      </c>
      <c r="X27" s="772"/>
      <c r="Y27" s="317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0"/>
      <c r="Q28" s="1813">
        <f t="shared" si="11"/>
        <v>111</v>
      </c>
      <c r="R28" s="774" t="s">
        <v>17</v>
      </c>
      <c r="S28" s="775">
        <f t="shared" ref="S28:S40" si="12">F28</f>
        <v>100</v>
      </c>
      <c r="T28" s="774" t="s">
        <v>17</v>
      </c>
      <c r="U28" s="775">
        <f t="shared" ref="U28:U40" si="13">H28</f>
        <v>100</v>
      </c>
      <c r="V28" s="774" t="s">
        <v>17</v>
      </c>
      <c r="W28" s="775">
        <f t="shared" ref="W28:W40" si="14">J28</f>
        <v>100</v>
      </c>
      <c r="X28" s="1816"/>
      <c r="Y28" s="3170"/>
      <c r="Z28" s="1817">
        <f t="shared" ref="Z28:Z40" si="15">Q28</f>
        <v>111</v>
      </c>
      <c r="AA28" s="1814">
        <f t="shared" si="3"/>
        <v>1</v>
      </c>
      <c r="AB28" s="1814">
        <f t="shared" si="4"/>
        <v>1</v>
      </c>
      <c r="AC28" s="1814">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71" t="s">
        <v>2568</v>
      </c>
      <c r="Q29" s="1813" t="str">
        <f t="shared" si="11"/>
        <v>建筑类型</v>
      </c>
      <c r="R29" s="774" t="s">
        <v>17</v>
      </c>
      <c r="S29" s="775">
        <f t="shared" si="12"/>
        <v>100</v>
      </c>
      <c r="T29" s="774" t="s">
        <v>17</v>
      </c>
      <c r="U29" s="775">
        <f t="shared" si="13"/>
        <v>100</v>
      </c>
      <c r="V29" s="774" t="s">
        <v>17</v>
      </c>
      <c r="W29" s="775">
        <f t="shared" si="14"/>
        <v>100</v>
      </c>
      <c r="X29" s="1816"/>
      <c r="Y29" s="3172"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3" t="str">
        <f t="shared" si="11"/>
        <v>建筑结构</v>
      </c>
      <c r="R31" s="774" t="s">
        <v>17</v>
      </c>
      <c r="S31" s="775">
        <f t="shared" si="12"/>
        <v>100</v>
      </c>
      <c r="T31" s="774" t="s">
        <v>17</v>
      </c>
      <c r="U31" s="775">
        <f t="shared" si="13"/>
        <v>100</v>
      </c>
      <c r="V31" s="774" t="s">
        <v>17</v>
      </c>
      <c r="W31" s="775">
        <f t="shared" si="14"/>
        <v>100</v>
      </c>
      <c r="X31" s="1816"/>
      <c r="Y31" s="3172"/>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3" t="str">
        <f t="shared" si="11"/>
        <v>公共部分装修</v>
      </c>
      <c r="R32" s="774" t="s">
        <v>17</v>
      </c>
      <c r="S32" s="775">
        <f t="shared" si="12"/>
        <v>100</v>
      </c>
      <c r="T32" s="774" t="s">
        <v>17</v>
      </c>
      <c r="U32" s="775">
        <f t="shared" si="13"/>
        <v>100</v>
      </c>
      <c r="V32" s="774" t="s">
        <v>17</v>
      </c>
      <c r="W32" s="775">
        <f t="shared" si="14"/>
        <v>100</v>
      </c>
      <c r="X32" s="1816"/>
      <c r="Y32" s="3172"/>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3" t="str">
        <f t="shared" si="11"/>
        <v>成新度</v>
      </c>
      <c r="R33" s="774" t="s">
        <v>17</v>
      </c>
      <c r="S33" s="775" t="e">
        <f t="shared" si="12"/>
        <v>#N/A</v>
      </c>
      <c r="T33" s="774" t="s">
        <v>17</v>
      </c>
      <c r="U33" s="775" t="e">
        <f t="shared" si="13"/>
        <v>#N/A</v>
      </c>
      <c r="V33" s="774" t="s">
        <v>17</v>
      </c>
      <c r="W33" s="775" t="e">
        <f t="shared" si="14"/>
        <v>#N/A</v>
      </c>
      <c r="X33" s="1816"/>
      <c r="Y33" s="3172"/>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8"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2568</v>
      </c>
      <c r="Q35" s="1813" t="str">
        <f t="shared" si="11"/>
        <v>市政基础设施</v>
      </c>
      <c r="R35" s="774" t="s">
        <v>17</v>
      </c>
      <c r="S35" s="775">
        <f t="shared" si="12"/>
        <v>100</v>
      </c>
      <c r="T35" s="774" t="s">
        <v>17</v>
      </c>
      <c r="U35" s="775">
        <f t="shared" si="13"/>
        <v>100</v>
      </c>
      <c r="V35" s="774" t="s">
        <v>17</v>
      </c>
      <c r="W35" s="775">
        <f t="shared" si="14"/>
        <v>100</v>
      </c>
      <c r="X35" s="1816"/>
      <c r="Y35" s="3172"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3" t="str">
        <f t="shared" si="11"/>
        <v>内部装修</v>
      </c>
      <c r="R36" s="774" t="s">
        <v>17</v>
      </c>
      <c r="S36" s="775">
        <f t="shared" si="12"/>
        <v>100</v>
      </c>
      <c r="T36" s="774" t="s">
        <v>17</v>
      </c>
      <c r="U36" s="775">
        <f t="shared" si="13"/>
        <v>100</v>
      </c>
      <c r="V36" s="774" t="s">
        <v>17</v>
      </c>
      <c r="W36" s="775">
        <f t="shared" si="14"/>
        <v>100</v>
      </c>
      <c r="X36" s="1816"/>
      <c r="Y36" s="3172"/>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3" t="str">
        <f t="shared" si="11"/>
        <v>内部装修状况</v>
      </c>
      <c r="R37" s="774" t="s">
        <v>17</v>
      </c>
      <c r="S37" s="775">
        <f t="shared" si="12"/>
        <v>100</v>
      </c>
      <c r="T37" s="774" t="s">
        <v>17</v>
      </c>
      <c r="U37" s="775">
        <f t="shared" si="13"/>
        <v>100</v>
      </c>
      <c r="V37" s="774" t="s">
        <v>17</v>
      </c>
      <c r="W37" s="775">
        <f t="shared" si="14"/>
        <v>100</v>
      </c>
      <c r="X37" s="1816"/>
      <c r="Y37" s="31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3">
        <f t="shared" si="11"/>
        <v>111</v>
      </c>
      <c r="R39" s="774" t="s">
        <v>17</v>
      </c>
      <c r="S39" s="775">
        <f t="shared" si="12"/>
        <v>100</v>
      </c>
      <c r="T39" s="774" t="s">
        <v>17</v>
      </c>
      <c r="U39" s="775">
        <f t="shared" si="13"/>
        <v>100</v>
      </c>
      <c r="V39" s="774" t="s">
        <v>17</v>
      </c>
      <c r="W39" s="775">
        <f t="shared" si="14"/>
        <v>100</v>
      </c>
      <c r="X39" s="1816"/>
      <c r="Y39" s="317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3">
        <f t="shared" si="11"/>
        <v>111</v>
      </c>
      <c r="R40" s="774" t="s">
        <v>17</v>
      </c>
      <c r="S40" s="775">
        <f t="shared" si="12"/>
        <v>100</v>
      </c>
      <c r="T40" s="774" t="s">
        <v>17</v>
      </c>
      <c r="U40" s="775">
        <f t="shared" si="13"/>
        <v>100</v>
      </c>
      <c r="V40" s="774" t="s">
        <v>17</v>
      </c>
      <c r="W40" s="775">
        <f t="shared" si="14"/>
        <v>100</v>
      </c>
      <c r="X40" s="1816"/>
      <c r="Y40" s="3235"/>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67" t="str">
        <f>A41</f>
        <v>成交单价（元/平方米）</v>
      </c>
      <c r="Q41" s="3167"/>
      <c r="R41" s="3231">
        <f>E41</f>
        <v>0</v>
      </c>
      <c r="S41" s="3231"/>
      <c r="T41" s="3231">
        <f>G41</f>
        <v>0</v>
      </c>
      <c r="U41" s="3231"/>
      <c r="V41" s="3231">
        <f>I41</f>
        <v>0</v>
      </c>
      <c r="W41" s="3231"/>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67" t="str">
        <f>A42</f>
        <v>比较价值（元/平方米）</v>
      </c>
      <c r="Q42" s="3167"/>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1" t="str">
        <f>A43</f>
        <v>估价对象XX用房的比较价值（楼面单价，元/平方米）</v>
      </c>
      <c r="Q43" s="3162"/>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7"/>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33"/>
      <c r="M4" s="1134"/>
      <c r="N4" s="1134"/>
      <c r="O4" s="1134"/>
      <c r="P4" s="3180" t="s">
        <v>2654</v>
      </c>
      <c r="Q4" s="3181"/>
      <c r="R4" s="3186" t="s">
        <v>2650</v>
      </c>
      <c r="S4" s="3187"/>
      <c r="T4" s="3186" t="s">
        <v>2651</v>
      </c>
      <c r="U4" s="3187"/>
      <c r="V4" s="3173" t="s">
        <v>2652</v>
      </c>
      <c r="W4" s="3173"/>
      <c r="X4" s="1816"/>
      <c r="Y4" s="3186" t="s">
        <v>2654</v>
      </c>
      <c r="Z4" s="3187"/>
      <c r="AA4" s="3174" t="s">
        <v>2650</v>
      </c>
      <c r="AB4" s="3175" t="s">
        <v>2651</v>
      </c>
      <c r="AC4" s="3174" t="s">
        <v>2652</v>
      </c>
    </row>
    <row r="5" spans="1:29" ht="15">
      <c r="A5" s="404"/>
      <c r="B5" s="405"/>
      <c r="C5" s="3194" t="s">
        <v>2545</v>
      </c>
      <c r="D5" s="3195"/>
      <c r="E5" s="3201" t="s">
        <v>2546</v>
      </c>
      <c r="F5" s="3202"/>
      <c r="G5" s="3194" t="s">
        <v>2547</v>
      </c>
      <c r="H5" s="3195"/>
      <c r="I5" s="3194" t="s">
        <v>2548</v>
      </c>
      <c r="J5" s="3195"/>
      <c r="K5" s="610"/>
      <c r="L5" s="1133"/>
      <c r="M5" s="1134"/>
      <c r="N5" s="1134"/>
      <c r="O5" s="1134"/>
      <c r="P5" s="3182"/>
      <c r="Q5" s="3183"/>
      <c r="R5" s="3188"/>
      <c r="S5" s="3189"/>
      <c r="T5" s="3188"/>
      <c r="U5" s="3189"/>
      <c r="V5" s="3173"/>
      <c r="W5" s="3173"/>
      <c r="X5" s="1816"/>
      <c r="Y5" s="3188"/>
      <c r="Z5" s="3189"/>
      <c r="AA5" s="3175"/>
      <c r="AB5" s="3175"/>
      <c r="AC5" s="3175"/>
    </row>
    <row r="6" spans="1:29" ht="15.75" thickBot="1">
      <c r="A6" s="406"/>
      <c r="B6" s="407"/>
      <c r="C6" s="3192" t="s">
        <v>2549</v>
      </c>
      <c r="D6" s="3193"/>
      <c r="E6" s="3199" t="s">
        <v>2549</v>
      </c>
      <c r="F6" s="3200"/>
      <c r="G6" s="3192" t="s">
        <v>2549</v>
      </c>
      <c r="H6" s="3193"/>
      <c r="I6" s="3192" t="s">
        <v>2549</v>
      </c>
      <c r="J6" s="3193"/>
      <c r="K6" s="610" t="s">
        <v>2550</v>
      </c>
      <c r="L6" s="1133"/>
      <c r="M6" s="1134"/>
      <c r="N6" s="1134"/>
      <c r="O6" s="1134"/>
      <c r="P6" s="3184"/>
      <c r="Q6" s="3185"/>
      <c r="R6" s="3188"/>
      <c r="S6" s="3189"/>
      <c r="T6" s="3190"/>
      <c r="U6" s="3191"/>
      <c r="V6" s="3173"/>
      <c r="W6" s="3173"/>
      <c r="X6" s="1816"/>
      <c r="Y6" s="3190"/>
      <c r="Z6" s="3191"/>
      <c r="AA6" s="3176"/>
      <c r="AB6" s="3176"/>
      <c r="AC6" s="3176"/>
    </row>
    <row r="7" spans="1:29" s="117" customFormat="1" ht="15.75" thickBot="1">
      <c r="A7" s="408" t="s">
        <v>2551</v>
      </c>
      <c r="B7" s="409"/>
      <c r="C7" s="410">
        <f>'数据-取费表'!B2</f>
        <v>43462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6" t="s">
        <v>2552</v>
      </c>
      <c r="Q7" s="3198"/>
      <c r="R7" s="770" t="s">
        <v>17</v>
      </c>
      <c r="S7" s="771">
        <f t="shared" ref="S7:S14" si="0">F7</f>
        <v>0</v>
      </c>
      <c r="T7" s="770" t="s">
        <v>17</v>
      </c>
      <c r="U7" s="771">
        <f t="shared" ref="U7:U14" si="1">H7</f>
        <v>0</v>
      </c>
      <c r="V7" s="770" t="s">
        <v>17</v>
      </c>
      <c r="W7" s="771">
        <f t="shared" ref="W7:W14" si="2">J7</f>
        <v>0</v>
      </c>
      <c r="X7" s="772"/>
      <c r="Y7" s="3196" t="s">
        <v>2552</v>
      </c>
      <c r="Z7" s="3197"/>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6" t="s">
        <v>2555</v>
      </c>
      <c r="Q8" s="3197"/>
      <c r="R8" s="770" t="s">
        <v>17</v>
      </c>
      <c r="S8" s="771">
        <f t="shared" si="0"/>
        <v>0</v>
      </c>
      <c r="T8" s="770" t="s">
        <v>17</v>
      </c>
      <c r="U8" s="771">
        <f t="shared" si="1"/>
        <v>0</v>
      </c>
      <c r="V8" s="770" t="s">
        <v>17</v>
      </c>
      <c r="W8" s="771">
        <f t="shared" si="2"/>
        <v>0</v>
      </c>
      <c r="X8" s="772"/>
      <c r="Y8" s="3196" t="s">
        <v>2555</v>
      </c>
      <c r="Z8" s="3197"/>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7" t="s">
        <v>2558</v>
      </c>
      <c r="Q9" s="1798" t="str">
        <f t="shared" ref="Q9:Q14" si="6">B9</f>
        <v>用途</v>
      </c>
      <c r="R9" s="770" t="s">
        <v>17</v>
      </c>
      <c r="S9" s="771">
        <f t="shared" si="0"/>
        <v>100</v>
      </c>
      <c r="T9" s="770" t="s">
        <v>17</v>
      </c>
      <c r="U9" s="771">
        <f t="shared" si="1"/>
        <v>100</v>
      </c>
      <c r="V9" s="770" t="s">
        <v>17</v>
      </c>
      <c r="W9" s="771">
        <f t="shared" si="2"/>
        <v>100</v>
      </c>
      <c r="X9" s="772"/>
      <c r="Y9" s="301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7"/>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9" t="s">
        <v>2563</v>
      </c>
      <c r="Q14" s="1813" t="str">
        <f t="shared" si="6"/>
        <v>交通便捷度</v>
      </c>
      <c r="R14" s="774" t="s">
        <v>17</v>
      </c>
      <c r="S14" s="775">
        <f t="shared" si="0"/>
        <v>100</v>
      </c>
      <c r="T14" s="774" t="s">
        <v>17</v>
      </c>
      <c r="U14" s="775">
        <f t="shared" si="1"/>
        <v>100</v>
      </c>
      <c r="V14" s="774" t="s">
        <v>17</v>
      </c>
      <c r="W14" s="775">
        <f t="shared" si="2"/>
        <v>100</v>
      </c>
      <c r="X14" s="1816"/>
      <c r="Y14" s="3169"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0"/>
      <c r="Q15" s="1813"/>
      <c r="R15" s="774"/>
      <c r="S15" s="775"/>
      <c r="T15" s="774"/>
      <c r="U15" s="775"/>
      <c r="V15" s="774"/>
      <c r="W15" s="775"/>
      <c r="X15" s="1816"/>
      <c r="Y15" s="3170"/>
      <c r="Z15" s="1817"/>
      <c r="AA15" s="1814">
        <v>1</v>
      </c>
      <c r="AB15" s="1814">
        <v>1</v>
      </c>
      <c r="AC15" s="1814">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0"/>
      <c r="Q16" s="1813" t="str">
        <f>B16</f>
        <v>公共配套设施</v>
      </c>
      <c r="R16" s="774" t="s">
        <v>17</v>
      </c>
      <c r="S16" s="775">
        <f>F16</f>
        <v>100</v>
      </c>
      <c r="T16" s="774" t="s">
        <v>17</v>
      </c>
      <c r="U16" s="775">
        <f>H16</f>
        <v>100</v>
      </c>
      <c r="V16" s="774" t="s">
        <v>17</v>
      </c>
      <c r="W16" s="775">
        <f>J16</f>
        <v>100</v>
      </c>
      <c r="X16" s="1816"/>
      <c r="Y16" s="3170"/>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70"/>
      <c r="Q17" s="1813"/>
      <c r="R17" s="774"/>
      <c r="S17" s="775"/>
      <c r="T17" s="774"/>
      <c r="U17" s="775"/>
      <c r="V17" s="774"/>
      <c r="W17" s="775"/>
      <c r="X17" s="1816"/>
      <c r="Y17" s="3170"/>
      <c r="Z17" s="1817"/>
      <c r="AA17" s="1814">
        <v>1</v>
      </c>
      <c r="AB17" s="1814">
        <v>1</v>
      </c>
      <c r="AC17" s="1814">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0"/>
      <c r="Q18" s="1813" t="str">
        <f>B18</f>
        <v>基础设施水平</v>
      </c>
      <c r="R18" s="774" t="s">
        <v>17</v>
      </c>
      <c r="S18" s="775">
        <f>F18</f>
        <v>100</v>
      </c>
      <c r="T18" s="774" t="s">
        <v>17</v>
      </c>
      <c r="U18" s="775">
        <f>H18</f>
        <v>100</v>
      </c>
      <c r="V18" s="774" t="s">
        <v>17</v>
      </c>
      <c r="W18" s="775">
        <f>J18</f>
        <v>100</v>
      </c>
      <c r="X18" s="1816"/>
      <c r="Y18" s="3170"/>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70"/>
      <c r="Q19" s="1813"/>
      <c r="R19" s="774"/>
      <c r="S19" s="775"/>
      <c r="T19" s="774"/>
      <c r="U19" s="775"/>
      <c r="V19" s="774"/>
      <c r="W19" s="775"/>
      <c r="X19" s="1816"/>
      <c r="Y19" s="3170"/>
      <c r="Z19" s="1817"/>
      <c r="AA19" s="1814">
        <v>1</v>
      </c>
      <c r="AB19" s="1814">
        <v>1</v>
      </c>
      <c r="AC19" s="1814">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0"/>
      <c r="Q20" s="1813" t="str">
        <f>B20</f>
        <v>自然及人文环境</v>
      </c>
      <c r="R20" s="774" t="s">
        <v>17</v>
      </c>
      <c r="S20" s="775">
        <f>F20</f>
        <v>100</v>
      </c>
      <c r="T20" s="774" t="s">
        <v>17</v>
      </c>
      <c r="U20" s="775">
        <f>H20</f>
        <v>100</v>
      </c>
      <c r="V20" s="774" t="s">
        <v>17</v>
      </c>
      <c r="W20" s="775">
        <f>J20</f>
        <v>100</v>
      </c>
      <c r="X20" s="1816"/>
      <c r="Y20" s="317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0"/>
      <c r="Q21" s="1813"/>
      <c r="R21" s="774"/>
      <c r="S21" s="775"/>
      <c r="T21" s="774"/>
      <c r="U21" s="775"/>
      <c r="V21" s="774"/>
      <c r="W21" s="775"/>
      <c r="X21" s="1816"/>
      <c r="Y21" s="3170"/>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0"/>
      <c r="Q22" s="1813" t="str">
        <f>B22</f>
        <v>楼层</v>
      </c>
      <c r="R22" s="774" t="s">
        <v>17</v>
      </c>
      <c r="S22" s="775">
        <f>F22</f>
        <v>100</v>
      </c>
      <c r="T22" s="774" t="s">
        <v>17</v>
      </c>
      <c r="U22" s="775">
        <f>H22</f>
        <v>100</v>
      </c>
      <c r="V22" s="774" t="s">
        <v>17</v>
      </c>
      <c r="W22" s="775">
        <f>J22</f>
        <v>100</v>
      </c>
      <c r="X22" s="1816"/>
      <c r="Y22" s="317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0"/>
      <c r="Q23" s="1813">
        <f>B23</f>
        <v>111</v>
      </c>
      <c r="R23" s="774" t="s">
        <v>17</v>
      </c>
      <c r="S23" s="775">
        <f>F23</f>
        <v>100</v>
      </c>
      <c r="T23" s="774" t="s">
        <v>17</v>
      </c>
      <c r="U23" s="775">
        <f>H23</f>
        <v>100</v>
      </c>
      <c r="V23" s="774" t="s">
        <v>17</v>
      </c>
      <c r="W23" s="775">
        <f>J23</f>
        <v>100</v>
      </c>
      <c r="X23" s="1816"/>
      <c r="Y23" s="317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0"/>
      <c r="Q24" s="1813">
        <f t="shared" ref="Q24:Q36" si="11">B24</f>
        <v>111</v>
      </c>
      <c r="R24" s="774" t="s">
        <v>17</v>
      </c>
      <c r="S24" s="775">
        <f>F24</f>
        <v>100</v>
      </c>
      <c r="T24" s="774" t="s">
        <v>17</v>
      </c>
      <c r="U24" s="775">
        <f>H24</f>
        <v>100</v>
      </c>
      <c r="V24" s="774" t="s">
        <v>17</v>
      </c>
      <c r="W24" s="775">
        <f>J24</f>
        <v>100</v>
      </c>
      <c r="X24" s="1816"/>
      <c r="Y24" s="317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0"/>
      <c r="Q25" s="1798">
        <f t="shared" si="11"/>
        <v>111</v>
      </c>
      <c r="R25" s="770" t="s">
        <v>17</v>
      </c>
      <c r="S25" s="771">
        <f>F25</f>
        <v>100</v>
      </c>
      <c r="T25" s="770" t="s">
        <v>17</v>
      </c>
      <c r="U25" s="771">
        <f>H25</f>
        <v>100</v>
      </c>
      <c r="V25" s="770" t="s">
        <v>17</v>
      </c>
      <c r="W25" s="771">
        <f>J25</f>
        <v>100</v>
      </c>
      <c r="X25" s="772"/>
      <c r="Y25" s="3170"/>
      <c r="Z25" s="55">
        <f>Q25</f>
        <v>111</v>
      </c>
      <c r="AA25" s="1814">
        <f>D25/F25</f>
        <v>1</v>
      </c>
      <c r="AB25" s="1814">
        <f>D25/H25</f>
        <v>1</v>
      </c>
      <c r="AC25" s="1814">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1"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2"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3" t="str">
        <f t="shared" si="11"/>
        <v>公共部分装修</v>
      </c>
      <c r="R28" s="774" t="s">
        <v>17</v>
      </c>
      <c r="S28" s="775">
        <f t="shared" si="12"/>
        <v>100</v>
      </c>
      <c r="T28" s="774" t="s">
        <v>17</v>
      </c>
      <c r="U28" s="775">
        <f t="shared" si="13"/>
        <v>100</v>
      </c>
      <c r="V28" s="774" t="s">
        <v>17</v>
      </c>
      <c r="W28" s="775">
        <f t="shared" si="14"/>
        <v>100</v>
      </c>
      <c r="X28" s="1816"/>
      <c r="Y28" s="3172"/>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3" t="str">
        <f t="shared" si="11"/>
        <v>成新率</v>
      </c>
      <c r="R29" s="774" t="s">
        <v>17</v>
      </c>
      <c r="S29" s="775" t="e">
        <f t="shared" si="12"/>
        <v>#N/A</v>
      </c>
      <c r="T29" s="774" t="s">
        <v>17</v>
      </c>
      <c r="U29" s="775" t="e">
        <f t="shared" si="13"/>
        <v>#N/A</v>
      </c>
      <c r="V29" s="774" t="s">
        <v>17</v>
      </c>
      <c r="W29" s="775" t="e">
        <f t="shared" si="14"/>
        <v>#N/A</v>
      </c>
      <c r="X29" s="1816"/>
      <c r="Y29" s="3172"/>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3" t="str">
        <f t="shared" si="11"/>
        <v>物业等级</v>
      </c>
      <c r="R30" s="774" t="s">
        <v>17</v>
      </c>
      <c r="S30" s="775">
        <f t="shared" si="12"/>
        <v>100</v>
      </c>
      <c r="T30" s="774" t="s">
        <v>17</v>
      </c>
      <c r="U30" s="775">
        <f t="shared" si="13"/>
        <v>100</v>
      </c>
      <c r="V30" s="774" t="s">
        <v>17</v>
      </c>
      <c r="W30" s="775">
        <f t="shared" si="14"/>
        <v>100</v>
      </c>
      <c r="X30" s="1816"/>
      <c r="Y30" s="3172"/>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8"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2568</v>
      </c>
      <c r="Q32" s="1813" t="str">
        <f t="shared" si="11"/>
        <v>车位类型</v>
      </c>
      <c r="R32" s="774" t="s">
        <v>17</v>
      </c>
      <c r="S32" s="775">
        <f t="shared" si="12"/>
        <v>100</v>
      </c>
      <c r="T32" s="774" t="s">
        <v>17</v>
      </c>
      <c r="U32" s="775">
        <f t="shared" si="13"/>
        <v>100</v>
      </c>
      <c r="V32" s="774" t="s">
        <v>17</v>
      </c>
      <c r="W32" s="775">
        <f t="shared" si="14"/>
        <v>100</v>
      </c>
      <c r="X32" s="1816"/>
      <c r="Y32" s="3172"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3" t="str">
        <f t="shared" si="11"/>
        <v>是否直接入户</v>
      </c>
      <c r="R33" s="774" t="s">
        <v>17</v>
      </c>
      <c r="S33" s="775">
        <f t="shared" si="12"/>
        <v>100</v>
      </c>
      <c r="T33" s="774" t="s">
        <v>17</v>
      </c>
      <c r="U33" s="775">
        <f t="shared" si="13"/>
        <v>100</v>
      </c>
      <c r="V33" s="774" t="s">
        <v>17</v>
      </c>
      <c r="W33" s="775">
        <f t="shared" si="14"/>
        <v>100</v>
      </c>
      <c r="X33" s="1816"/>
      <c r="Y33" s="31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3">
        <f t="shared" si="11"/>
        <v>111</v>
      </c>
      <c r="R36" s="774" t="s">
        <v>17</v>
      </c>
      <c r="S36" s="775">
        <f t="shared" si="12"/>
        <v>100</v>
      </c>
      <c r="T36" s="774" t="s">
        <v>17</v>
      </c>
      <c r="U36" s="775">
        <f t="shared" si="13"/>
        <v>100</v>
      </c>
      <c r="V36" s="774" t="s">
        <v>17</v>
      </c>
      <c r="W36" s="775">
        <f t="shared" si="14"/>
        <v>100</v>
      </c>
      <c r="X36" s="1816"/>
      <c r="Y36" s="3172"/>
      <c r="Z36" s="1817">
        <f t="shared" si="15"/>
        <v>111</v>
      </c>
      <c r="AA36" s="1814">
        <f t="shared" si="3"/>
        <v>1</v>
      </c>
      <c r="AB36" s="1814">
        <f t="shared" si="4"/>
        <v>1</v>
      </c>
      <c r="AC36" s="1814">
        <f t="shared" si="5"/>
        <v>1</v>
      </c>
    </row>
    <row r="37" spans="1:29" ht="15">
      <c r="A37" s="479" t="s">
        <v>2723</v>
      </c>
      <c r="B37" s="2698" t="s">
        <v>2724</v>
      </c>
      <c r="C37" s="1410" t="s">
        <v>1</v>
      </c>
      <c r="D37" s="1411"/>
      <c r="E37" s="1412"/>
      <c r="F37" s="1413"/>
      <c r="G37" s="1414"/>
      <c r="H37" s="1415"/>
      <c r="I37" s="1412"/>
      <c r="J37" s="1415"/>
      <c r="K37" s="619"/>
      <c r="L37" s="1146"/>
      <c r="M37" s="1147"/>
      <c r="N37" s="1134"/>
      <c r="O37" s="1147"/>
      <c r="P37" s="3167" t="str">
        <f>A37</f>
        <v>成交单价</v>
      </c>
      <c r="Q37" s="3167"/>
      <c r="R37" s="3231">
        <f>E37</f>
        <v>0</v>
      </c>
      <c r="S37" s="3231"/>
      <c r="T37" s="3231">
        <f>G37</f>
        <v>0</v>
      </c>
      <c r="U37" s="3231"/>
      <c r="V37" s="3231">
        <f>I37</f>
        <v>0</v>
      </c>
      <c r="W37" s="3231"/>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7" t="str">
        <f>A38</f>
        <v>比较价值（元/平方米）</v>
      </c>
      <c r="Q38" s="3167"/>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89"/>
      <c r="D2" s="1127" t="e">
        <f ca="1">SUMIF(INDIRECT("'"&amp;F2&amp;"'"&amp;"!A:A"),"承租人权益价值",INDIRECT("'"&amp;F2&amp;"'"&amp;"!c:c"))</f>
        <v>#REF!</v>
      </c>
      <c r="E2" s="2590" t="s">
        <v>2334</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33"/>
      <c r="M4" s="1134"/>
      <c r="N4" s="1134"/>
      <c r="O4" s="1134"/>
      <c r="P4" s="3180" t="s">
        <v>2654</v>
      </c>
      <c r="Q4" s="3181"/>
      <c r="R4" s="3186" t="s">
        <v>2650</v>
      </c>
      <c r="S4" s="3187"/>
      <c r="T4" s="3186" t="s">
        <v>2651</v>
      </c>
      <c r="U4" s="3187"/>
      <c r="V4" s="3173" t="s">
        <v>2652</v>
      </c>
      <c r="W4" s="3173"/>
      <c r="X4" s="1816"/>
      <c r="Y4" s="3186" t="s">
        <v>2654</v>
      </c>
      <c r="Z4" s="3187"/>
      <c r="AA4" s="3174" t="s">
        <v>2650</v>
      </c>
      <c r="AB4" s="3175" t="s">
        <v>2651</v>
      </c>
      <c r="AC4" s="3174" t="s">
        <v>2652</v>
      </c>
    </row>
    <row r="5" spans="1:29" ht="15">
      <c r="A5" s="404"/>
      <c r="B5" s="405"/>
      <c r="C5" s="3194" t="s">
        <v>2545</v>
      </c>
      <c r="D5" s="3195"/>
      <c r="E5" s="3201" t="s">
        <v>2546</v>
      </c>
      <c r="F5" s="3202"/>
      <c r="G5" s="3194" t="s">
        <v>2547</v>
      </c>
      <c r="H5" s="3195"/>
      <c r="I5" s="3194" t="s">
        <v>2548</v>
      </c>
      <c r="J5" s="3195"/>
      <c r="K5" s="610"/>
      <c r="L5" s="1133"/>
      <c r="M5" s="1134"/>
      <c r="N5" s="1134"/>
      <c r="O5" s="1134"/>
      <c r="P5" s="3182"/>
      <c r="Q5" s="3183"/>
      <c r="R5" s="3188"/>
      <c r="S5" s="3189"/>
      <c r="T5" s="3188"/>
      <c r="U5" s="3189"/>
      <c r="V5" s="3173"/>
      <c r="W5" s="3173"/>
      <c r="X5" s="1816"/>
      <c r="Y5" s="3188"/>
      <c r="Z5" s="3189"/>
      <c r="AA5" s="3175"/>
      <c r="AB5" s="3175"/>
      <c r="AC5" s="3175"/>
    </row>
    <row r="6" spans="1:29" ht="15.75" thickBot="1">
      <c r="A6" s="406"/>
      <c r="B6" s="407"/>
      <c r="C6" s="3192" t="s">
        <v>2549</v>
      </c>
      <c r="D6" s="3193"/>
      <c r="E6" s="3199" t="s">
        <v>2549</v>
      </c>
      <c r="F6" s="3200"/>
      <c r="G6" s="3192" t="s">
        <v>2549</v>
      </c>
      <c r="H6" s="3193"/>
      <c r="I6" s="3192" t="s">
        <v>2549</v>
      </c>
      <c r="J6" s="3193"/>
      <c r="K6" s="610" t="s">
        <v>2550</v>
      </c>
      <c r="L6" s="1133"/>
      <c r="M6" s="1134"/>
      <c r="N6" s="1134"/>
      <c r="O6" s="1134"/>
      <c r="P6" s="3184"/>
      <c r="Q6" s="3185"/>
      <c r="R6" s="3188"/>
      <c r="S6" s="3189"/>
      <c r="T6" s="3190"/>
      <c r="U6" s="3191"/>
      <c r="V6" s="3173"/>
      <c r="W6" s="3173"/>
      <c r="X6" s="1816"/>
      <c r="Y6" s="3190"/>
      <c r="Z6" s="3191"/>
      <c r="AA6" s="3176"/>
      <c r="AB6" s="3176"/>
      <c r="AC6" s="3176"/>
    </row>
    <row r="7" spans="1:29" s="117" customFormat="1" ht="15.75" thickBot="1">
      <c r="A7" s="408" t="s">
        <v>2551</v>
      </c>
      <c r="B7" s="409"/>
      <c r="C7" s="410">
        <f>'数据-取费表'!B2</f>
        <v>43462</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6" t="s">
        <v>2552</v>
      </c>
      <c r="Q7" s="3198"/>
      <c r="R7" s="770" t="s">
        <v>17</v>
      </c>
      <c r="S7" s="771">
        <f t="shared" ref="S7:S14" si="0">F7</f>
        <v>0</v>
      </c>
      <c r="T7" s="770" t="s">
        <v>17</v>
      </c>
      <c r="U7" s="771">
        <f t="shared" ref="U7:U14" si="1">H7</f>
        <v>0</v>
      </c>
      <c r="V7" s="770" t="s">
        <v>17</v>
      </c>
      <c r="W7" s="771">
        <f t="shared" ref="W7:W14" si="2">J7</f>
        <v>0</v>
      </c>
      <c r="X7" s="772"/>
      <c r="Y7" s="3196" t="s">
        <v>2552</v>
      </c>
      <c r="Z7" s="3197"/>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6" t="s">
        <v>2555</v>
      </c>
      <c r="Q8" s="3197"/>
      <c r="R8" s="770" t="s">
        <v>17</v>
      </c>
      <c r="S8" s="771">
        <f t="shared" si="0"/>
        <v>0</v>
      </c>
      <c r="T8" s="770" t="s">
        <v>17</v>
      </c>
      <c r="U8" s="771">
        <f t="shared" si="1"/>
        <v>0</v>
      </c>
      <c r="V8" s="770" t="s">
        <v>17</v>
      </c>
      <c r="W8" s="771">
        <f t="shared" si="2"/>
        <v>0</v>
      </c>
      <c r="X8" s="772"/>
      <c r="Y8" s="3196" t="s">
        <v>2555</v>
      </c>
      <c r="Z8" s="3197"/>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7" t="s">
        <v>2558</v>
      </c>
      <c r="Q9" s="1798" t="str">
        <f t="shared" ref="Q9:Q14" si="6">B9</f>
        <v>用途</v>
      </c>
      <c r="R9" s="770" t="s">
        <v>17</v>
      </c>
      <c r="S9" s="771">
        <f t="shared" si="0"/>
        <v>100</v>
      </c>
      <c r="T9" s="770" t="s">
        <v>17</v>
      </c>
      <c r="U9" s="771">
        <f t="shared" si="1"/>
        <v>100</v>
      </c>
      <c r="V9" s="770" t="s">
        <v>17</v>
      </c>
      <c r="W9" s="771">
        <f t="shared" si="2"/>
        <v>100</v>
      </c>
      <c r="X9" s="772"/>
      <c r="Y9" s="301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7"/>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7"/>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7"/>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9" t="s">
        <v>2563</v>
      </c>
      <c r="Q14" s="1813" t="str">
        <f t="shared" si="6"/>
        <v>交通便捷度</v>
      </c>
      <c r="R14" s="774" t="s">
        <v>17</v>
      </c>
      <c r="S14" s="775">
        <f t="shared" si="0"/>
        <v>100</v>
      </c>
      <c r="T14" s="774" t="s">
        <v>17</v>
      </c>
      <c r="U14" s="775">
        <f t="shared" si="1"/>
        <v>100</v>
      </c>
      <c r="V14" s="774" t="s">
        <v>17</v>
      </c>
      <c r="W14" s="775">
        <f t="shared" si="2"/>
        <v>100</v>
      </c>
      <c r="X14" s="1816"/>
      <c r="Y14" s="3169"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0"/>
      <c r="Q15" s="1813"/>
      <c r="R15" s="774"/>
      <c r="S15" s="775"/>
      <c r="T15" s="774"/>
      <c r="U15" s="775"/>
      <c r="V15" s="774"/>
      <c r="W15" s="775"/>
      <c r="X15" s="1816"/>
      <c r="Y15" s="3170"/>
      <c r="Z15" s="1817"/>
      <c r="AA15" s="1814">
        <v>1</v>
      </c>
      <c r="AB15" s="1814">
        <v>1</v>
      </c>
      <c r="AC15" s="1814">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0"/>
      <c r="Q16" s="1813" t="str">
        <f>B16</f>
        <v>公共配套设施</v>
      </c>
      <c r="R16" s="774" t="s">
        <v>17</v>
      </c>
      <c r="S16" s="775">
        <f>F16</f>
        <v>100</v>
      </c>
      <c r="T16" s="774" t="s">
        <v>17</v>
      </c>
      <c r="U16" s="775">
        <f>H16</f>
        <v>100</v>
      </c>
      <c r="V16" s="774" t="s">
        <v>17</v>
      </c>
      <c r="W16" s="775">
        <f>J16</f>
        <v>100</v>
      </c>
      <c r="X16" s="1816"/>
      <c r="Y16" s="3170"/>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70"/>
      <c r="Q17" s="1813"/>
      <c r="R17" s="774"/>
      <c r="S17" s="775"/>
      <c r="T17" s="774"/>
      <c r="U17" s="775"/>
      <c r="V17" s="774"/>
      <c r="W17" s="775"/>
      <c r="X17" s="1816"/>
      <c r="Y17" s="3170"/>
      <c r="Z17" s="1817"/>
      <c r="AA17" s="1814">
        <v>1</v>
      </c>
      <c r="AB17" s="1814">
        <v>1</v>
      </c>
      <c r="AC17" s="1814">
        <v>1</v>
      </c>
    </row>
    <row r="18" spans="1:29" ht="28.5">
      <c r="A18" s="428"/>
      <c r="B18" s="1387"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0"/>
      <c r="Q18" s="1813" t="str">
        <f>B18</f>
        <v>基础设施水平</v>
      </c>
      <c r="R18" s="774" t="s">
        <v>17</v>
      </c>
      <c r="S18" s="775">
        <f>F18</f>
        <v>100</v>
      </c>
      <c r="T18" s="774" t="s">
        <v>17</v>
      </c>
      <c r="U18" s="775">
        <f>H18</f>
        <v>100</v>
      </c>
      <c r="V18" s="774" t="s">
        <v>17</v>
      </c>
      <c r="W18" s="775">
        <f>J18</f>
        <v>100</v>
      </c>
      <c r="X18" s="1816"/>
      <c r="Y18" s="3170"/>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70"/>
      <c r="Q19" s="1813"/>
      <c r="R19" s="774"/>
      <c r="S19" s="775"/>
      <c r="T19" s="774"/>
      <c r="U19" s="775"/>
      <c r="V19" s="774"/>
      <c r="W19" s="775"/>
      <c r="X19" s="1816"/>
      <c r="Y19" s="3170"/>
      <c r="Z19" s="1817"/>
      <c r="AA19" s="1814">
        <v>1</v>
      </c>
      <c r="AB19" s="1814">
        <v>1</v>
      </c>
      <c r="AC19" s="1814">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0"/>
      <c r="Q20" s="1813" t="str">
        <f>B20</f>
        <v>自然及人文环境</v>
      </c>
      <c r="R20" s="774" t="s">
        <v>17</v>
      </c>
      <c r="S20" s="775">
        <f>F20</f>
        <v>100</v>
      </c>
      <c r="T20" s="774" t="s">
        <v>17</v>
      </c>
      <c r="U20" s="775">
        <f>H20</f>
        <v>100</v>
      </c>
      <c r="V20" s="774" t="s">
        <v>17</v>
      </c>
      <c r="W20" s="775">
        <f>J20</f>
        <v>100</v>
      </c>
      <c r="X20" s="1816"/>
      <c r="Y20" s="317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0"/>
      <c r="Q21" s="1813"/>
      <c r="R21" s="774"/>
      <c r="S21" s="775"/>
      <c r="T21" s="774"/>
      <c r="U21" s="775"/>
      <c r="V21" s="774"/>
      <c r="W21" s="775"/>
      <c r="X21" s="1816"/>
      <c r="Y21" s="3170"/>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0"/>
      <c r="Q22" s="1813" t="str">
        <f>B22</f>
        <v>楼层</v>
      </c>
      <c r="R22" s="774" t="s">
        <v>17</v>
      </c>
      <c r="S22" s="775">
        <f>F22</f>
        <v>100</v>
      </c>
      <c r="T22" s="774" t="s">
        <v>17</v>
      </c>
      <c r="U22" s="775">
        <f>H22</f>
        <v>100</v>
      </c>
      <c r="V22" s="774" t="s">
        <v>17</v>
      </c>
      <c r="W22" s="775">
        <f>J22</f>
        <v>100</v>
      </c>
      <c r="X22" s="1816"/>
      <c r="Y22" s="3170"/>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0"/>
      <c r="Q23" s="1813">
        <f>B23</f>
        <v>111</v>
      </c>
      <c r="R23" s="774" t="s">
        <v>17</v>
      </c>
      <c r="S23" s="775">
        <f>F23</f>
        <v>100</v>
      </c>
      <c r="T23" s="774" t="s">
        <v>17</v>
      </c>
      <c r="U23" s="775">
        <f>H23</f>
        <v>100</v>
      </c>
      <c r="V23" s="774" t="s">
        <v>17</v>
      </c>
      <c r="W23" s="775">
        <f>J23</f>
        <v>100</v>
      </c>
      <c r="X23" s="1816"/>
      <c r="Y23" s="3170"/>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0"/>
      <c r="Q24" s="1813">
        <f t="shared" ref="Q24:Q34" si="11">B24</f>
        <v>111</v>
      </c>
      <c r="R24" s="774" t="s">
        <v>17</v>
      </c>
      <c r="S24" s="775">
        <f>F24</f>
        <v>100</v>
      </c>
      <c r="T24" s="774" t="s">
        <v>17</v>
      </c>
      <c r="U24" s="775">
        <f>H24</f>
        <v>100</v>
      </c>
      <c r="V24" s="774" t="s">
        <v>17</v>
      </c>
      <c r="W24" s="775">
        <f>J24</f>
        <v>100</v>
      </c>
      <c r="X24" s="1816"/>
      <c r="Y24" s="3170"/>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70"/>
      <c r="Q25" s="1798">
        <f t="shared" si="11"/>
        <v>111</v>
      </c>
      <c r="R25" s="770" t="s">
        <v>17</v>
      </c>
      <c r="S25" s="771">
        <f>F25</f>
        <v>100</v>
      </c>
      <c r="T25" s="770" t="s">
        <v>17</v>
      </c>
      <c r="U25" s="771">
        <f>H25</f>
        <v>100</v>
      </c>
      <c r="V25" s="770" t="s">
        <v>17</v>
      </c>
      <c r="W25" s="771">
        <f>J25</f>
        <v>100</v>
      </c>
      <c r="X25" s="772"/>
      <c r="Y25" s="3170"/>
      <c r="Z25" s="55">
        <f>Q25</f>
        <v>111</v>
      </c>
      <c r="AA25" s="1814">
        <f>D25/F25</f>
        <v>1</v>
      </c>
      <c r="AB25" s="1814">
        <f>D25/H25</f>
        <v>1</v>
      </c>
      <c r="AC25" s="1814">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71"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2"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3" t="str">
        <f t="shared" si="11"/>
        <v>物业等级</v>
      </c>
      <c r="R28" s="774" t="s">
        <v>17</v>
      </c>
      <c r="S28" s="775">
        <f t="shared" si="12"/>
        <v>100</v>
      </c>
      <c r="T28" s="774" t="s">
        <v>17</v>
      </c>
      <c r="U28" s="775">
        <f t="shared" si="13"/>
        <v>100</v>
      </c>
      <c r="V28" s="774" t="s">
        <v>17</v>
      </c>
      <c r="W28" s="775">
        <f t="shared" si="14"/>
        <v>100</v>
      </c>
      <c r="X28" s="1816"/>
      <c r="Y28" s="3172"/>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3" t="str">
        <f t="shared" si="11"/>
        <v>有无电梯</v>
      </c>
      <c r="R29" s="774" t="s">
        <v>17</v>
      </c>
      <c r="S29" s="775">
        <f t="shared" si="12"/>
        <v>100</v>
      </c>
      <c r="T29" s="774" t="s">
        <v>17</v>
      </c>
      <c r="U29" s="775">
        <f t="shared" si="13"/>
        <v>100</v>
      </c>
      <c r="V29" s="774" t="s">
        <v>17</v>
      </c>
      <c r="W29" s="775">
        <f t="shared" si="14"/>
        <v>100</v>
      </c>
      <c r="X29" s="1816"/>
      <c r="Y29" s="3172"/>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3" t="str">
        <f t="shared" si="11"/>
        <v>建筑面积</v>
      </c>
      <c r="R30" s="774" t="s">
        <v>17</v>
      </c>
      <c r="S30" s="775" t="e">
        <f t="shared" si="12"/>
        <v>#N/A</v>
      </c>
      <c r="T30" s="774" t="s">
        <v>17</v>
      </c>
      <c r="U30" s="775" t="e">
        <f t="shared" si="13"/>
        <v>#N/A</v>
      </c>
      <c r="V30" s="774" t="s">
        <v>17</v>
      </c>
      <c r="W30" s="775" t="e">
        <f t="shared" si="14"/>
        <v>#N/A</v>
      </c>
      <c r="X30" s="1816"/>
      <c r="Y30" s="3172"/>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8"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2568</v>
      </c>
      <c r="Q32" s="1813">
        <f t="shared" si="11"/>
        <v>111</v>
      </c>
      <c r="R32" s="774" t="s">
        <v>17</v>
      </c>
      <c r="S32" s="775">
        <f t="shared" si="12"/>
        <v>100</v>
      </c>
      <c r="T32" s="774" t="s">
        <v>17</v>
      </c>
      <c r="U32" s="775">
        <f t="shared" si="13"/>
        <v>100</v>
      </c>
      <c r="V32" s="774" t="s">
        <v>17</v>
      </c>
      <c r="W32" s="775">
        <f t="shared" si="14"/>
        <v>100</v>
      </c>
      <c r="X32" s="1816"/>
      <c r="Y32" s="3172" t="s">
        <v>2568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3">
        <f t="shared" si="11"/>
        <v>111</v>
      </c>
      <c r="R33" s="774" t="s">
        <v>17</v>
      </c>
      <c r="S33" s="775">
        <f t="shared" si="12"/>
        <v>100</v>
      </c>
      <c r="T33" s="774" t="s">
        <v>17</v>
      </c>
      <c r="U33" s="775">
        <f t="shared" si="13"/>
        <v>100</v>
      </c>
      <c r="V33" s="774" t="s">
        <v>17</v>
      </c>
      <c r="W33" s="775">
        <f t="shared" si="14"/>
        <v>100</v>
      </c>
      <c r="X33" s="1816"/>
      <c r="Y33" s="317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67" t="str">
        <f>A35</f>
        <v>成交单价（元/平方米）</v>
      </c>
      <c r="Q35" s="3167"/>
      <c r="R35" s="3231">
        <f>E35</f>
        <v>0</v>
      </c>
      <c r="S35" s="3231"/>
      <c r="T35" s="3231">
        <f>G35</f>
        <v>0</v>
      </c>
      <c r="U35" s="3231"/>
      <c r="V35" s="3231">
        <f>I35</f>
        <v>0</v>
      </c>
      <c r="W35" s="3231"/>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67" t="str">
        <f>A36</f>
        <v>比较价值（元/平方米）</v>
      </c>
      <c r="Q36" s="3167"/>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4" t="s">
        <v>2649</v>
      </c>
      <c r="D4" s="3177"/>
      <c r="E4" s="3178" t="s">
        <v>2650</v>
      </c>
      <c r="F4" s="3179"/>
      <c r="G4" s="3164" t="s">
        <v>2651</v>
      </c>
      <c r="H4" s="3177"/>
      <c r="I4" s="3164" t="s">
        <v>2652</v>
      </c>
      <c r="J4" s="3177"/>
      <c r="K4" s="610" t="s">
        <v>2653</v>
      </c>
      <c r="L4" s="1133"/>
      <c r="M4" s="1134"/>
      <c r="N4" s="1134"/>
      <c r="O4" s="1134"/>
      <c r="P4" s="3180" t="s">
        <v>2654</v>
      </c>
      <c r="Q4" s="3181"/>
      <c r="R4" s="3186" t="s">
        <v>2650</v>
      </c>
      <c r="S4" s="3187"/>
      <c r="T4" s="3186" t="s">
        <v>2651</v>
      </c>
      <c r="U4" s="3187"/>
      <c r="V4" s="3173" t="s">
        <v>2652</v>
      </c>
      <c r="W4" s="3173"/>
      <c r="X4" s="1816"/>
      <c r="Y4" s="3186" t="s">
        <v>2654</v>
      </c>
      <c r="Z4" s="3187"/>
      <c r="AA4" s="3174" t="s">
        <v>2650</v>
      </c>
      <c r="AB4" s="3175" t="s">
        <v>2651</v>
      </c>
      <c r="AC4" s="3174" t="s">
        <v>2652</v>
      </c>
    </row>
    <row r="5" spans="1:29" ht="15">
      <c r="A5" s="404"/>
      <c r="B5" s="405"/>
      <c r="C5" s="3194" t="s">
        <v>2545</v>
      </c>
      <c r="D5" s="3195"/>
      <c r="E5" s="3201" t="s">
        <v>2546</v>
      </c>
      <c r="F5" s="3202"/>
      <c r="G5" s="3194" t="s">
        <v>2547</v>
      </c>
      <c r="H5" s="3195"/>
      <c r="I5" s="3194" t="s">
        <v>2548</v>
      </c>
      <c r="J5" s="3195"/>
      <c r="K5" s="610"/>
      <c r="L5" s="1133"/>
      <c r="M5" s="1134"/>
      <c r="N5" s="1134"/>
      <c r="O5" s="1134"/>
      <c r="P5" s="3182"/>
      <c r="Q5" s="3183"/>
      <c r="R5" s="3188"/>
      <c r="S5" s="3189"/>
      <c r="T5" s="3188"/>
      <c r="U5" s="3189"/>
      <c r="V5" s="3173"/>
      <c r="W5" s="3173"/>
      <c r="X5" s="1816"/>
      <c r="Y5" s="3188"/>
      <c r="Z5" s="3189"/>
      <c r="AA5" s="3175"/>
      <c r="AB5" s="3175"/>
      <c r="AC5" s="3175"/>
    </row>
    <row r="6" spans="1:29" ht="15.75" thickBot="1">
      <c r="A6" s="406"/>
      <c r="B6" s="407"/>
      <c r="C6" s="3253" t="s">
        <v>2800</v>
      </c>
      <c r="D6" s="3254"/>
      <c r="E6" s="3255" t="s">
        <v>2800</v>
      </c>
      <c r="F6" s="3256"/>
      <c r="G6" s="3253" t="s">
        <v>2800</v>
      </c>
      <c r="H6" s="3254"/>
      <c r="I6" s="3253" t="s">
        <v>2800</v>
      </c>
      <c r="J6" s="3254"/>
      <c r="K6" s="610" t="s">
        <v>2550</v>
      </c>
      <c r="L6" s="1133"/>
      <c r="M6" s="1134"/>
      <c r="N6" s="1134"/>
      <c r="O6" s="1134"/>
      <c r="P6" s="3184"/>
      <c r="Q6" s="3185"/>
      <c r="R6" s="3188"/>
      <c r="S6" s="3189"/>
      <c r="T6" s="3190"/>
      <c r="U6" s="3191"/>
      <c r="V6" s="3173"/>
      <c r="W6" s="3173"/>
      <c r="X6" s="1816"/>
      <c r="Y6" s="3190"/>
      <c r="Z6" s="3191"/>
      <c r="AA6" s="3176"/>
      <c r="AB6" s="3176"/>
      <c r="AC6" s="3176"/>
    </row>
    <row r="7" spans="1:29" s="117" customFormat="1" ht="15.75" thickBot="1">
      <c r="A7" s="408" t="s">
        <v>2551</v>
      </c>
      <c r="B7" s="409"/>
      <c r="C7" s="410">
        <f>'数据-取费表'!B2</f>
        <v>43462</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6" t="s">
        <v>2552</v>
      </c>
      <c r="Q7" s="3198"/>
      <c r="R7" s="770" t="s">
        <v>17</v>
      </c>
      <c r="S7" s="771">
        <f t="shared" ref="S7:S15" si="0">F7</f>
        <v>0</v>
      </c>
      <c r="T7" s="770" t="s">
        <v>17</v>
      </c>
      <c r="U7" s="771">
        <f t="shared" ref="U7:U15" si="1">H7</f>
        <v>0</v>
      </c>
      <c r="V7" s="770" t="s">
        <v>17</v>
      </c>
      <c r="W7" s="771">
        <f t="shared" ref="W7:W15" si="2">J7</f>
        <v>0</v>
      </c>
      <c r="X7" s="772"/>
      <c r="Y7" s="3196" t="s">
        <v>2552</v>
      </c>
      <c r="Z7" s="3197"/>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6" t="s">
        <v>2555</v>
      </c>
      <c r="Q8" s="3197"/>
      <c r="R8" s="770" t="s">
        <v>17</v>
      </c>
      <c r="S8" s="771">
        <f t="shared" si="0"/>
        <v>0</v>
      </c>
      <c r="T8" s="770" t="s">
        <v>17</v>
      </c>
      <c r="U8" s="771">
        <f t="shared" si="1"/>
        <v>0</v>
      </c>
      <c r="V8" s="770" t="s">
        <v>17</v>
      </c>
      <c r="W8" s="771">
        <f t="shared" si="2"/>
        <v>0</v>
      </c>
      <c r="X8" s="772"/>
      <c r="Y8" s="3196" t="s">
        <v>2555</v>
      </c>
      <c r="Z8" s="3197"/>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67" t="s">
        <v>2558</v>
      </c>
      <c r="Q9" s="1798" t="str">
        <f t="shared" ref="Q9:Q15" si="6">B9</f>
        <v>用途</v>
      </c>
      <c r="R9" s="770" t="s">
        <v>17</v>
      </c>
      <c r="S9" s="771">
        <f t="shared" si="0"/>
        <v>100</v>
      </c>
      <c r="T9" s="770" t="s">
        <v>17</v>
      </c>
      <c r="U9" s="771">
        <f t="shared" si="1"/>
        <v>100</v>
      </c>
      <c r="V9" s="770" t="s">
        <v>17</v>
      </c>
      <c r="W9" s="771">
        <f t="shared" si="2"/>
        <v>100</v>
      </c>
      <c r="X9" s="772"/>
      <c r="Y9" s="301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67"/>
      <c r="Q10" s="1798"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7"/>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7"/>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7"/>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7"/>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9" t="s">
        <v>2563</v>
      </c>
      <c r="Q15" s="1813" t="str">
        <f t="shared" si="6"/>
        <v>产业集聚程度</v>
      </c>
      <c r="R15" s="774" t="s">
        <v>17</v>
      </c>
      <c r="S15" s="775">
        <f t="shared" si="0"/>
        <v>100</v>
      </c>
      <c r="T15" s="774" t="s">
        <v>17</v>
      </c>
      <c r="U15" s="775">
        <f t="shared" si="1"/>
        <v>100</v>
      </c>
      <c r="V15" s="774" t="s">
        <v>17</v>
      </c>
      <c r="W15" s="775">
        <f t="shared" si="2"/>
        <v>100</v>
      </c>
      <c r="X15" s="1816"/>
      <c r="Y15" s="3169" t="s">
        <v>2563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70"/>
      <c r="Q16" s="1813"/>
      <c r="R16" s="774"/>
      <c r="S16" s="775"/>
      <c r="T16" s="774"/>
      <c r="U16" s="775"/>
      <c r="V16" s="774"/>
      <c r="W16" s="775"/>
      <c r="X16" s="1816"/>
      <c r="Y16" s="3170"/>
      <c r="Z16" s="1817"/>
      <c r="AA16" s="1814">
        <v>1</v>
      </c>
      <c r="AB16" s="1814">
        <v>1</v>
      </c>
      <c r="AC16" s="1814">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0"/>
      <c r="Q17" s="1813" t="str">
        <f>B17</f>
        <v>交通便捷度</v>
      </c>
      <c r="R17" s="774" t="s">
        <v>17</v>
      </c>
      <c r="S17" s="775">
        <f>F17</f>
        <v>100</v>
      </c>
      <c r="T17" s="774" t="s">
        <v>17</v>
      </c>
      <c r="U17" s="775">
        <f>H17</f>
        <v>100</v>
      </c>
      <c r="V17" s="774" t="s">
        <v>17</v>
      </c>
      <c r="W17" s="775">
        <f>J17</f>
        <v>100</v>
      </c>
      <c r="X17" s="1816"/>
      <c r="Y17" s="3170"/>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70"/>
      <c r="Q18" s="1813"/>
      <c r="R18" s="774"/>
      <c r="S18" s="775"/>
      <c r="T18" s="774"/>
      <c r="U18" s="775"/>
      <c r="V18" s="774"/>
      <c r="W18" s="775"/>
      <c r="X18" s="1816"/>
      <c r="Y18" s="3170"/>
      <c r="Z18" s="1817"/>
      <c r="AA18" s="1814">
        <v>1</v>
      </c>
      <c r="AB18" s="1814">
        <v>1</v>
      </c>
      <c r="AC18" s="1814">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0"/>
      <c r="Q19" s="1813" t="str">
        <f t="shared" ref="Q19:Q33" si="8">B19</f>
        <v>区域土地利用方向</v>
      </c>
      <c r="R19" s="774" t="s">
        <v>17</v>
      </c>
      <c r="S19" s="775">
        <f>F19</f>
        <v>100</v>
      </c>
      <c r="T19" s="774" t="s">
        <v>17</v>
      </c>
      <c r="U19" s="775">
        <f>H19</f>
        <v>100</v>
      </c>
      <c r="V19" s="774" t="s">
        <v>17</v>
      </c>
      <c r="W19" s="775">
        <f>J19</f>
        <v>100</v>
      </c>
      <c r="X19" s="1816"/>
      <c r="Y19" s="3170"/>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70"/>
      <c r="Q20" s="1813"/>
      <c r="R20" s="774"/>
      <c r="S20" s="775"/>
      <c r="T20" s="774"/>
      <c r="U20" s="775"/>
      <c r="V20" s="774"/>
      <c r="W20" s="775"/>
      <c r="X20" s="1816"/>
      <c r="Y20" s="3170"/>
      <c r="Z20" s="1817"/>
      <c r="AA20" s="1814"/>
      <c r="AB20" s="1814"/>
      <c r="AC20" s="1814"/>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0"/>
      <c r="Q21" s="1813" t="str">
        <f t="shared" si="8"/>
        <v>环境状况</v>
      </c>
      <c r="R21" s="774" t="s">
        <v>17</v>
      </c>
      <c r="S21" s="775">
        <f>F21</f>
        <v>100</v>
      </c>
      <c r="T21" s="774" t="s">
        <v>17</v>
      </c>
      <c r="U21" s="775">
        <f>H21</f>
        <v>100</v>
      </c>
      <c r="V21" s="774" t="s">
        <v>17</v>
      </c>
      <c r="W21" s="775">
        <f>J21</f>
        <v>100</v>
      </c>
      <c r="X21" s="1816"/>
      <c r="Y21" s="3170"/>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70"/>
      <c r="Q22" s="1813"/>
      <c r="R22" s="774"/>
      <c r="S22" s="775"/>
      <c r="T22" s="774"/>
      <c r="U22" s="775"/>
      <c r="V22" s="774"/>
      <c r="W22" s="775"/>
      <c r="X22" s="1816"/>
      <c r="Y22" s="3170"/>
      <c r="Z22" s="1817"/>
      <c r="AA22" s="1814">
        <v>1</v>
      </c>
      <c r="AB22" s="1814">
        <v>1</v>
      </c>
      <c r="AC22" s="1814">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0"/>
      <c r="Q23" s="1798" t="str">
        <f t="shared" si="8"/>
        <v>公共配套设施</v>
      </c>
      <c r="R23" s="770" t="s">
        <v>17</v>
      </c>
      <c r="S23" s="771">
        <f>F23</f>
        <v>100</v>
      </c>
      <c r="T23" s="770" t="s">
        <v>17</v>
      </c>
      <c r="U23" s="771">
        <f>H23</f>
        <v>100</v>
      </c>
      <c r="V23" s="770" t="s">
        <v>17</v>
      </c>
      <c r="W23" s="771">
        <f>J23</f>
        <v>100</v>
      </c>
      <c r="X23" s="772"/>
      <c r="Y23" s="3170"/>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70"/>
      <c r="Q24" s="1798"/>
      <c r="R24" s="770"/>
      <c r="S24" s="771"/>
      <c r="T24" s="770"/>
      <c r="U24" s="771"/>
      <c r="V24" s="770"/>
      <c r="W24" s="771"/>
      <c r="X24" s="772"/>
      <c r="Y24" s="3170"/>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0"/>
      <c r="Q25" s="1798"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70"/>
      <c r="Q26" s="1798"/>
      <c r="R26" s="770"/>
      <c r="S26" s="771"/>
      <c r="T26" s="770"/>
      <c r="U26" s="771"/>
      <c r="V26" s="770"/>
      <c r="W26" s="771"/>
      <c r="X26" s="772"/>
      <c r="Y26" s="317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0"/>
      <c r="Z27" s="1817" t="str">
        <f t="shared" ref="Z27:Z40" si="13">Q27</f>
        <v>临街状况</v>
      </c>
      <c r="AA27" s="1814">
        <f t="shared" si="3"/>
        <v>1</v>
      </c>
      <c r="AB27" s="1814">
        <f t="shared" si="4"/>
        <v>1</v>
      </c>
      <c r="AC27" s="1814">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0"/>
      <c r="Q28" s="1813" t="str">
        <f t="shared" si="8"/>
        <v>毗邻道路的类型与等级</v>
      </c>
      <c r="R28" s="774" t="s">
        <v>17</v>
      </c>
      <c r="S28" s="775">
        <f t="shared" si="10"/>
        <v>100</v>
      </c>
      <c r="T28" s="774" t="s">
        <v>17</v>
      </c>
      <c r="U28" s="775">
        <f t="shared" si="11"/>
        <v>100</v>
      </c>
      <c r="V28" s="774" t="s">
        <v>17</v>
      </c>
      <c r="W28" s="775">
        <f t="shared" si="12"/>
        <v>100</v>
      </c>
      <c r="X28" s="1816"/>
      <c r="Y28" s="3170"/>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70"/>
      <c r="Q29" s="1813"/>
      <c r="R29" s="774"/>
      <c r="S29" s="775"/>
      <c r="T29" s="774"/>
      <c r="U29" s="775"/>
      <c r="V29" s="774"/>
      <c r="W29" s="775"/>
      <c r="X29" s="1816"/>
      <c r="Y29" s="3170"/>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0"/>
      <c r="Q30" s="1813" t="str">
        <f t="shared" si="8"/>
        <v>土地级别</v>
      </c>
      <c r="R30" s="774" t="s">
        <v>17</v>
      </c>
      <c r="S30" s="775">
        <f t="shared" si="10"/>
        <v>100</v>
      </c>
      <c r="T30" s="774" t="s">
        <v>17</v>
      </c>
      <c r="U30" s="775">
        <f t="shared" si="11"/>
        <v>100</v>
      </c>
      <c r="V30" s="774" t="s">
        <v>17</v>
      </c>
      <c r="W30" s="775">
        <f t="shared" si="12"/>
        <v>100</v>
      </c>
      <c r="X30" s="1816"/>
      <c r="Y30" s="3170"/>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0"/>
      <c r="Q31" s="1813">
        <f t="shared" si="8"/>
        <v>111</v>
      </c>
      <c r="R31" s="774" t="s">
        <v>17</v>
      </c>
      <c r="S31" s="775">
        <f t="shared" si="10"/>
        <v>100</v>
      </c>
      <c r="T31" s="774" t="s">
        <v>17</v>
      </c>
      <c r="U31" s="775">
        <f t="shared" si="11"/>
        <v>100</v>
      </c>
      <c r="V31" s="774" t="s">
        <v>17</v>
      </c>
      <c r="W31" s="775">
        <f t="shared" si="12"/>
        <v>100</v>
      </c>
      <c r="X31" s="1816"/>
      <c r="Y31" s="3170"/>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1" t="s">
        <v>2568</v>
      </c>
      <c r="Q32" s="1813">
        <f t="shared" si="8"/>
        <v>111</v>
      </c>
      <c r="R32" s="774" t="s">
        <v>17</v>
      </c>
      <c r="S32" s="775">
        <f t="shared" si="10"/>
        <v>100</v>
      </c>
      <c r="T32" s="774" t="s">
        <v>17</v>
      </c>
      <c r="U32" s="775">
        <f t="shared" si="11"/>
        <v>100</v>
      </c>
      <c r="V32" s="774" t="s">
        <v>17</v>
      </c>
      <c r="W32" s="775">
        <f t="shared" si="12"/>
        <v>100</v>
      </c>
      <c r="X32" s="1816"/>
      <c r="Y32" s="3172" t="s">
        <v>2568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3">
        <f t="shared" si="8"/>
        <v>111</v>
      </c>
      <c r="R33" s="777" t="s">
        <v>17</v>
      </c>
      <c r="S33" s="778">
        <f t="shared" si="10"/>
        <v>100</v>
      </c>
      <c r="T33" s="777" t="s">
        <v>17</v>
      </c>
      <c r="U33" s="778">
        <f t="shared" si="11"/>
        <v>100</v>
      </c>
      <c r="V33" s="777" t="s">
        <v>17</v>
      </c>
      <c r="W33" s="778">
        <f t="shared" si="12"/>
        <v>100</v>
      </c>
      <c r="X33" s="779"/>
      <c r="Y33" s="3172"/>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3" t="str">
        <f>B34</f>
        <v>宗地面积</v>
      </c>
      <c r="R34" s="774" t="s">
        <v>17</v>
      </c>
      <c r="S34" s="775" t="e">
        <f t="shared" si="10"/>
        <v>#N/A</v>
      </c>
      <c r="T34" s="774" t="s">
        <v>17</v>
      </c>
      <c r="U34" s="775" t="e">
        <f t="shared" si="11"/>
        <v>#N/A</v>
      </c>
      <c r="V34" s="774" t="s">
        <v>17</v>
      </c>
      <c r="W34" s="775" t="e">
        <f t="shared" si="12"/>
        <v>#N/A</v>
      </c>
      <c r="X34" s="1816"/>
      <c r="Y34" s="3172"/>
      <c r="Z34" s="1817" t="str">
        <f t="shared" si="13"/>
        <v>宗地面积</v>
      </c>
      <c r="AA34" s="1814" t="e">
        <f t="shared" si="3"/>
        <v>#N/A</v>
      </c>
      <c r="AB34" s="1814" t="e">
        <f t="shared" si="4"/>
        <v>#N/A</v>
      </c>
      <c r="AC34" s="1814"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72"/>
      <c r="Q35" s="1813" t="str">
        <f t="shared" ref="Q35:Q40" si="14">B35</f>
        <v>宗地形状</v>
      </c>
      <c r="R35" s="774" t="s">
        <v>17</v>
      </c>
      <c r="S35" s="775">
        <f t="shared" si="10"/>
        <v>100</v>
      </c>
      <c r="T35" s="774" t="s">
        <v>17</v>
      </c>
      <c r="U35" s="775">
        <f t="shared" si="11"/>
        <v>100</v>
      </c>
      <c r="V35" s="774" t="s">
        <v>17</v>
      </c>
      <c r="W35" s="775">
        <f t="shared" si="12"/>
        <v>100</v>
      </c>
      <c r="X35" s="1816"/>
      <c r="Y35" s="3172"/>
      <c r="Z35" s="1817" t="str">
        <f t="shared" si="13"/>
        <v>宗地形状</v>
      </c>
      <c r="AA35" s="1814">
        <f t="shared" si="3"/>
        <v>1</v>
      </c>
      <c r="AB35" s="1814">
        <f t="shared" si="4"/>
        <v>1</v>
      </c>
      <c r="AC35" s="1814">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72"/>
      <c r="Q36" s="1813"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72" t="s">
        <v>2568</v>
      </c>
      <c r="Q37" s="1813" t="str">
        <f t="shared" si="14"/>
        <v>工程地质条件</v>
      </c>
      <c r="R37" s="774" t="s">
        <v>17</v>
      </c>
      <c r="S37" s="775">
        <f t="shared" si="10"/>
        <v>100</v>
      </c>
      <c r="T37" s="774" t="s">
        <v>17</v>
      </c>
      <c r="U37" s="775">
        <f t="shared" si="11"/>
        <v>100</v>
      </c>
      <c r="V37" s="774" t="s">
        <v>17</v>
      </c>
      <c r="W37" s="775">
        <f t="shared" si="12"/>
        <v>100</v>
      </c>
      <c r="X37" s="1816"/>
      <c r="Y37" s="3172"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3">
        <f t="shared" si="14"/>
        <v>111</v>
      </c>
      <c r="R38" s="774" t="s">
        <v>17</v>
      </c>
      <c r="S38" s="775">
        <f t="shared" si="10"/>
        <v>100</v>
      </c>
      <c r="T38" s="774" t="s">
        <v>17</v>
      </c>
      <c r="U38" s="775">
        <f t="shared" si="11"/>
        <v>100</v>
      </c>
      <c r="V38" s="774" t="s">
        <v>17</v>
      </c>
      <c r="W38" s="775">
        <f t="shared" si="12"/>
        <v>100</v>
      </c>
      <c r="X38" s="1816"/>
      <c r="Y38" s="31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3">
        <f t="shared" si="14"/>
        <v>111</v>
      </c>
      <c r="R39" s="774" t="s">
        <v>17</v>
      </c>
      <c r="S39" s="775">
        <f t="shared" si="10"/>
        <v>100</v>
      </c>
      <c r="T39" s="774" t="s">
        <v>17</v>
      </c>
      <c r="U39" s="775">
        <f t="shared" si="11"/>
        <v>100</v>
      </c>
      <c r="V39" s="774" t="s">
        <v>17</v>
      </c>
      <c r="W39" s="775">
        <f t="shared" si="12"/>
        <v>100</v>
      </c>
      <c r="X39" s="1816"/>
      <c r="Y39" s="317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3">
        <f t="shared" si="14"/>
        <v>111</v>
      </c>
      <c r="R40" s="777" t="s">
        <v>17</v>
      </c>
      <c r="S40" s="778">
        <f t="shared" si="10"/>
        <v>100</v>
      </c>
      <c r="T40" s="777" t="s">
        <v>17</v>
      </c>
      <c r="U40" s="778">
        <f t="shared" si="11"/>
        <v>100</v>
      </c>
      <c r="V40" s="777" t="s">
        <v>17</v>
      </c>
      <c r="W40" s="778">
        <f t="shared" si="12"/>
        <v>100</v>
      </c>
      <c r="X40" s="779"/>
      <c r="Y40" s="3172"/>
      <c r="Z40" s="780">
        <f t="shared" si="13"/>
        <v>111</v>
      </c>
      <c r="AA40" s="1814">
        <f t="shared" si="3"/>
        <v>1</v>
      </c>
      <c r="AB40" s="1814">
        <f t="shared" si="4"/>
        <v>1</v>
      </c>
      <c r="AC40" s="1814">
        <f t="shared" si="5"/>
        <v>1</v>
      </c>
    </row>
    <row r="41" spans="1:29" ht="15">
      <c r="A41" s="479" t="s">
        <v>2723</v>
      </c>
      <c r="B41" s="2707" t="s">
        <v>2803</v>
      </c>
      <c r="C41" s="682" t="s">
        <v>1</v>
      </c>
      <c r="D41" s="481"/>
      <c r="E41" s="482"/>
      <c r="F41" s="483"/>
      <c r="G41" s="484"/>
      <c r="H41" s="485"/>
      <c r="I41" s="482"/>
      <c r="J41" s="485"/>
      <c r="K41" s="783"/>
      <c r="L41" s="1146"/>
      <c r="M41" s="1134"/>
      <c r="N41" s="1134"/>
      <c r="O41" s="1147"/>
      <c r="P41" s="3167" t="str">
        <f>A41</f>
        <v>成交单价</v>
      </c>
      <c r="Q41" s="3167"/>
      <c r="R41" s="3173">
        <f>E41</f>
        <v>0</v>
      </c>
      <c r="S41" s="3173"/>
      <c r="T41" s="3173">
        <f>G41</f>
        <v>0</v>
      </c>
      <c r="U41" s="3173"/>
      <c r="V41" s="3173">
        <f>I41</f>
        <v>0</v>
      </c>
      <c r="W41" s="3173"/>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67" t="str">
        <f>A42</f>
        <v>比较价值（元/平方米）</v>
      </c>
      <c r="Q42" s="3167"/>
      <c r="R42" s="3160" t="e">
        <f>ROUND(PRODUCT(R41,AA7:AA40),0)</f>
        <v>#DIV/0!</v>
      </c>
      <c r="S42" s="3160"/>
      <c r="T42" s="3160" t="e">
        <f>ROUND(PRODUCT(T41,AB7:AB40),0)</f>
        <v>#DIV/0!</v>
      </c>
      <c r="U42" s="3160"/>
      <c r="V42" s="3160" t="e">
        <f>ROUND(PRODUCT(V41,AC7:AC40),0)</f>
        <v>#DIV/0!</v>
      </c>
      <c r="W42" s="3160"/>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163" t="e">
        <f>ROUND(AVERAGE(R42:V42),0)</f>
        <v>#DIV/0!</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8" t="s">
        <v>2763</v>
      </c>
      <c r="D50" s="2709" t="s">
        <v>2764</v>
      </c>
      <c r="E50" s="686" t="s">
        <v>2765</v>
      </c>
      <c r="F50" s="687" t="s">
        <v>2766</v>
      </c>
      <c r="G50" s="3164" t="s">
        <v>2767</v>
      </c>
      <c r="H50" s="3165"/>
      <c r="I50" s="1817" t="s">
        <v>2804</v>
      </c>
      <c r="J50" s="1817" t="str">
        <f>项目基本情况!F35</f>
        <v>山东省</v>
      </c>
      <c r="K50" s="2711" t="s">
        <v>2769</v>
      </c>
      <c r="L50" s="1109"/>
      <c r="M50" s="1147"/>
      <c r="N50" s="1147"/>
      <c r="O50" s="1147"/>
    </row>
    <row r="51" spans="1:17" s="692" customFormat="1">
      <c r="A51" s="688" t="s">
        <v>2770</v>
      </c>
      <c r="B51" s="689" t="e">
        <f>C43</f>
        <v>#DIV/0!</v>
      </c>
      <c r="C51" s="690">
        <v>1</v>
      </c>
      <c r="D51" s="1166">
        <v>1</v>
      </c>
      <c r="E51" s="690">
        <f>'数据-汇总表'!E8+'数据-汇总表'!E9</f>
        <v>77782.010000000009</v>
      </c>
      <c r="F51" s="691" t="e">
        <f t="shared" ref="F51:F60" si="15">ROUND(B51*E51/10000,0)</f>
        <v>#DIV/0!</v>
      </c>
      <c r="G51" s="3166"/>
      <c r="H51" s="3167"/>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168"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168"/>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168"/>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168"/>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2"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29042.670000000002</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2"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3"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31518.76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4"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2807</v>
      </c>
      <c r="B1" s="241"/>
      <c r="C1" s="245" t="s">
        <v>2808</v>
      </c>
      <c r="D1" s="388">
        <f>SUM(D29:D30,D33:D39)</f>
        <v>0</v>
      </c>
      <c r="E1" s="2720"/>
      <c r="F1" s="2720"/>
      <c r="G1" s="2720"/>
      <c r="H1" s="2720"/>
      <c r="I1" s="2720"/>
      <c r="J1" s="2720"/>
      <c r="K1" s="1373"/>
      <c r="L1" s="2721" t="s">
        <v>2809</v>
      </c>
      <c r="M1" s="1083">
        <f>SUMPRODUCT((区片价!B5:B9=I2)*(区片价!C3:F3=E2)*(区片价!C5:F9))</f>
        <v>0</v>
      </c>
      <c r="N1" s="1086">
        <f>SUMPRODUCT((因素修正幅度!B5:B9=I2)*(因素修正幅度!C3:F3=E2)*(因素修正幅度!C5:F9))</f>
        <v>0</v>
      </c>
      <c r="O1" s="2722"/>
      <c r="P1" s="2722"/>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4" t="s">
        <v>2816</v>
      </c>
      <c r="D2" s="2725" t="s">
        <v>2817</v>
      </c>
      <c r="E2" s="2726"/>
      <c r="F2" s="2725" t="s">
        <v>2818</v>
      </c>
      <c r="G2" s="2727">
        <f>IF(E2="商业",项目基本情况!B37,IF(E2="办公",项目基本情况!C37,IF(E2="住宅",项目基本情况!D37,项目基本情况!E37)))</f>
        <v>0</v>
      </c>
      <c r="H2" s="2725" t="s">
        <v>2819</v>
      </c>
      <c r="I2" s="2727">
        <f>IF(E2="商业",项目基本情况!B38,IF(E2="办公",项目基本情况!C38,IF(E2="住宅",项目基本情况!D38,项目基本情况!E38)))</f>
        <v>0</v>
      </c>
      <c r="J2" s="2728"/>
      <c r="K2" s="1373"/>
      <c r="L2" s="2729"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4" t="s">
        <v>2822</v>
      </c>
      <c r="D3" s="2725" t="s">
        <v>2823</v>
      </c>
      <c r="E3" s="2730"/>
      <c r="F3" s="2731" t="s">
        <v>2824</v>
      </c>
      <c r="G3" s="916">
        <f>IF(F3="宗地容积率",'数据-汇总表'!I4,IF(F3="估价对象容积率",'数据-汇总表'!I6,'数据-汇总表'!I7))</f>
        <v>2.4900000000000002</v>
      </c>
      <c r="H3" s="198" t="s">
        <v>2825</v>
      </c>
      <c r="I3" s="947"/>
      <c r="J3" s="2728" t="s">
        <v>2826</v>
      </c>
      <c r="K3" s="1373"/>
      <c r="L3" s="2729"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29"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2829</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2831</v>
      </c>
      <c r="B6" s="2743" t="s">
        <v>2832</v>
      </c>
      <c r="C6" s="918">
        <f>SUMIF(L1:L12,G2,M1:M12)</f>
        <v>0</v>
      </c>
      <c r="D6" s="2744" t="s">
        <v>2833</v>
      </c>
      <c r="E6" s="2745"/>
      <c r="F6" s="2745"/>
      <c r="G6" s="2746"/>
      <c r="H6" s="2746"/>
      <c r="I6" s="2746"/>
      <c r="J6" s="2747"/>
      <c r="K6" s="1845"/>
      <c r="L6" s="2729"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64" t="str">
        <f>IF(E2="商业",IF(C8="不临58条商业街","",2),"")</f>
        <v/>
      </c>
      <c r="B7" s="2748" t="s">
        <v>2835</v>
      </c>
      <c r="C7" s="919" t="e">
        <f>IF(C8="不临58条商业街",1,ROUND(1+(1.6*E8+1.2*E9+0.8*E10+0.4*E11)*C9,4))</f>
        <v>#DIV/0!</v>
      </c>
      <c r="D7" s="2749" t="s">
        <v>2836</v>
      </c>
      <c r="E7" s="948"/>
      <c r="F7" s="2750"/>
      <c r="G7" s="2751"/>
      <c r="H7" s="2751"/>
      <c r="I7" s="2751"/>
      <c r="J7" s="2752"/>
      <c r="K7" s="1845"/>
      <c r="L7" s="2729"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2.4900000000000002</v>
      </c>
      <c r="AA7" s="1609"/>
      <c r="AB7" s="1609"/>
      <c r="AC7" s="1610"/>
      <c r="AD7" s="1611"/>
      <c r="AE7" s="1611"/>
      <c r="AF7" s="1611"/>
      <c r="AG7" s="1611"/>
      <c r="AH7" s="1611"/>
      <c r="AI7" s="1611"/>
      <c r="AJ7" s="1612"/>
    </row>
    <row r="8" spans="1:36" ht="15">
      <c r="A8" s="3265"/>
      <c r="B8" s="198" t="s">
        <v>2840</v>
      </c>
      <c r="C8" s="2753"/>
      <c r="D8" s="920" t="s">
        <v>139</v>
      </c>
      <c r="E8" s="921" t="e">
        <f>ROUND(C11/E7,4)</f>
        <v>#DIV/0!</v>
      </c>
      <c r="F8" s="2754" t="s">
        <v>2841</v>
      </c>
      <c r="G8" s="2755"/>
      <c r="H8" s="2755"/>
      <c r="I8" s="2755"/>
      <c r="J8" s="2756"/>
      <c r="K8" s="1373"/>
      <c r="L8" s="2729"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7" t="s">
        <v>2843</v>
      </c>
      <c r="X8" s="3258"/>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65"/>
      <c r="B9" s="198" t="s">
        <v>2856</v>
      </c>
      <c r="C9" s="922">
        <f>SUMIF(修正!C59:C119,C8,修正!E59:E119)</f>
        <v>0</v>
      </c>
      <c r="D9" s="200" t="s">
        <v>140</v>
      </c>
      <c r="E9" s="200" t="e">
        <f>ROUND(C11/E7,4)</f>
        <v>#DIV/0!</v>
      </c>
      <c r="F9" s="2754" t="s">
        <v>2857</v>
      </c>
      <c r="G9" s="2755"/>
      <c r="H9" s="2755"/>
      <c r="I9" s="2755"/>
      <c r="J9" s="2756"/>
      <c r="K9" s="1373"/>
      <c r="L9" s="2729"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9"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5"/>
      <c r="B10" s="198" t="s">
        <v>2861</v>
      </c>
      <c r="C10" s="200">
        <f>SUMIF(修正!C59:C119,C8,修正!F59:F119)</f>
        <v>0</v>
      </c>
      <c r="D10" s="200" t="s">
        <v>141</v>
      </c>
      <c r="E10" s="200" t="e">
        <f>ROUND(C11/E7,4)</f>
        <v>#DIV/0!</v>
      </c>
      <c r="F10" s="2754" t="s">
        <v>2862</v>
      </c>
      <c r="G10" s="2755"/>
      <c r="H10" s="2755"/>
      <c r="I10" s="2755"/>
      <c r="J10" s="2756"/>
      <c r="K10" s="1373"/>
      <c r="L10" s="2729"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5"/>
      <c r="B11" s="2757" t="s">
        <v>2864</v>
      </c>
      <c r="C11" s="923">
        <f>C10/4</f>
        <v>0</v>
      </c>
      <c r="D11" s="923" t="s">
        <v>142</v>
      </c>
      <c r="E11" s="923" t="e">
        <f>ROUND(C11/E7,4)</f>
        <v>#DIV/0!</v>
      </c>
      <c r="F11" s="2758" t="s">
        <v>2865</v>
      </c>
      <c r="G11" s="2759"/>
      <c r="H11" s="2759"/>
      <c r="I11" s="2759"/>
      <c r="J11" s="2760"/>
      <c r="K11" s="1373"/>
      <c r="L11" s="2729"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9" t="s">
        <v>2867</v>
      </c>
      <c r="X11" s="1617" t="s">
        <v>2868</v>
      </c>
      <c r="Y11" s="1618">
        <f>$G$3</f>
        <v>2.4900000000000002</v>
      </c>
      <c r="Z11" s="1618">
        <f t="shared" ref="Z11:AJ11" si="3">$G$3</f>
        <v>2.4900000000000002</v>
      </c>
      <c r="AA11" s="1618">
        <f t="shared" si="3"/>
        <v>2.4900000000000002</v>
      </c>
      <c r="AB11" s="1618">
        <f t="shared" si="3"/>
        <v>2.4900000000000002</v>
      </c>
      <c r="AC11" s="1618">
        <f t="shared" si="3"/>
        <v>2.4900000000000002</v>
      </c>
      <c r="AD11" s="1618">
        <f t="shared" si="3"/>
        <v>2.4900000000000002</v>
      </c>
      <c r="AE11" s="1618">
        <f t="shared" si="3"/>
        <v>2.4900000000000002</v>
      </c>
      <c r="AF11" s="1618">
        <f t="shared" si="3"/>
        <v>2.4900000000000002</v>
      </c>
      <c r="AG11" s="1618">
        <f t="shared" si="3"/>
        <v>2.4900000000000002</v>
      </c>
      <c r="AH11" s="1618">
        <f t="shared" si="3"/>
        <v>2.4900000000000002</v>
      </c>
      <c r="AI11" s="1618">
        <f t="shared" si="3"/>
        <v>2.4900000000000002</v>
      </c>
      <c r="AJ11" s="1618">
        <f t="shared" si="3"/>
        <v>2.4900000000000002</v>
      </c>
    </row>
    <row r="12" spans="1:36" ht="25.5" thickBot="1">
      <c r="A12" s="3264" t="s">
        <v>2869</v>
      </c>
      <c r="B12" s="2761" t="s">
        <v>2870</v>
      </c>
      <c r="C12" s="919">
        <f>ROUND(C15*D15*E15*F15*G15*H15*I15*J15,4)</f>
        <v>1</v>
      </c>
      <c r="D12" s="2762" t="s">
        <v>2871</v>
      </c>
      <c r="E12" s="2763"/>
      <c r="F12" s="2763"/>
      <c r="G12" s="2764"/>
      <c r="H12" s="2764"/>
      <c r="I12" s="2764"/>
      <c r="J12" s="2765"/>
      <c r="K12" s="1373"/>
      <c r="L12" s="2766"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9"/>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6"/>
      <c r="B13" s="2767" t="s">
        <v>2874</v>
      </c>
      <c r="C13" s="2768" t="s">
        <v>2875</v>
      </c>
      <c r="D13" s="1811" t="s">
        <v>2876</v>
      </c>
      <c r="E13" s="1811" t="s">
        <v>2877</v>
      </c>
      <c r="F13" s="30" t="s">
        <v>2878</v>
      </c>
      <c r="G13" s="2769" t="s">
        <v>2879</v>
      </c>
      <c r="H13" s="2769" t="s">
        <v>2879</v>
      </c>
      <c r="I13" s="2769" t="s">
        <v>2879</v>
      </c>
      <c r="J13" s="2770" t="s">
        <v>2879</v>
      </c>
      <c r="K13" s="1373"/>
      <c r="L13" s="1373"/>
      <c r="M13" s="1373"/>
      <c r="N13" s="1373"/>
      <c r="O13" s="1373"/>
      <c r="P13" s="1373"/>
      <c r="Q13" s="1373"/>
      <c r="R13" s="1605">
        <v>12</v>
      </c>
      <c r="S13" s="1606"/>
      <c r="T13" s="1605" t="e">
        <f t="shared" si="0"/>
        <v>#DIV/0!</v>
      </c>
      <c r="U13" s="1606"/>
      <c r="V13" s="1605" t="e">
        <f t="shared" si="1"/>
        <v>#DIV/0!</v>
      </c>
      <c r="W13" s="3259"/>
      <c r="X13" s="1619"/>
      <c r="Y13" s="1616">
        <f>(-0.163*(Y12^2)-0.59*Y12+7617)*(10^(-4))/Y11</f>
        <v>0.30590361445783132</v>
      </c>
      <c r="Z13" s="1616">
        <f t="shared" ref="Z13:AJ13" si="5">(-0.163*(Z12^2)-0.59*Z12+7617)*(10^(-4))/Z11</f>
        <v>0.30590361445783132</v>
      </c>
      <c r="AA13" s="1616">
        <f t="shared" si="5"/>
        <v>0.30590361445783132</v>
      </c>
      <c r="AB13" s="1616">
        <f t="shared" si="5"/>
        <v>0.30590361445783132</v>
      </c>
      <c r="AC13" s="1616">
        <f t="shared" si="5"/>
        <v>0.30590361445783132</v>
      </c>
      <c r="AD13" s="1616">
        <f t="shared" si="5"/>
        <v>0.30590361445783132</v>
      </c>
      <c r="AE13" s="1616">
        <f t="shared" si="5"/>
        <v>0.30590361445783132</v>
      </c>
      <c r="AF13" s="1616">
        <f t="shared" si="5"/>
        <v>0.30590361445783132</v>
      </c>
      <c r="AG13" s="1616">
        <f t="shared" si="5"/>
        <v>0.30590361445783132</v>
      </c>
      <c r="AH13" s="1616">
        <f t="shared" si="5"/>
        <v>0.30590361445783132</v>
      </c>
      <c r="AI13" s="1616">
        <f t="shared" si="5"/>
        <v>0.30590361445783132</v>
      </c>
      <c r="AJ13" s="1616">
        <f t="shared" si="5"/>
        <v>0.30590361445783132</v>
      </c>
    </row>
    <row r="14" spans="1:36" ht="15">
      <c r="A14" s="3266"/>
      <c r="B14" s="2771"/>
      <c r="C14" s="2772"/>
      <c r="D14" s="2773"/>
      <c r="E14" s="2773"/>
      <c r="F14" s="2774"/>
      <c r="G14" s="2775" t="s">
        <v>2880</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7"/>
      <c r="B15" s="2779" t="s">
        <v>2881</v>
      </c>
      <c r="C15" s="229">
        <f>IF(C14="有",1.1,1)</f>
        <v>1</v>
      </c>
      <c r="D15" s="229">
        <f>IF(D14="有",1.1,1)</f>
        <v>1</v>
      </c>
      <c r="E15" s="229">
        <f>IF(E14="有",1.1,1)</f>
        <v>1</v>
      </c>
      <c r="F15" s="229">
        <f>IF(F14="500米范围内",1.2,IF(F14="500-1000米",1.1,1))</f>
        <v>1</v>
      </c>
      <c r="G15" s="949">
        <v>1</v>
      </c>
      <c r="H15" s="949">
        <v>1</v>
      </c>
      <c r="I15" s="949">
        <v>1</v>
      </c>
      <c r="J15" s="950">
        <v>1</v>
      </c>
      <c r="K15" s="1373"/>
      <c r="L15" s="2780" t="s">
        <v>2817</v>
      </c>
      <c r="M15" s="920" t="s">
        <v>2882</v>
      </c>
      <c r="N15" s="920" t="s">
        <v>2883</v>
      </c>
      <c r="O15" s="920" t="s">
        <v>2884</v>
      </c>
      <c r="P15" s="2781"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4" t="s">
        <v>2886</v>
      </c>
      <c r="B16" s="2748" t="s">
        <v>2887</v>
      </c>
      <c r="C16" s="1804" t="e">
        <f>ROUND(SUM(G17:J17)/C17,0)</f>
        <v>#DIV/0!</v>
      </c>
      <c r="D16" s="2782" t="s">
        <v>2888</v>
      </c>
      <c r="E16" s="2783"/>
      <c r="F16" s="2784"/>
      <c r="G16" s="2785"/>
      <c r="H16" s="2785"/>
      <c r="I16" s="2785"/>
      <c r="J16" s="2786"/>
      <c r="K16" s="1373"/>
      <c r="L16" s="2787"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5"/>
      <c r="B17" s="2788" t="s">
        <v>2890</v>
      </c>
      <c r="C17" s="924">
        <f>SUMPRODUCT((修正!A2:A5=E2)*(修正!B1:M1=G2)*(修正!B2:M5))</f>
        <v>0</v>
      </c>
      <c r="D17" s="2789"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2894</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2895</v>
      </c>
      <c r="C19" s="927" t="e">
        <f>ROUND(IF(H19="按公示增长率计算",SUMPRODUCT((地价!A3:A24=YEAR(G19)&amp;"-"&amp;ROUNDUP(MONTH(G19)/3,0))*(地价!X2:AB2=E2)*(地价!X3:AB24)),IF(H19="地价指数",M20/M19,(1+I19)^O19)),4)</f>
        <v>#DIV/0!</v>
      </c>
      <c r="D19" s="2800" t="s">
        <v>2896</v>
      </c>
      <c r="E19" s="928">
        <v>41640</v>
      </c>
      <c r="F19" s="2800" t="s">
        <v>2897</v>
      </c>
      <c r="G19" s="929">
        <f>'数据-取费表'!B2</f>
        <v>43462</v>
      </c>
      <c r="H19" s="2801" t="s">
        <v>2898</v>
      </c>
      <c r="I19" s="930" t="str">
        <f>IF(H19="季度增幅（自定义）",SUMIF(N21:N24,E2,O21:O24),"")</f>
        <v/>
      </c>
      <c r="J19" s="2798"/>
      <c r="K19" s="1380"/>
      <c r="L19" s="2802" t="s">
        <v>2899</v>
      </c>
      <c r="M19" s="1737">
        <f>ROUND(SUMIF(地价!B2:F2,E2,地价!B24:F24),0)</f>
        <v>0</v>
      </c>
      <c r="N19" s="2803"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2901</v>
      </c>
      <c r="C20" s="932" t="e">
        <f>ROUND(POWER(1+G20,J20-I20)*(POWER(1+G20,I20)-1)/(POWER(1+G20,J20)-1),4)</f>
        <v>#DIV/0!</v>
      </c>
      <c r="D20" s="2809" t="s">
        <v>2902</v>
      </c>
      <c r="E20" s="1771">
        <f ca="1">存贷款利率!D4/100</f>
        <v>4.3499999999999997E-2</v>
      </c>
      <c r="F20" s="2809" t="s">
        <v>2893</v>
      </c>
      <c r="G20" s="937">
        <f>SUMIF(M15:P15,E2,M17:P17)</f>
        <v>0</v>
      </c>
      <c r="H20" s="2809" t="s">
        <v>2903</v>
      </c>
      <c r="I20" s="938" t="e">
        <f>SUMIF('数据-取费表'!C6:C15,E2,'数据-取费表'!F6:F15)/COUNTIF('数据-取费表'!C6:C15,E2)</f>
        <v>#DIV/0!</v>
      </c>
      <c r="J20" s="939">
        <f>IF(E2="住宅",70,IF(E2="商业",40,50))</f>
        <v>50</v>
      </c>
      <c r="K20" s="1380"/>
      <c r="L20" s="2810" t="s">
        <v>2904</v>
      </c>
      <c r="M20" s="1738">
        <f>ROUND(SUMPRODUCT((地价!A4:A24=YEAR(G19)&amp;"-"&amp;ROUNDUP(MONTH(G19)/3,0))*(地价!B2:F2=E2)*(地价!B4:F24)),0)</f>
        <v>0</v>
      </c>
      <c r="N20" s="2811" t="s">
        <v>2905</v>
      </c>
      <c r="O20" s="2812" t="s">
        <v>2906</v>
      </c>
      <c r="P20" s="2813" t="s">
        <v>2907</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2908</v>
      </c>
      <c r="C21" s="940">
        <f>IF(B21="容积率修正",IF(G3&lt;=10,D22,J22),C23)</f>
        <v>0</v>
      </c>
      <c r="D21" s="2816"/>
      <c r="E21" s="2816"/>
      <c r="F21" s="2816"/>
      <c r="G21" s="2816"/>
      <c r="H21" s="2816"/>
      <c r="I21" s="2816"/>
      <c r="J21" s="2817"/>
      <c r="K21" s="1380"/>
      <c r="N21" s="2818" t="s">
        <v>2909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2910</v>
      </c>
      <c r="B22" s="2819" t="s">
        <v>2911</v>
      </c>
      <c r="C22" s="1813" t="s">
        <v>2912</v>
      </c>
      <c r="D22" s="1813">
        <f>IF(E22=G22,F22,IF(G3&lt;=10,ROUND(F22+(H22-F22)*(G3-E22)/(G22-E22),4),"——"))</f>
        <v>0</v>
      </c>
      <c r="E22" s="916">
        <f>ROUNDDOWN(G3,1)</f>
        <v>2.4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2913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2914</v>
      </c>
      <c r="B23" s="2820" t="s">
        <v>2915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2917</v>
      </c>
      <c r="C24" s="927">
        <f>SUMIF(A45:A88,E2,B45:B88)</f>
        <v>0</v>
      </c>
      <c r="D24" s="2796"/>
      <c r="E24" s="2826"/>
      <c r="F24" s="2826"/>
      <c r="G24" s="2826"/>
      <c r="H24" s="2826"/>
      <c r="I24" s="2826"/>
      <c r="J24" s="2827"/>
      <c r="K24" s="1380"/>
      <c r="N24" s="2828" t="s">
        <v>2918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2919</v>
      </c>
      <c r="C25" s="933"/>
      <c r="D25" s="2751"/>
      <c r="E25" s="2751"/>
      <c r="F25" s="2830"/>
      <c r="G25" s="2751"/>
      <c r="H25" s="2751"/>
      <c r="I25" s="2751"/>
      <c r="J25" s="2752"/>
      <c r="K25" s="1373"/>
      <c r="N25" s="2831" t="s">
        <v>2920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2"/>
      <c r="B26" s="2819" t="s">
        <v>2921</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2922</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2923</v>
      </c>
      <c r="C28" s="2843" t="s">
        <v>2924</v>
      </c>
      <c r="D28" s="2843" t="s">
        <v>2925</v>
      </c>
      <c r="E28" s="2844" t="s">
        <v>2926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2927</v>
      </c>
      <c r="C29" s="206" t="e">
        <f>ROUND(C5*C18*C19*C20*C21*C24,0)</f>
        <v>#DIV/0!</v>
      </c>
      <c r="D29" s="2848"/>
      <c r="E29" s="945" t="e">
        <f>ROUND(C29*D29/10000,0)</f>
        <v>#DIV/0!</v>
      </c>
      <c r="F29" s="2849" t="s">
        <v>2928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2929</v>
      </c>
      <c r="C30" s="229" t="e">
        <f>ROUND(IF(E2="工业",C29*M39,C29*M38),0)</f>
        <v>#DIV/0!</v>
      </c>
      <c r="D30" s="2854"/>
      <c r="E30" s="945" t="e">
        <f>ROUND(C30*D30/10000,0)</f>
        <v>#DIV/0!</v>
      </c>
      <c r="F30" s="2855" t="s">
        <v>2930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2924</v>
      </c>
      <c r="D32" s="498" t="s">
        <v>2925</v>
      </c>
      <c r="E32" s="498" t="s">
        <v>2926</v>
      </c>
      <c r="F32" s="388" t="s">
        <v>2934</v>
      </c>
      <c r="G32" s="2863" t="s">
        <v>2924</v>
      </c>
      <c r="H32" s="2863" t="s">
        <v>2925</v>
      </c>
      <c r="I32" s="2863"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74" t="s">
        <v>2935</v>
      </c>
      <c r="B33" s="2864" t="s">
        <v>2936</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68" t="s">
        <v>2937</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68" t="s">
        <v>2938</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76"/>
      <c r="B36" s="2768" t="s">
        <v>2939</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2940</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2941</v>
      </c>
      <c r="M37" s="2868"/>
      <c r="N37" s="1373"/>
      <c r="O37" s="1373"/>
      <c r="P37" s="1373"/>
      <c r="Q37" s="1373"/>
      <c r="R37" s="1373"/>
      <c r="S37" s="1373"/>
      <c r="T37" s="1373"/>
      <c r="U37" s="1373"/>
      <c r="V37" s="1373"/>
      <c r="W37" s="1373"/>
      <c r="X37" s="1373"/>
      <c r="Y37" s="1373"/>
      <c r="Z37" s="1374"/>
    </row>
    <row r="38" spans="1:37">
      <c r="A38" s="2866"/>
      <c r="B38" s="2768" t="s">
        <v>2942</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2943</v>
      </c>
      <c r="M38" s="2869">
        <v>0.25</v>
      </c>
      <c r="N38" s="1373"/>
      <c r="O38" s="1373"/>
      <c r="P38" s="1373"/>
      <c r="Q38" s="1373"/>
      <c r="R38" s="1373"/>
      <c r="S38" s="1373"/>
      <c r="T38" s="1373"/>
      <c r="U38" s="1373"/>
      <c r="V38" s="1373"/>
      <c r="W38" s="1373"/>
      <c r="X38" s="1373"/>
      <c r="Y38" s="1373"/>
      <c r="Z38" s="1374"/>
    </row>
    <row r="39" spans="1:37" ht="13.5" thickBot="1">
      <c r="A39" s="2852"/>
      <c r="B39" s="2870" t="s">
        <v>2944</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2885</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2947</v>
      </c>
      <c r="B47" s="1812" t="s">
        <v>2948</v>
      </c>
      <c r="C47" s="1812" t="s">
        <v>2949</v>
      </c>
      <c r="D47" s="1812" t="s">
        <v>2950</v>
      </c>
      <c r="E47" s="819" t="s">
        <v>2951</v>
      </c>
      <c r="F47" s="2882" t="s">
        <v>2952</v>
      </c>
      <c r="G47" s="1812" t="s">
        <v>754</v>
      </c>
      <c r="H47" s="2883" t="s">
        <v>2953</v>
      </c>
      <c r="I47" s="1812" t="s">
        <v>2954</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1" t="s">
        <v>2955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2958</v>
      </c>
      <c r="B51" s="2886" t="s">
        <v>2959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2960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2961</v>
      </c>
      <c r="B53" s="2887" t="s">
        <v>2962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2963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2947</v>
      </c>
      <c r="B58" s="1812"/>
      <c r="C58" s="1812" t="s">
        <v>2949</v>
      </c>
      <c r="D58" s="1812" t="s">
        <v>2950</v>
      </c>
      <c r="E58" s="819" t="s">
        <v>2951</v>
      </c>
      <c r="F58" s="2882" t="s">
        <v>2967</v>
      </c>
      <c r="G58" s="1812" t="s">
        <v>754</v>
      </c>
      <c r="H58" s="2883" t="s">
        <v>2953</v>
      </c>
      <c r="I58" s="1812" t="s">
        <v>2954</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1" t="s">
        <v>2968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2958</v>
      </c>
      <c r="B62" s="2886" t="s">
        <v>2959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2960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2961</v>
      </c>
      <c r="B64" s="2887" t="s">
        <v>2962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2963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2947</v>
      </c>
      <c r="B69" s="1812"/>
      <c r="C69" s="1812" t="s">
        <v>2949</v>
      </c>
      <c r="D69" s="1812" t="s">
        <v>2950</v>
      </c>
      <c r="E69" s="819" t="s">
        <v>2951</v>
      </c>
      <c r="F69" s="2882" t="s">
        <v>2967</v>
      </c>
      <c r="G69" s="1812" t="s">
        <v>754</v>
      </c>
      <c r="H69" s="2883" t="s">
        <v>2953</v>
      </c>
      <c r="I69" s="1812" t="s">
        <v>2954</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1" t="s">
        <v>2970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2971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2963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2961</v>
      </c>
      <c r="B76" s="2887" t="s">
        <v>2962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2972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2973</v>
      </c>
      <c r="B79" s="2878">
        <f>1+E81</f>
        <v>1</v>
      </c>
      <c r="C79" s="814"/>
      <c r="D79" s="814"/>
      <c r="E79" s="815"/>
      <c r="F79" s="2880"/>
      <c r="G79" s="6"/>
      <c r="H79" s="6"/>
      <c r="I79" s="6"/>
      <c r="J79" s="7"/>
      <c r="K79" s="7"/>
      <c r="L79" s="7"/>
      <c r="M79" s="7"/>
      <c r="N79" s="7"/>
      <c r="Z79" s="2723"/>
      <c r="AA79" s="2799"/>
      <c r="AG79" s="1375"/>
      <c r="AK79" s="2799"/>
    </row>
    <row r="80" spans="1:37" ht="24.75">
      <c r="A80" s="2881" t="s">
        <v>2947</v>
      </c>
      <c r="B80" s="1812"/>
      <c r="C80" s="1812" t="s">
        <v>2949</v>
      </c>
      <c r="D80" s="1812" t="s">
        <v>2950</v>
      </c>
      <c r="E80" s="819" t="s">
        <v>2951</v>
      </c>
      <c r="F80" s="2882" t="s">
        <v>2967</v>
      </c>
      <c r="G80" s="1812" t="s">
        <v>754</v>
      </c>
      <c r="H80" s="2883" t="s">
        <v>2953</v>
      </c>
      <c r="I80" s="1812" t="s">
        <v>2954</v>
      </c>
      <c r="J80" s="603" t="s">
        <v>2600</v>
      </c>
      <c r="K80" s="603" t="s">
        <v>2601</v>
      </c>
      <c r="L80" s="603" t="s">
        <v>2602</v>
      </c>
      <c r="M80" s="603" t="s">
        <v>2603</v>
      </c>
      <c r="N80" s="603" t="s">
        <v>2604</v>
      </c>
      <c r="Z80" s="2723"/>
      <c r="AA80" s="2799"/>
      <c r="AG80" s="1375"/>
      <c r="AK80" s="2799"/>
    </row>
    <row r="81" spans="1:37" ht="38.25">
      <c r="A81" s="2881" t="s">
        <v>2974</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2956</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2957</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2971</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2963</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2964</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2961</v>
      </c>
      <c r="B87" s="2887" t="s">
        <v>2975</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2976</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68" t="s">
        <v>2977</v>
      </c>
      <c r="B90" s="3268"/>
      <c r="C90" s="3268"/>
      <c r="D90" s="3268"/>
      <c r="E90" s="3268"/>
      <c r="F90" s="3268"/>
      <c r="G90" s="3268"/>
      <c r="H90" s="3268"/>
      <c r="I90" s="3268"/>
      <c r="J90" s="3268"/>
      <c r="K90" s="2895"/>
      <c r="L90" s="2895"/>
      <c r="M90" s="2895"/>
      <c r="N90" s="2895"/>
    </row>
    <row r="91" spans="1:37">
      <c r="A91" s="3270" t="s">
        <v>2978</v>
      </c>
      <c r="B91" s="3270" t="s">
        <v>2979</v>
      </c>
      <c r="C91" s="2849" t="s">
        <v>2980</v>
      </c>
      <c r="D91" s="2850"/>
      <c r="E91" s="2850"/>
      <c r="F91" s="2850"/>
      <c r="G91" s="2850"/>
      <c r="H91" s="2850"/>
      <c r="I91" s="2850"/>
      <c r="J91" s="2896"/>
      <c r="K91" s="2897"/>
      <c r="L91" s="2897"/>
      <c r="M91" s="2897"/>
      <c r="N91" s="2897"/>
    </row>
    <row r="92" spans="1:37">
      <c r="A92" s="3270"/>
      <c r="B92" s="3270"/>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71"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2"/>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1" t="s">
        <v>2982</v>
      </c>
      <c r="B101" s="2902" t="s">
        <v>2983</v>
      </c>
      <c r="C101" s="2903">
        <f>$G$3</f>
        <v>2.4900000000000002</v>
      </c>
      <c r="D101" s="2903">
        <f t="shared" ref="D101:N101" si="31">$G$3</f>
        <v>2.4900000000000002</v>
      </c>
      <c r="E101" s="2903">
        <f t="shared" si="31"/>
        <v>2.4900000000000002</v>
      </c>
      <c r="F101" s="2903">
        <f t="shared" si="31"/>
        <v>2.4900000000000002</v>
      </c>
      <c r="G101" s="2903">
        <f t="shared" si="31"/>
        <v>2.4900000000000002</v>
      </c>
      <c r="H101" s="2903">
        <f t="shared" si="31"/>
        <v>2.4900000000000002</v>
      </c>
      <c r="I101" s="2903">
        <f t="shared" si="31"/>
        <v>2.4900000000000002</v>
      </c>
      <c r="J101" s="2903">
        <f t="shared" si="31"/>
        <v>2.4900000000000002</v>
      </c>
      <c r="K101" s="2903">
        <f t="shared" si="31"/>
        <v>2.4900000000000002</v>
      </c>
      <c r="L101" s="2903">
        <f t="shared" si="31"/>
        <v>2.4900000000000002</v>
      </c>
      <c r="M101" s="2903">
        <f t="shared" si="31"/>
        <v>2.4900000000000002</v>
      </c>
      <c r="N101" s="2903">
        <f t="shared" si="31"/>
        <v>2.4900000000000002</v>
      </c>
    </row>
    <row r="102" spans="1:14">
      <c r="A102" s="3272"/>
      <c r="B102" s="2898">
        <v>1</v>
      </c>
      <c r="C102" s="2899">
        <f>1.9362/C101</f>
        <v>0.77759036144578308</v>
      </c>
      <c r="D102" s="2899">
        <f>1.9362/D101</f>
        <v>0.77759036144578308</v>
      </c>
      <c r="E102" s="2899">
        <f>1.8629/E101</f>
        <v>0.74815261044176695</v>
      </c>
      <c r="F102" s="2899">
        <f>1.8629/F101</f>
        <v>0.74815261044176695</v>
      </c>
      <c r="G102" s="2899">
        <f>1.8629/G101</f>
        <v>0.74815261044176695</v>
      </c>
      <c r="H102" s="2899">
        <f>1.8629/H101</f>
        <v>0.74815261044176695</v>
      </c>
      <c r="I102" s="2899">
        <f>1.8629/I101</f>
        <v>0.74815261044176695</v>
      </c>
      <c r="J102" s="2899">
        <f>1.942/J101</f>
        <v>0.77991967871485934</v>
      </c>
      <c r="K102" s="2899">
        <f>1.942/K101</f>
        <v>0.77991967871485934</v>
      </c>
      <c r="L102" s="2899">
        <f>1.942/L101</f>
        <v>0.77991967871485934</v>
      </c>
      <c r="M102" s="2899">
        <f>1.942/M101</f>
        <v>0.77991967871485934</v>
      </c>
      <c r="N102" s="2899">
        <f>1.942/N101</f>
        <v>0.77991967871485934</v>
      </c>
    </row>
    <row r="103" spans="1:14">
      <c r="A103" s="3272"/>
      <c r="B103" s="2898">
        <v>2</v>
      </c>
      <c r="C103" s="2899">
        <f>1.4198/C101</f>
        <v>0.57020080321285138</v>
      </c>
      <c r="D103" s="2899">
        <f>1.4198/D101</f>
        <v>0.57020080321285138</v>
      </c>
      <c r="E103" s="2899">
        <f>1.3372/E101</f>
        <v>0.53702811244979909</v>
      </c>
      <c r="F103" s="2899">
        <f>1.3372/F101</f>
        <v>0.53702811244979909</v>
      </c>
      <c r="G103" s="2899">
        <f>1.3372/G101</f>
        <v>0.53702811244979909</v>
      </c>
      <c r="H103" s="2899">
        <f>1.3372/H101</f>
        <v>0.53702811244979909</v>
      </c>
      <c r="I103" s="2899">
        <f>1.3372/I101</f>
        <v>0.53702811244979909</v>
      </c>
      <c r="J103" s="2899">
        <f>1.2799/J101</f>
        <v>0.51401606425702806</v>
      </c>
      <c r="K103" s="2899">
        <f>1.2799/K101</f>
        <v>0.51401606425702806</v>
      </c>
      <c r="L103" s="2899">
        <f>1.2799/L101</f>
        <v>0.51401606425702806</v>
      </c>
      <c r="M103" s="2899">
        <f>1.2799/M101</f>
        <v>0.51401606425702806</v>
      </c>
      <c r="N103" s="2899">
        <f>1.2799/N101</f>
        <v>0.51401606425702806</v>
      </c>
    </row>
    <row r="104" spans="1:14">
      <c r="A104" s="3272"/>
      <c r="B104" s="2898">
        <v>3</v>
      </c>
      <c r="C104" s="2899">
        <f>1.1594/C101</f>
        <v>0.46562248995983929</v>
      </c>
      <c r="D104" s="2899">
        <f>1.1594/D101</f>
        <v>0.46562248995983929</v>
      </c>
      <c r="E104" s="2899">
        <f>1.0788/E101</f>
        <v>0.43325301204819272</v>
      </c>
      <c r="F104" s="2899">
        <f>1.0788/F101</f>
        <v>0.43325301204819272</v>
      </c>
      <c r="G104" s="2899">
        <f>1.0788/G101</f>
        <v>0.43325301204819272</v>
      </c>
      <c r="H104" s="2899">
        <f>1.0788/H101</f>
        <v>0.43325301204819272</v>
      </c>
      <c r="I104" s="2899">
        <f>1.0788/I101</f>
        <v>0.43325301204819272</v>
      </c>
      <c r="J104" s="2899">
        <f>1.0072/J101</f>
        <v>0.40449799196787151</v>
      </c>
      <c r="K104" s="2899">
        <f>1.0072/K101</f>
        <v>0.40449799196787151</v>
      </c>
      <c r="L104" s="2899">
        <f>1.0072/L101</f>
        <v>0.40449799196787151</v>
      </c>
      <c r="M104" s="2899">
        <f>1.0072/M101</f>
        <v>0.40449799196787151</v>
      </c>
      <c r="N104" s="2899">
        <f>1.0072/N101</f>
        <v>0.40449799196787151</v>
      </c>
    </row>
    <row r="105" spans="1:14">
      <c r="A105" s="3272"/>
      <c r="B105" s="2898">
        <v>4</v>
      </c>
      <c r="C105" s="2899">
        <f>0.9622/C101</f>
        <v>0.38642570281124494</v>
      </c>
      <c r="D105" s="2899">
        <f>0.9622/D101</f>
        <v>0.38642570281124494</v>
      </c>
      <c r="E105" s="2899">
        <f>0.8656/E101</f>
        <v>0.34763052208835338</v>
      </c>
      <c r="F105" s="2899">
        <f>0.8656/F101</f>
        <v>0.34763052208835338</v>
      </c>
      <c r="G105" s="2899">
        <f>0.8656/G101</f>
        <v>0.34763052208835338</v>
      </c>
      <c r="H105" s="2899">
        <f>0.8656/H101</f>
        <v>0.34763052208835338</v>
      </c>
      <c r="I105" s="2899">
        <f>0.8656/I101</f>
        <v>0.34763052208835338</v>
      </c>
      <c r="J105" s="2899">
        <f>0.7525/J101</f>
        <v>0.30220883534136539</v>
      </c>
      <c r="K105" s="2899">
        <f>0.7525/K101</f>
        <v>0.30220883534136539</v>
      </c>
      <c r="L105" s="2899">
        <f>0.7525/L101</f>
        <v>0.30220883534136539</v>
      </c>
      <c r="M105" s="2899">
        <f>0.7525/M101</f>
        <v>0.30220883534136539</v>
      </c>
      <c r="N105" s="2899">
        <f>0.7525/N101</f>
        <v>0.30220883534136539</v>
      </c>
    </row>
    <row r="106" spans="1:14">
      <c r="A106" s="3272"/>
      <c r="B106" s="2898">
        <v>5</v>
      </c>
      <c r="C106" s="2899">
        <f>0.8417/C101</f>
        <v>0.33803212851405617</v>
      </c>
      <c r="D106" s="2899">
        <f>0.8417/D101</f>
        <v>0.33803212851405617</v>
      </c>
      <c r="E106" s="2899">
        <f>0.7371/E101</f>
        <v>0.29602409638554211</v>
      </c>
      <c r="F106" s="2899">
        <f>0.7371/F101</f>
        <v>0.29602409638554211</v>
      </c>
      <c r="G106" s="2899">
        <f>0.7371/G101</f>
        <v>0.29602409638554211</v>
      </c>
      <c r="H106" s="2899">
        <f>0.7371/H101</f>
        <v>0.29602409638554211</v>
      </c>
      <c r="I106" s="2899">
        <f>0.7371/I101</f>
        <v>0.29602409638554211</v>
      </c>
      <c r="J106" s="2899">
        <f>0.5659/J101</f>
        <v>0.22726907630522084</v>
      </c>
      <c r="K106" s="2899">
        <f>0.5659/K101</f>
        <v>0.22726907630522084</v>
      </c>
      <c r="L106" s="2899">
        <f>0.5659/L101</f>
        <v>0.22726907630522084</v>
      </c>
      <c r="M106" s="2899">
        <f>0.5659/M101</f>
        <v>0.22726907630522084</v>
      </c>
      <c r="N106" s="2899">
        <f>0.5659/N101</f>
        <v>0.22726907630522084</v>
      </c>
    </row>
    <row r="107" spans="1:14">
      <c r="A107" s="3272"/>
      <c r="B107" s="2898">
        <v>6</v>
      </c>
      <c r="C107" s="2899">
        <f>0.7608/C101</f>
        <v>0.3055421686746988</v>
      </c>
      <c r="D107" s="2899">
        <f>0.7608/D101</f>
        <v>0.3055421686746988</v>
      </c>
      <c r="E107" s="2899">
        <f>0.6482/E101</f>
        <v>0.26032128514056224</v>
      </c>
      <c r="F107" s="2899">
        <f>0.6482/F101</f>
        <v>0.26032128514056224</v>
      </c>
      <c r="G107" s="2899">
        <f>0.6482/G101</f>
        <v>0.26032128514056224</v>
      </c>
      <c r="H107" s="2899">
        <f>0.6482/H101</f>
        <v>0.26032128514056224</v>
      </c>
      <c r="I107" s="2899">
        <f>0.6482/I101</f>
        <v>0.26032128514056224</v>
      </c>
      <c r="J107" s="2899">
        <f>0.4525/J101</f>
        <v>0.18172690763052207</v>
      </c>
      <c r="K107" s="2899">
        <f>0.4525/K101</f>
        <v>0.18172690763052207</v>
      </c>
      <c r="L107" s="2899">
        <f>0.4525/L101</f>
        <v>0.18172690763052207</v>
      </c>
      <c r="M107" s="2899">
        <f>0.4525/M101</f>
        <v>0.18172690763052207</v>
      </c>
      <c r="N107" s="2899">
        <f>0.4525/N101</f>
        <v>0.18172690763052207</v>
      </c>
    </row>
    <row r="108" spans="1:14">
      <c r="A108" s="3272"/>
      <c r="B108" s="3130" t="s">
        <v>2984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3"/>
      <c r="B109" s="3131"/>
      <c r="C109" s="2901">
        <f>(-0.163*(C108^2)-0.59*C108+7617)*(10^(-4))/C101</f>
        <v>0.30590361445783132</v>
      </c>
      <c r="D109" s="2901">
        <f>(-0.163*(D108^2)-0.59*D108+7617)*(10^(-4))/D101</f>
        <v>0.30590361445783132</v>
      </c>
      <c r="E109" s="2901">
        <f>(-0.161*(E108^2)-7.509*E108+6533)*(10^(-4))/E101</f>
        <v>0.26236947791164655</v>
      </c>
      <c r="F109" s="2901">
        <f>(-0.161*(F108^2)-7.509*F108+6533)*(10^(-4))/F101</f>
        <v>0.26236947791164655</v>
      </c>
      <c r="G109" s="2901">
        <f>(-0.161*(G108^2)-7.509*G108+6533)*(10^(-4))/G101</f>
        <v>0.26236947791164655</v>
      </c>
      <c r="H109" s="2901">
        <f>(-0.161*(H108^2)-7.509*H108+6533)*(10^(-4))/H101</f>
        <v>0.26236947791164655</v>
      </c>
      <c r="I109" s="2901">
        <f>(-0.161*(I108^2)-7.509*I108+6533)*(10^(-4))/I101</f>
        <v>0.26236947791164655</v>
      </c>
      <c r="J109" s="2901">
        <f>(-0.214*(J108^2)-21.991*J108+4665)*(10^(-4))/J101</f>
        <v>0.18734939759036143</v>
      </c>
      <c r="K109" s="2901">
        <f>(-0.214*(K108^2)-21.991*K108+4665)*(10^(-4))/K101</f>
        <v>0.18734939759036143</v>
      </c>
      <c r="L109" s="2901">
        <f>(-0.214*(L108^2)-21.991*L108+4665)*(10^(-4))/L101</f>
        <v>0.18734939759036143</v>
      </c>
      <c r="M109" s="2901">
        <f>(-0.214*(M108^2)-21.991*M108+4665)*(10^(-4))/M101</f>
        <v>0.18734939759036143</v>
      </c>
      <c r="N109" s="2901">
        <f>(-0.214*(N108^2)-21.991*N108+4665)*(10^(-4))/N101</f>
        <v>0.18734939759036143</v>
      </c>
    </row>
    <row r="110" spans="1:14">
      <c r="A110" s="3269" t="s">
        <v>2985</v>
      </c>
      <c r="B110" s="3269"/>
      <c r="C110" s="3269"/>
      <c r="D110" s="3269"/>
      <c r="E110" s="3269"/>
      <c r="F110" s="3269"/>
      <c r="G110" s="3269"/>
      <c r="H110" s="3269"/>
      <c r="I110" s="3269"/>
      <c r="J110" s="3269"/>
      <c r="K110" s="2904"/>
      <c r="L110" s="2904"/>
      <c r="M110" s="2904"/>
      <c r="N110" s="2904"/>
    </row>
    <row r="112" spans="1:14" ht="13.5" thickBot="1"/>
    <row r="113" spans="1:13" ht="25.5" thickBot="1">
      <c r="A113" s="903" t="s">
        <v>2986</v>
      </c>
      <c r="B113" s="1290">
        <f>G3</f>
        <v>2.4900000000000002</v>
      </c>
      <c r="C113" s="904" t="s">
        <v>2987</v>
      </c>
      <c r="D113" s="905">
        <f>SUMPRODUCT((A115:A118=F113)*(B114:M114=H113)*B115:M118)</f>
        <v>0</v>
      </c>
      <c r="E113" s="2727" t="s">
        <v>2817</v>
      </c>
      <c r="F113" s="2906">
        <f>E2</f>
        <v>0</v>
      </c>
      <c r="G113" s="2727" t="s">
        <v>2818</v>
      </c>
      <c r="H113" s="2906">
        <f>G2</f>
        <v>0</v>
      </c>
      <c r="I113" s="2727"/>
      <c r="J113" s="2907"/>
      <c r="K113" s="2907"/>
      <c r="L113" s="2907"/>
      <c r="M113" s="2907"/>
    </row>
    <row r="114" spans="1:13">
      <c r="A114" s="908"/>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9" t="s">
        <v>2882</v>
      </c>
      <c r="B115" s="910">
        <f>ROUND(0.9335-0.0094*B113,4)</f>
        <v>0.91010000000000002</v>
      </c>
      <c r="C115" s="910">
        <f>B115</f>
        <v>0.91010000000000002</v>
      </c>
      <c r="D115" s="910">
        <f>ROUND(0.8331-0.0109*B113,4)</f>
        <v>0.80600000000000005</v>
      </c>
      <c r="E115" s="910">
        <f>D115</f>
        <v>0.80600000000000005</v>
      </c>
      <c r="F115" s="910">
        <f>E115</f>
        <v>0.80600000000000005</v>
      </c>
      <c r="G115" s="910">
        <f>F115</f>
        <v>0.80600000000000005</v>
      </c>
      <c r="H115" s="910">
        <f>G115</f>
        <v>0.80600000000000005</v>
      </c>
      <c r="I115" s="910">
        <f>ROUND(0.689-0.0155*B113,4)</f>
        <v>0.65039999999999998</v>
      </c>
      <c r="J115" s="910">
        <f t="shared" ref="J115:M118" si="33">I115</f>
        <v>0.65039999999999998</v>
      </c>
      <c r="K115" s="910">
        <f t="shared" si="33"/>
        <v>0.65039999999999998</v>
      </c>
      <c r="L115" s="910">
        <f t="shared" si="33"/>
        <v>0.65039999999999998</v>
      </c>
      <c r="M115" s="911">
        <f t="shared" si="33"/>
        <v>0.65039999999999998</v>
      </c>
    </row>
    <row r="116" spans="1:13">
      <c r="A116" s="909" t="s">
        <v>2883</v>
      </c>
      <c r="B116" s="910">
        <f>ROUND(0.949-0.012*B113,4)</f>
        <v>0.91910000000000003</v>
      </c>
      <c r="C116" s="910">
        <f>B116</f>
        <v>0.91910000000000003</v>
      </c>
      <c r="D116" s="910">
        <f>ROUND(0.8567-0.013*B113,4)</f>
        <v>0.82430000000000003</v>
      </c>
      <c r="E116" s="910">
        <f t="shared" ref="E116:H117" si="34">D116</f>
        <v>0.82430000000000003</v>
      </c>
      <c r="F116" s="910">
        <f t="shared" si="34"/>
        <v>0.82430000000000003</v>
      </c>
      <c r="G116" s="910">
        <f t="shared" si="34"/>
        <v>0.82430000000000003</v>
      </c>
      <c r="H116" s="910">
        <f t="shared" si="34"/>
        <v>0.82430000000000003</v>
      </c>
      <c r="I116" s="910">
        <f>ROUND(0.7694-0.014*B113,4)</f>
        <v>0.73450000000000004</v>
      </c>
      <c r="J116" s="910">
        <f t="shared" si="33"/>
        <v>0.73450000000000004</v>
      </c>
      <c r="K116" s="910">
        <f t="shared" si="33"/>
        <v>0.73450000000000004</v>
      </c>
      <c r="L116" s="910">
        <f t="shared" si="33"/>
        <v>0.73450000000000004</v>
      </c>
      <c r="M116" s="911">
        <f t="shared" si="33"/>
        <v>0.73450000000000004</v>
      </c>
    </row>
    <row r="117" spans="1:13">
      <c r="A117" s="909" t="s">
        <v>2884</v>
      </c>
      <c r="B117" s="910">
        <f>ROUND(0.8808-0.006*B113,4)</f>
        <v>0.8659</v>
      </c>
      <c r="C117" s="910">
        <f>B117</f>
        <v>0.8659</v>
      </c>
      <c r="D117" s="910">
        <f>ROUND(0.8748-0.008*B113,4)</f>
        <v>0.85489999999999999</v>
      </c>
      <c r="E117" s="910">
        <f t="shared" si="34"/>
        <v>0.85489999999999999</v>
      </c>
      <c r="F117" s="910">
        <f t="shared" si="34"/>
        <v>0.85489999999999999</v>
      </c>
      <c r="G117" s="910">
        <f t="shared" si="34"/>
        <v>0.85489999999999999</v>
      </c>
      <c r="H117" s="910">
        <f t="shared" si="34"/>
        <v>0.85489999999999999</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2885</v>
      </c>
      <c r="B118" s="912">
        <f>ROUND(0.7275-0.01*B113,4)</f>
        <v>0.7026</v>
      </c>
      <c r="C118" s="912">
        <f>B118</f>
        <v>0.7026</v>
      </c>
      <c r="D118" s="912">
        <f>ROUND(0.7043-0.012*B113,4)</f>
        <v>0.6744</v>
      </c>
      <c r="E118" s="912">
        <f>D118</f>
        <v>0.6744</v>
      </c>
      <c r="F118" s="912">
        <f>E118</f>
        <v>0.6744</v>
      </c>
      <c r="G118" s="912">
        <f>ROUND(0.6299-0.0122*B113,4)</f>
        <v>0.59950000000000003</v>
      </c>
      <c r="H118" s="912">
        <f>G118</f>
        <v>0.59950000000000003</v>
      </c>
      <c r="I118" s="912">
        <f>ROUND(0.5667-0.0136*B113,4)</f>
        <v>0.53280000000000005</v>
      </c>
      <c r="J118" s="912">
        <f t="shared" si="33"/>
        <v>0.53280000000000005</v>
      </c>
      <c r="K118" s="912">
        <f t="shared" si="33"/>
        <v>0.53280000000000005</v>
      </c>
      <c r="L118" s="912">
        <f t="shared" si="33"/>
        <v>0.53280000000000005</v>
      </c>
      <c r="M118" s="913">
        <f t="shared" si="33"/>
        <v>0.53280000000000005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3" t="s">
        <v>3000</v>
      </c>
      <c r="B2" s="2914" t="e">
        <f ca="1">SUMIF(B6:B13,"&lt;&gt;#ref!",B6:B13)</f>
        <v>#DIV/0!</v>
      </c>
      <c r="C2" s="2913" t="s">
        <v>3001</v>
      </c>
      <c r="D2" s="2913" t="s">
        <v>3002</v>
      </c>
      <c r="E2" s="2914">
        <f ca="1">SUMIF(E6:E13,"&lt;&gt;#ref!",E6:E13)</f>
        <v>0</v>
      </c>
    </row>
    <row r="3" spans="1:5" ht="15.75">
      <c r="A3" s="2913" t="s">
        <v>3003</v>
      </c>
      <c r="B3" s="2914" t="e">
        <f ca="1">ROUND(B2*10000/E2,0)</f>
        <v>#DIV/0!</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t="e">
        <f ca="1">SUMIF(INDIRECT("'"&amp;A6&amp;"'"&amp;"!A:A"),"总价",INDIRECT("'"&amp;A6&amp;"'"&amp;"!B:B"))</f>
        <v>#DIV/0!</v>
      </c>
      <c r="C6" s="2913" t="s">
        <v>3001</v>
      </c>
      <c r="D6" s="2915"/>
      <c r="E6" s="2578">
        <f ca="1">SUMIF(INDIRECT("'"&amp;A6&amp;"'"&amp;"!C:C"),"建筑面积",INDIRECT("'"&amp;A6&amp;"'"&amp;"!D:D"))</f>
        <v>0</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1150</v>
      </c>
      <c r="C1" s="3283"/>
      <c r="D1" s="3283"/>
      <c r="E1" s="3283"/>
      <c r="F1" s="3283"/>
      <c r="G1" s="3282" t="s">
        <v>1151</v>
      </c>
      <c r="H1" s="3282"/>
      <c r="I1" s="3282"/>
      <c r="J1" s="3282"/>
      <c r="K1" s="3282"/>
      <c r="L1" s="3282"/>
      <c r="N1" s="3282" t="s">
        <v>1152</v>
      </c>
      <c r="O1" s="3282"/>
      <c r="P1" s="3282"/>
      <c r="Q1" s="3282"/>
      <c r="R1" s="1449"/>
      <c r="S1" s="3282" t="s">
        <v>1153</v>
      </c>
      <c r="T1" s="3282"/>
      <c r="U1" s="3282"/>
      <c r="V1" s="3282"/>
      <c r="X1" s="3281" t="s">
        <v>1154</v>
      </c>
      <c r="Y1" s="3282"/>
      <c r="Z1" s="3282"/>
      <c r="AA1" s="3282"/>
      <c r="AB1" s="3282"/>
      <c r="AD1" s="3281" t="s">
        <v>1155</v>
      </c>
      <c r="AE1" s="3282"/>
      <c r="AF1" s="3282"/>
      <c r="AG1" s="3282"/>
      <c r="AH1" s="328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3043</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7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7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7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7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7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7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7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7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7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7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7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7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7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7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7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7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7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7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7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78">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79">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79">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0">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78">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79">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79">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1630</v>
      </c>
      <c r="C4" s="2975"/>
      <c r="D4" s="2975"/>
      <c r="E4" s="1964"/>
    </row>
    <row r="5" spans="1:5" ht="16.5" thickTop="1">
      <c r="A5" s="1962"/>
      <c r="B5" s="2973" t="s">
        <v>1622</v>
      </c>
      <c r="C5" s="1965" t="s">
        <v>1623</v>
      </c>
      <c r="D5" s="1043">
        <f ca="1">结果表!H101</f>
        <v>70238</v>
      </c>
      <c r="E5" s="1962"/>
    </row>
    <row r="6" spans="1:5" ht="15.75">
      <c r="A6" s="1962"/>
      <c r="B6" s="2973"/>
      <c r="C6" s="1965" t="s">
        <v>1624</v>
      </c>
      <c r="D6" s="1043" t="str">
        <f ca="1">NUMBERSTRING(INT(D5*10000),2)&amp;"元整"</f>
        <v>柒亿零贰佰叁拾捌万元整</v>
      </c>
      <c r="E6" s="1962"/>
    </row>
    <row r="7" spans="1:5" ht="15.75">
      <c r="A7" s="1962"/>
      <c r="B7" s="2978"/>
      <c r="C7" s="1966" t="s">
        <v>1625</v>
      </c>
      <c r="D7" s="1044">
        <f ca="1">结果表!H102</f>
        <v>5964</v>
      </c>
      <c r="E7" s="1962"/>
    </row>
    <row r="8" spans="1:5" ht="15.75">
      <c r="A8" s="1962"/>
      <c r="B8" s="2979" t="str">
        <f>结果表!E103</f>
        <v>2.估价师知悉的法定优先受偿款</v>
      </c>
      <c r="C8" s="1967" t="s">
        <v>1626</v>
      </c>
      <c r="D8" s="1044">
        <f>结果表!H103</f>
        <v>0</v>
      </c>
      <c r="E8" s="1962"/>
    </row>
    <row r="9" spans="1:5" ht="15.75">
      <c r="A9" s="1962"/>
      <c r="B9" s="298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2" t="str">
        <f>结果表!E107</f>
        <v>3.房地产抵押价值</v>
      </c>
      <c r="C13" s="1970" t="s">
        <v>1623</v>
      </c>
      <c r="D13" s="1046">
        <f ca="1">结果表!H107</f>
        <v>70238</v>
      </c>
      <c r="E13" s="1962"/>
    </row>
    <row r="14" spans="1:5" ht="15.75">
      <c r="A14" s="1962"/>
      <c r="B14" s="2973"/>
      <c r="C14" s="1965" t="s">
        <v>1624</v>
      </c>
      <c r="D14" s="1043" t="str">
        <f ca="1">NUMBERSTRING(INT(D13*10000),2)&amp;"元整"</f>
        <v>柒亿零贰佰叁拾捌万元整</v>
      </c>
      <c r="E14" s="1962"/>
    </row>
    <row r="15" spans="1:5" ht="15">
      <c r="A15" s="1962"/>
      <c r="B15" s="2978"/>
      <c r="C15" s="1966" t="s">
        <v>1634</v>
      </c>
      <c r="D15" s="1055">
        <f ca="1">结果表!H108</f>
        <v>5964</v>
      </c>
      <c r="E15" s="1962"/>
    </row>
    <row r="16" spans="1:5" ht="15">
      <c r="A16" s="1962"/>
      <c r="B16" s="2979" t="str">
        <f>结果表!E109</f>
        <v>——</v>
      </c>
      <c r="C16" s="1970" t="s">
        <v>1635</v>
      </c>
      <c r="D16" s="1971" t="str">
        <f>结果表!H109</f>
        <v>——</v>
      </c>
      <c r="E16" s="1962"/>
    </row>
    <row r="17" spans="1:5" ht="15.75">
      <c r="A17" s="1962"/>
      <c r="B17" s="2980"/>
      <c r="C17" s="1965" t="s">
        <v>1636</v>
      </c>
      <c r="D17" s="1043" t="e">
        <f>NUMBERSTRING(INT(D16*10000),2)&amp;"元整"</f>
        <v>#VALUE!</v>
      </c>
      <c r="E17" s="1962"/>
    </row>
    <row r="18" spans="1:5" ht="15">
      <c r="A18" s="1962"/>
      <c r="B18" s="2981"/>
      <c r="C18" s="1966" t="s">
        <v>1625</v>
      </c>
      <c r="D18" s="1055" t="str">
        <f>结果表!H110</f>
        <v>——</v>
      </c>
      <c r="E18" s="1962"/>
    </row>
    <row r="19" spans="1:5" ht="15.75">
      <c r="A19" s="1962"/>
      <c r="B19" s="2972" t="str">
        <f>结果表!E111</f>
        <v>——</v>
      </c>
      <c r="C19" s="1970" t="s">
        <v>1623</v>
      </c>
      <c r="D19" s="1044" t="str">
        <f>结果表!H111</f>
        <v>——</v>
      </c>
      <c r="E19" s="1962"/>
    </row>
    <row r="20" spans="1:5" ht="15.75">
      <c r="A20" s="1962"/>
      <c r="B20" s="2973"/>
      <c r="C20" s="1965" t="s">
        <v>1636</v>
      </c>
      <c r="D20" s="1043" t="e">
        <f>NUMBERSTRING(INT(D19*10000),2)&amp;"元整"</f>
        <v>#VALUE!</v>
      </c>
      <c r="E20" s="1962"/>
    </row>
    <row r="21" spans="1:5" ht="15.75" thickBot="1">
      <c r="A21" s="1962"/>
      <c r="B21" s="297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89" t="s">
        <v>3011</v>
      </c>
      <c r="D1" s="3290"/>
      <c r="E1" s="3290"/>
      <c r="F1" s="3290"/>
      <c r="G1" s="3290"/>
      <c r="H1" s="3290"/>
      <c r="I1" s="3290"/>
      <c r="J1" s="3290"/>
      <c r="K1" s="3290"/>
      <c r="L1" s="3290"/>
      <c r="M1" s="3290"/>
      <c r="N1" s="3290"/>
      <c r="O1" s="3290"/>
      <c r="P1" s="3290"/>
      <c r="Q1" s="3290"/>
      <c r="R1" s="3290"/>
      <c r="S1" s="3291"/>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3020</v>
      </c>
      <c r="B17" s="2920"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2" t="s">
        <v>3024</v>
      </c>
      <c r="E20" s="1796"/>
      <c r="F20" s="1207" t="e">
        <f ca="1">SUMIF(INDIRECT("'"&amp;H20&amp;"'"&amp;"!A:A"),"承租人权益价值",INDIRECT("'"&amp;H20&amp;"'"&amp;"!c:c"))</f>
        <v>#REF!</v>
      </c>
      <c r="G20" s="1207" t="s">
        <v>3025</v>
      </c>
      <c r="H20" s="2923"/>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52" t="s">
        <v>33</v>
      </c>
      <c r="D22" s="3153"/>
      <c r="E22" s="3153"/>
      <c r="F22" s="3153"/>
      <c r="G22" s="3153"/>
      <c r="H22" s="3153"/>
      <c r="I22" s="3153"/>
      <c r="J22" s="3153"/>
      <c r="K22" s="3153"/>
      <c r="L22" s="3153"/>
      <c r="M22" s="3153"/>
      <c r="N22" s="3153"/>
      <c r="O22" s="3153"/>
      <c r="P22" s="3153"/>
      <c r="Q22" s="3288"/>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58903</v>
      </c>
      <c r="C2" s="2" t="s">
        <v>133</v>
      </c>
      <c r="D2" s="243"/>
      <c r="E2" s="243"/>
      <c r="F2" s="243"/>
      <c r="G2" s="243"/>
    </row>
    <row r="3" spans="1:7" s="244" customFormat="1" ht="18" customHeight="1" thickBot="1">
      <c r="A3" s="247" t="s">
        <v>85</v>
      </c>
      <c r="B3" s="248">
        <f ca="1">ROUND(B2*10000/'数据-汇总表'!E3,0)</f>
        <v>5002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1413</v>
      </c>
      <c r="D10" s="1035">
        <f>'数据-汇总表'!E6</f>
        <v>117760.1</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2355</v>
      </c>
      <c r="D19" s="1039">
        <f>'数据-汇总表'!E3</f>
        <v>117760.1</v>
      </c>
      <c r="E19" s="255">
        <f>'数据-取费表'!B31</f>
        <v>200</v>
      </c>
      <c r="F19" s="275"/>
      <c r="G19" s="1" t="s">
        <v>1074</v>
      </c>
    </row>
    <row r="20" spans="1:7" s="258" customFormat="1" ht="13.5" customHeight="1">
      <c r="A20" s="951" t="s">
        <v>1057</v>
      </c>
      <c r="B20" s="254" t="s">
        <v>104</v>
      </c>
      <c r="C20" s="276">
        <f>ROUND((C5+C19)*F20,0)</f>
        <v>459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1102</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112</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1874</v>
      </c>
      <c r="D27" s="279">
        <f>C29</f>
        <v>1.6000000000000001E-3</v>
      </c>
      <c r="E27" s="280" t="s">
        <v>126</v>
      </c>
      <c r="F27" s="290">
        <f>'数据-取费表'!Q16</f>
        <v>0.16</v>
      </c>
      <c r="G27" s="291" t="s">
        <v>1069</v>
      </c>
    </row>
    <row r="28" spans="1:7" s="258" customFormat="1" ht="13.5" customHeight="1">
      <c r="A28" s="954" t="s">
        <v>794</v>
      </c>
      <c r="B28" s="292" t="s">
        <v>1062</v>
      </c>
      <c r="C28" s="293">
        <f>ROUND((C5+C19+C20)*F27*'数据-取费表'!B21/'数据-取费表'!B20,0)</f>
        <v>1874</v>
      </c>
      <c r="D28" s="279"/>
      <c r="E28" s="280"/>
      <c r="F28" s="290"/>
      <c r="G28" s="291"/>
    </row>
    <row r="29" spans="1:7" s="258" customFormat="1" ht="13.5" customHeight="1">
      <c r="A29" s="954" t="s">
        <v>792</v>
      </c>
      <c r="B29" s="292" t="s">
        <v>1063</v>
      </c>
      <c r="C29" s="282">
        <f>ROUND(C21*F27*'数据-取费表'!B21/'数据-取费表'!B20,4)</f>
        <v>1.6000000000000001E-3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23204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20966</v>
      </c>
      <c r="D34" s="261"/>
      <c r="E34" s="264"/>
      <c r="F34" s="301">
        <f>IF('数据-取费表'!B24=0,1,'数据-取费表'!N16)</f>
        <v>0.55000000000000004</v>
      </c>
      <c r="G34" s="263" t="s">
        <v>116</v>
      </c>
    </row>
    <row r="35" spans="1:7" ht="13.5" customHeight="1">
      <c r="A35" s="954" t="s">
        <v>796</v>
      </c>
      <c r="B35" s="259" t="s">
        <v>60</v>
      </c>
      <c r="C35" s="264">
        <f>ROUND(C34*F35,0)</f>
        <v>629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1295</v>
      </c>
      <c r="D37" s="261">
        <f>'数据-汇总表'!E3</f>
        <v>117760.1</v>
      </c>
      <c r="E37" s="293">
        <f>'数据-取费表'!B35</f>
        <v>200</v>
      </c>
      <c r="F37" s="303"/>
      <c r="G37" s="305" t="s">
        <v>119</v>
      </c>
    </row>
    <row r="38" spans="1:7" ht="13.5" customHeight="1">
      <c r="A38" s="954" t="s">
        <v>799</v>
      </c>
      <c r="B38" s="259" t="s">
        <v>63</v>
      </c>
      <c r="C38" s="264">
        <f>ROUND(C34*F38,0)</f>
        <v>314</v>
      </c>
      <c r="D38" s="264"/>
      <c r="E38" s="264"/>
      <c r="F38" s="303">
        <f>'数据-取费表'!B36</f>
        <v>1.4999999999999999E-2</v>
      </c>
      <c r="G38" s="263" t="s">
        <v>117</v>
      </c>
    </row>
    <row r="39" spans="1:7" s="258" customFormat="1" ht="13.5" customHeight="1">
      <c r="A39" s="951" t="s">
        <v>783</v>
      </c>
      <c r="B39" s="254" t="s">
        <v>104</v>
      </c>
      <c r="C39" s="276">
        <f>ROUND(C33*F20,0)</f>
        <v>464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556</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545</v>
      </c>
      <c r="D42" s="282"/>
      <c r="E42" s="282"/>
      <c r="F42" s="283"/>
      <c r="G42" s="3157" t="s">
        <v>121</v>
      </c>
    </row>
    <row r="43" spans="1:7" ht="13.5" customHeight="1">
      <c r="A43" s="954" t="s">
        <v>792</v>
      </c>
      <c r="B43" s="259" t="s">
        <v>1064</v>
      </c>
      <c r="C43" s="282">
        <f ca="1">ROUND(IF('数据-取费表'!B22&lt;=1,C39*F22*'数据-取费表'!B21/2,C39*(POWER((1+F22),'数据-取费表'!B21/2)-1)),0)</f>
        <v>11</v>
      </c>
      <c r="D43" s="282"/>
      <c r="E43" s="282"/>
      <c r="F43" s="283"/>
      <c r="G43" s="3158"/>
    </row>
    <row r="44" spans="1:7" ht="13.5" customHeight="1">
      <c r="A44" s="954" t="s">
        <v>793</v>
      </c>
      <c r="B44" s="259" t="s">
        <v>1066</v>
      </c>
      <c r="C44" s="282">
        <f ca="1">ROUND(IF('数据-取费表'!B22&lt;=1,C40*F22*'数据-取费表'!B21/2,C40*(POWER((1+F22),'数据-取费表'!B21/2)-1)),4)</f>
        <v>5.0000000000000001E-4</v>
      </c>
      <c r="D44" s="282"/>
      <c r="E44" s="282"/>
      <c r="F44" s="283"/>
      <c r="G44" s="3159"/>
    </row>
    <row r="45" spans="1:7" s="258" customFormat="1" ht="13.5" customHeight="1">
      <c r="A45" s="951" t="s">
        <v>786</v>
      </c>
      <c r="B45" s="288" t="s">
        <v>112</v>
      </c>
      <c r="C45" s="289">
        <f>C46</f>
        <v>3787</v>
      </c>
      <c r="D45" s="279">
        <f>C47</f>
        <v>3.2000000000000002E-3</v>
      </c>
      <c r="E45" s="280" t="s">
        <v>129</v>
      </c>
      <c r="F45" s="290"/>
      <c r="G45" s="291" t="s">
        <v>1072</v>
      </c>
    </row>
    <row r="46" spans="1:7" s="258" customFormat="1" ht="13.5" customHeight="1">
      <c r="A46" s="954" t="s">
        <v>794</v>
      </c>
      <c r="B46" s="292" t="s">
        <v>1065</v>
      </c>
      <c r="C46" s="293">
        <f>ROUND((C33+C39)*F27,0)</f>
        <v>3787</v>
      </c>
      <c r="D46" s="307"/>
      <c r="E46" s="280"/>
      <c r="F46" s="290"/>
      <c r="G46" s="291"/>
    </row>
    <row r="47" spans="1:7" s="258" customFormat="1" ht="13.5" customHeight="1">
      <c r="A47" s="954" t="s">
        <v>792</v>
      </c>
      <c r="B47" s="292" t="s">
        <v>1067</v>
      </c>
      <c r="C47" s="282">
        <f>ROUND(C40*F27,4)</f>
        <v>3.2000000000000002E-3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30349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30349</v>
      </c>
      <c r="D51" s="276"/>
      <c r="E51" s="276"/>
      <c r="F51" s="308"/>
      <c r="G51" s="278" t="s">
        <v>64</v>
      </c>
    </row>
    <row r="52" spans="1:7" s="252" customFormat="1" ht="16.5" thickBot="1">
      <c r="A52" s="309" t="s">
        <v>65</v>
      </c>
      <c r="B52" s="310"/>
      <c r="C52" s="311">
        <f ca="1">C31+C51</f>
        <v>58903</v>
      </c>
      <c r="D52" s="310"/>
      <c r="E52" s="310"/>
      <c r="F52" s="310"/>
      <c r="G52" s="312"/>
    </row>
    <row r="55" spans="1:7" ht="15">
      <c r="B55" s="314" t="s">
        <v>66</v>
      </c>
      <c r="C55" s="315"/>
    </row>
    <row r="56" spans="1:7">
      <c r="B56" s="317" t="s">
        <v>67</v>
      </c>
      <c r="C56" s="318">
        <f ca="1">ROUND(C51/C52,3)</f>
        <v>0.51500000000000001</v>
      </c>
    </row>
    <row r="57" spans="1:7">
      <c r="B57" s="317" t="s">
        <v>68</v>
      </c>
      <c r="C57" s="319">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43462</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workbookViewId="0">
      <selection activeCell="N14" sqref="N14"/>
    </sheetView>
  </sheetViews>
  <sheetFormatPr defaultRowHeight="13.5"/>
  <cols>
    <col min="8" max="8" width="12.375" customWidth="1"/>
  </cols>
  <sheetData>
    <row r="1" spans="1:8">
      <c r="A1" s="2964" t="s">
        <v>3131</v>
      </c>
      <c r="B1" s="2964" t="s">
        <v>3132</v>
      </c>
      <c r="C1" s="2964" t="s">
        <v>3133</v>
      </c>
    </row>
    <row r="2" spans="1:8">
      <c r="A2" s="2964" t="s">
        <v>3134</v>
      </c>
      <c r="B2">
        <f>'数据-基础表'!K13</f>
        <v>9000</v>
      </c>
      <c r="C2">
        <f>C3*D2</f>
        <v>1.3499999999999999</v>
      </c>
      <c r="D2">
        <v>0.3</v>
      </c>
      <c r="E2">
        <f>C2*B2</f>
        <v>12149.999999999998</v>
      </c>
      <c r="G2">
        <f>G3*D2</f>
        <v>9000</v>
      </c>
      <c r="H2">
        <f>G2*B2</f>
        <v>81000000</v>
      </c>
    </row>
    <row r="3" spans="1:8">
      <c r="A3" s="2964" t="s">
        <v>3135</v>
      </c>
      <c r="B3" s="2964">
        <v>17849.91</v>
      </c>
      <c r="C3">
        <v>4.5</v>
      </c>
      <c r="D3">
        <v>1</v>
      </c>
      <c r="E3">
        <f t="shared" ref="E3:E9" si="0">C3*B3</f>
        <v>80324.595000000001</v>
      </c>
      <c r="G3">
        <v>30000</v>
      </c>
      <c r="H3">
        <f t="shared" ref="H3:H9" si="1">G3*B3</f>
        <v>535497300</v>
      </c>
    </row>
    <row r="4" spans="1:8">
      <c r="A4" s="2964" t="s">
        <v>3136</v>
      </c>
      <c r="B4" s="2964">
        <v>16366.62</v>
      </c>
      <c r="C4">
        <f>C3*D4</f>
        <v>3.15</v>
      </c>
      <c r="D4">
        <v>0.7</v>
      </c>
      <c r="E4">
        <f t="shared" si="0"/>
        <v>51554.853000000003</v>
      </c>
      <c r="G4">
        <f>G3*D4</f>
        <v>21000</v>
      </c>
      <c r="H4">
        <f t="shared" si="1"/>
        <v>343699020</v>
      </c>
    </row>
    <row r="5" spans="1:8">
      <c r="A5" s="2964" t="s">
        <v>3137</v>
      </c>
      <c r="B5" s="2964">
        <v>16334.27</v>
      </c>
      <c r="C5">
        <f>C3*D5</f>
        <v>2.6999999999999997</v>
      </c>
      <c r="D5">
        <v>0.6</v>
      </c>
      <c r="E5">
        <f t="shared" si="0"/>
        <v>44102.528999999995</v>
      </c>
      <c r="G5">
        <f>G3*D5</f>
        <v>18000</v>
      </c>
      <c r="H5">
        <f t="shared" si="1"/>
        <v>294016860</v>
      </c>
    </row>
    <row r="6" spans="1:8">
      <c r="A6" s="2964" t="s">
        <v>3138</v>
      </c>
      <c r="B6" s="2964">
        <v>15693.88</v>
      </c>
      <c r="C6">
        <f>C3*D6</f>
        <v>2.25</v>
      </c>
      <c r="D6">
        <v>0.5</v>
      </c>
      <c r="E6">
        <f t="shared" si="0"/>
        <v>35311.229999999996</v>
      </c>
      <c r="G6">
        <f>G3*D6</f>
        <v>15000</v>
      </c>
      <c r="H6">
        <f t="shared" si="1"/>
        <v>235408200</v>
      </c>
    </row>
    <row r="7" spans="1:8">
      <c r="A7" s="2964" t="s">
        <v>3139</v>
      </c>
      <c r="B7" s="2964">
        <v>10027.52</v>
      </c>
      <c r="C7">
        <f>C3*D7</f>
        <v>1.8</v>
      </c>
      <c r="D7">
        <v>0.4</v>
      </c>
      <c r="E7">
        <f t="shared" si="0"/>
        <v>18049.536</v>
      </c>
      <c r="G7">
        <f>G3*D7</f>
        <v>12000</v>
      </c>
      <c r="H7">
        <f t="shared" si="1"/>
        <v>120330240</v>
      </c>
    </row>
    <row r="8" spans="1:8">
      <c r="A8" s="2964" t="s">
        <v>3140</v>
      </c>
      <c r="B8" s="2964">
        <v>1318.55</v>
      </c>
      <c r="C8">
        <f>C3*D8</f>
        <v>1.3499999999999999</v>
      </c>
      <c r="D8">
        <v>0.3</v>
      </c>
      <c r="E8">
        <f t="shared" si="0"/>
        <v>1780.0424999999998</v>
      </c>
      <c r="G8">
        <f>G3*D8</f>
        <v>9000</v>
      </c>
      <c r="H8">
        <f t="shared" si="1"/>
        <v>11866950</v>
      </c>
    </row>
    <row r="9" spans="1:8">
      <c r="A9" s="2964" t="s">
        <v>3141</v>
      </c>
      <c r="B9" s="2964">
        <v>736.55</v>
      </c>
      <c r="C9">
        <f>C3*D9</f>
        <v>1.125</v>
      </c>
      <c r="D9">
        <v>0.25</v>
      </c>
      <c r="E9">
        <f t="shared" si="0"/>
        <v>828.61874999999998</v>
      </c>
      <c r="G9">
        <f>G3*D9</f>
        <v>7500</v>
      </c>
      <c r="H9">
        <f t="shared" si="1"/>
        <v>5524125</v>
      </c>
    </row>
    <row r="10" spans="1:8">
      <c r="B10" s="2964">
        <f>SUM(B2:B9)</f>
        <v>87327.300000000017</v>
      </c>
      <c r="C10">
        <f>ROUND(E10/B10,2)</f>
        <v>2.8</v>
      </c>
      <c r="E10">
        <f>SUM(E2:E9)</f>
        <v>244101.40424999999</v>
      </c>
      <c r="G10">
        <f>H10/B10</f>
        <v>18634.98235946834</v>
      </c>
      <c r="H10">
        <f>SUM(H2:H9)</f>
        <v>1627342695</v>
      </c>
    </row>
    <row r="17" spans="12:12">
      <c r="L17" s="2964" t="s">
        <v>3142</v>
      </c>
    </row>
    <row r="18" spans="12:12">
      <c r="L18" s="2964" t="s">
        <v>3143</v>
      </c>
    </row>
    <row r="19" spans="12:12">
      <c r="L19" s="2964" t="s">
        <v>3144</v>
      </c>
    </row>
    <row r="21" spans="12:12">
      <c r="L21" s="2964" t="s">
        <v>3145</v>
      </c>
    </row>
    <row r="23" spans="12:12">
      <c r="L23" s="2964" t="s">
        <v>3146</v>
      </c>
    </row>
    <row r="47" spans="12:12">
      <c r="L47" s="2964" t="s">
        <v>3147</v>
      </c>
    </row>
    <row r="48" spans="12:12">
      <c r="L48" s="2964" t="s">
        <v>3148</v>
      </c>
    </row>
    <row r="49" spans="12:12">
      <c r="L49" s="2964" t="s">
        <v>3149</v>
      </c>
    </row>
    <row r="51" spans="12:12">
      <c r="L51" s="2964" t="s">
        <v>3150</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M28" sqref="M28"/>
    </sheetView>
  </sheetViews>
  <sheetFormatPr defaultRowHeight="13.5"/>
  <cols>
    <col min="1" max="1" width="35.75" customWidth="1"/>
  </cols>
  <sheetData>
    <row r="1" spans="1:16" ht="14.25">
      <c r="A1" s="2965" t="s">
        <v>3151</v>
      </c>
      <c r="B1" s="2965" t="s">
        <v>3152</v>
      </c>
      <c r="C1" s="2965" t="s">
        <v>3153</v>
      </c>
      <c r="D1" s="2965" t="s">
        <v>3154</v>
      </c>
      <c r="E1" s="2965" t="s">
        <v>3155</v>
      </c>
      <c r="F1" s="2965" t="s">
        <v>3156</v>
      </c>
      <c r="G1" s="2965" t="s">
        <v>3157</v>
      </c>
      <c r="H1" s="2965" t="s">
        <v>3158</v>
      </c>
      <c r="I1" s="2965" t="s">
        <v>3159</v>
      </c>
      <c r="J1" s="2965" t="s">
        <v>3160</v>
      </c>
      <c r="K1" s="2965" t="s">
        <v>3161</v>
      </c>
      <c r="L1" s="2965" t="s">
        <v>3162</v>
      </c>
      <c r="M1" s="2965" t="s">
        <v>3163</v>
      </c>
    </row>
    <row r="2" spans="1:16" s="2967" customFormat="1" ht="14.25">
      <c r="A2" s="2966" t="s">
        <v>3093</v>
      </c>
      <c r="B2" s="2966" t="s">
        <v>3164</v>
      </c>
      <c r="C2" s="2966" t="s">
        <v>3165</v>
      </c>
      <c r="D2" s="2966">
        <v>47345</v>
      </c>
      <c r="E2" s="2966">
        <v>75752</v>
      </c>
      <c r="F2" s="2966" t="s">
        <v>3166</v>
      </c>
      <c r="G2" s="2966" t="s">
        <v>3167</v>
      </c>
      <c r="H2" s="2966" t="s">
        <v>3096</v>
      </c>
      <c r="I2" s="2966">
        <v>21309.040000000001</v>
      </c>
      <c r="J2" s="2966">
        <v>21309.040000000001</v>
      </c>
      <c r="K2" s="2966">
        <v>2813</v>
      </c>
      <c r="L2" s="2966">
        <v>0</v>
      </c>
      <c r="M2" s="2966" t="s">
        <v>3168</v>
      </c>
      <c r="O2" s="2967">
        <f>ROUND(J2/D2*10000,2)</f>
        <v>4500.8</v>
      </c>
      <c r="P2" s="2967">
        <f>O2*666/10000</f>
        <v>299.75328000000002</v>
      </c>
    </row>
    <row r="3" spans="1:16" ht="14.25">
      <c r="A3" s="2965" t="s">
        <v>3169</v>
      </c>
      <c r="B3" s="2965" t="s">
        <v>3164</v>
      </c>
      <c r="C3" s="2965" t="s">
        <v>3165</v>
      </c>
      <c r="D3" s="2965">
        <v>108169</v>
      </c>
      <c r="E3" s="2965">
        <v>259605.6</v>
      </c>
      <c r="F3" s="2965" t="s">
        <v>3170</v>
      </c>
      <c r="G3" s="2965" t="s">
        <v>3167</v>
      </c>
      <c r="H3" s="2965" t="s">
        <v>3096</v>
      </c>
      <c r="I3" s="2965">
        <v>41043.65</v>
      </c>
      <c r="J3" s="2965">
        <v>41043.65</v>
      </c>
      <c r="K3" s="2965">
        <v>1581</v>
      </c>
      <c r="L3" s="2965">
        <v>0</v>
      </c>
      <c r="M3" s="2965" t="s">
        <v>3171</v>
      </c>
      <c r="O3" s="2967">
        <f t="shared" ref="O3:O16" si="0">ROUND(J3/D3*10000,2)</f>
        <v>3794.4</v>
      </c>
      <c r="P3" s="2967">
        <f t="shared" ref="P3:P16" si="1">O3*666/10000</f>
        <v>252.70703999999998</v>
      </c>
    </row>
    <row r="4" spans="1:16" s="2967" customFormat="1" ht="14.25">
      <c r="A4" s="2968" t="s">
        <v>3172</v>
      </c>
      <c r="B4" s="2966" t="s">
        <v>3164</v>
      </c>
      <c r="C4" s="2966" t="s">
        <v>3165</v>
      </c>
      <c r="D4" s="2966">
        <v>17953</v>
      </c>
      <c r="E4" s="2966">
        <v>32315.4</v>
      </c>
      <c r="F4" s="2966" t="s">
        <v>3173</v>
      </c>
      <c r="G4" s="2966" t="s">
        <v>3167</v>
      </c>
      <c r="H4" s="2966" t="s">
        <v>3096</v>
      </c>
      <c r="I4" s="2966">
        <v>8450.4699999999993</v>
      </c>
      <c r="J4" s="2966">
        <v>8450.4699999999993</v>
      </c>
      <c r="K4" s="2966">
        <v>2615</v>
      </c>
      <c r="L4" s="2966">
        <v>0</v>
      </c>
      <c r="M4" s="2966" t="s">
        <v>3171</v>
      </c>
      <c r="O4" s="2967">
        <f t="shared" si="0"/>
        <v>4707</v>
      </c>
      <c r="P4" s="2967">
        <f t="shared" si="1"/>
        <v>313.4862</v>
      </c>
    </row>
    <row r="5" spans="1:16" s="2970" customFormat="1" ht="14.25">
      <c r="A5" s="2969" t="s">
        <v>3174</v>
      </c>
      <c r="B5" s="2969" t="s">
        <v>3164</v>
      </c>
      <c r="C5" s="2969" t="s">
        <v>3165</v>
      </c>
      <c r="D5" s="2969">
        <v>93972.1</v>
      </c>
      <c r="E5" s="2969">
        <v>93972.1</v>
      </c>
      <c r="F5" s="2969" t="s">
        <v>3175</v>
      </c>
      <c r="G5" s="2969" t="s">
        <v>3167</v>
      </c>
      <c r="H5" s="2969" t="s">
        <v>3176</v>
      </c>
      <c r="I5" s="2969">
        <v>28107.02</v>
      </c>
      <c r="J5" s="2969">
        <v>28107.02</v>
      </c>
      <c r="K5" s="2969">
        <v>2991</v>
      </c>
      <c r="L5" s="2969">
        <v>0</v>
      </c>
      <c r="M5" s="2969" t="s">
        <v>3177</v>
      </c>
      <c r="O5" s="2970">
        <f t="shared" si="0"/>
        <v>2991</v>
      </c>
      <c r="P5" s="2970">
        <f t="shared" si="1"/>
        <v>199.20060000000001</v>
      </c>
    </row>
    <row r="6" spans="1:16" s="2967" customFormat="1" ht="14.25">
      <c r="A6" s="2968" t="s">
        <v>3178</v>
      </c>
      <c r="B6" s="2966" t="s">
        <v>3164</v>
      </c>
      <c r="C6" s="2966" t="s">
        <v>3165</v>
      </c>
      <c r="D6" s="2966">
        <v>51071.7</v>
      </c>
      <c r="E6" s="2966">
        <v>153215</v>
      </c>
      <c r="F6" s="2966" t="s">
        <v>3179</v>
      </c>
      <c r="G6" s="2966" t="s">
        <v>3167</v>
      </c>
      <c r="H6" s="2966" t="s">
        <v>3097</v>
      </c>
      <c r="I6" s="2966">
        <v>45964.5</v>
      </c>
      <c r="J6" s="2966">
        <v>45964.5</v>
      </c>
      <c r="K6" s="2966">
        <v>3000</v>
      </c>
      <c r="L6" s="2966">
        <v>0</v>
      </c>
      <c r="M6" s="2966" t="s">
        <v>3180</v>
      </c>
      <c r="O6" s="2967">
        <f t="shared" si="0"/>
        <v>8999.99</v>
      </c>
      <c r="P6" s="2967">
        <f t="shared" si="1"/>
        <v>599.39933399999995</v>
      </c>
    </row>
    <row r="7" spans="1:16" ht="14.25">
      <c r="A7" s="2965" t="s">
        <v>3095</v>
      </c>
      <c r="B7" s="2965" t="s">
        <v>3164</v>
      </c>
      <c r="C7" s="2965" t="s">
        <v>3165</v>
      </c>
      <c r="D7" s="2965">
        <v>51720.1</v>
      </c>
      <c r="E7" s="2965">
        <v>181020</v>
      </c>
      <c r="F7" s="2965" t="s">
        <v>3181</v>
      </c>
      <c r="G7" s="2965" t="s">
        <v>3167</v>
      </c>
      <c r="H7" s="2965" t="s">
        <v>3097</v>
      </c>
      <c r="I7" s="2965">
        <v>54306</v>
      </c>
      <c r="J7" s="2965">
        <v>54306</v>
      </c>
      <c r="K7" s="2965">
        <v>3000</v>
      </c>
      <c r="L7" s="2965">
        <v>0</v>
      </c>
      <c r="M7" s="2965" t="s">
        <v>3180</v>
      </c>
      <c r="O7" s="2967">
        <f t="shared" si="0"/>
        <v>10499.98</v>
      </c>
      <c r="P7" s="2967">
        <f t="shared" si="1"/>
        <v>699.29866800000002</v>
      </c>
    </row>
    <row r="8" spans="1:16" ht="15">
      <c r="A8" s="2965" t="s">
        <v>3182</v>
      </c>
      <c r="B8" s="2965" t="s">
        <v>3164</v>
      </c>
      <c r="C8" s="2965" t="s">
        <v>3165</v>
      </c>
      <c r="D8" s="2965">
        <v>27903.599999999999</v>
      </c>
      <c r="E8" s="2965">
        <v>97662.6</v>
      </c>
      <c r="F8" s="2965" t="s">
        <v>3181</v>
      </c>
      <c r="G8" s="2965" t="s">
        <v>3167</v>
      </c>
      <c r="H8" s="2965" t="s">
        <v>3183</v>
      </c>
      <c r="I8" s="2965">
        <v>29298.59</v>
      </c>
      <c r="J8" s="2965">
        <v>29298.59</v>
      </c>
      <c r="K8" s="2965">
        <v>2999.98</v>
      </c>
      <c r="L8" s="2965">
        <v>0</v>
      </c>
      <c r="M8" s="2965" t="s">
        <v>3184</v>
      </c>
      <c r="O8" s="2967">
        <f t="shared" si="0"/>
        <v>10499.93</v>
      </c>
      <c r="P8" s="2967">
        <f t="shared" si="1"/>
        <v>699.29533800000002</v>
      </c>
    </row>
    <row r="9" spans="1:16" ht="14.25">
      <c r="A9" s="2965" t="s">
        <v>3185</v>
      </c>
      <c r="B9" s="2965" t="s">
        <v>3164</v>
      </c>
      <c r="C9" s="2965" t="s">
        <v>3165</v>
      </c>
      <c r="D9" s="2965">
        <v>37644.300000000003</v>
      </c>
      <c r="E9" s="2965">
        <v>165634.9</v>
      </c>
      <c r="F9" s="2965" t="s">
        <v>3186</v>
      </c>
      <c r="G9" s="2965" t="s">
        <v>3167</v>
      </c>
      <c r="H9" s="2965" t="s">
        <v>3183</v>
      </c>
      <c r="I9" s="2965">
        <v>49690.19</v>
      </c>
      <c r="J9" s="2965">
        <v>49690.19</v>
      </c>
      <c r="K9" s="2965">
        <v>2999.98</v>
      </c>
      <c r="L9" s="2965">
        <v>0</v>
      </c>
      <c r="M9" s="2965" t="s">
        <v>3184</v>
      </c>
      <c r="O9" s="2967">
        <f t="shared" si="0"/>
        <v>13199.92</v>
      </c>
      <c r="P9" s="2967">
        <f t="shared" si="1"/>
        <v>879.11467200000004</v>
      </c>
    </row>
    <row r="10" spans="1:16" ht="14.25">
      <c r="A10" s="2965" t="s">
        <v>3187</v>
      </c>
      <c r="B10" s="2965" t="s">
        <v>3164</v>
      </c>
      <c r="C10" s="2965" t="s">
        <v>3165</v>
      </c>
      <c r="D10" s="2965">
        <v>20884.599999999999</v>
      </c>
      <c r="E10" s="2965">
        <v>73096</v>
      </c>
      <c r="F10" s="2965" t="s">
        <v>3188</v>
      </c>
      <c r="G10" s="2965" t="s">
        <v>3167</v>
      </c>
      <c r="H10" s="2965" t="s">
        <v>3189</v>
      </c>
      <c r="I10" s="2965">
        <v>25583.59</v>
      </c>
      <c r="J10" s="2965">
        <v>26314.560000000001</v>
      </c>
      <c r="K10" s="2965">
        <v>3600</v>
      </c>
      <c r="L10" s="2965">
        <v>2.86</v>
      </c>
      <c r="M10" s="2965" t="s">
        <v>3190</v>
      </c>
      <c r="O10" s="2967">
        <f t="shared" si="0"/>
        <v>12599.98</v>
      </c>
      <c r="P10" s="2967">
        <f t="shared" si="1"/>
        <v>839.15866799999992</v>
      </c>
    </row>
    <row r="11" spans="1:16" ht="14.25">
      <c r="A11" s="2965" t="s">
        <v>3191</v>
      </c>
      <c r="B11" s="2965" t="s">
        <v>3164</v>
      </c>
      <c r="C11" s="2965" t="s">
        <v>3165</v>
      </c>
      <c r="D11" s="2965">
        <v>23673.200000000001</v>
      </c>
      <c r="E11" s="2965">
        <v>47346.400000000001</v>
      </c>
      <c r="F11" s="2965" t="s">
        <v>3192</v>
      </c>
      <c r="G11" s="2965" t="s">
        <v>3167</v>
      </c>
      <c r="H11" s="2965" t="s">
        <v>3193</v>
      </c>
      <c r="I11" s="2965">
        <v>14203.79</v>
      </c>
      <c r="J11" s="2965">
        <v>14203.79</v>
      </c>
      <c r="K11" s="2965">
        <v>2999.96</v>
      </c>
      <c r="L11" s="2965">
        <v>0</v>
      </c>
      <c r="M11" s="2965" t="s">
        <v>3194</v>
      </c>
      <c r="O11" s="2967">
        <f t="shared" si="0"/>
        <v>5999.95</v>
      </c>
      <c r="P11" s="2967">
        <f t="shared" si="1"/>
        <v>399.59666999999996</v>
      </c>
    </row>
    <row r="12" spans="1:16" ht="14.25">
      <c r="A12" s="2965" t="s">
        <v>3195</v>
      </c>
      <c r="B12" s="2965" t="s">
        <v>3164</v>
      </c>
      <c r="C12" s="2965" t="s">
        <v>3165</v>
      </c>
      <c r="D12" s="2965">
        <v>26541.9</v>
      </c>
      <c r="E12" s="2965">
        <v>79625.7</v>
      </c>
      <c r="F12" s="2965" t="s">
        <v>3179</v>
      </c>
      <c r="G12" s="2965" t="s">
        <v>3167</v>
      </c>
      <c r="H12" s="2965" t="s">
        <v>3193</v>
      </c>
      <c r="I12" s="2965">
        <v>23887.5</v>
      </c>
      <c r="J12" s="2965">
        <v>23887.5</v>
      </c>
      <c r="K12" s="2965">
        <v>2999.96</v>
      </c>
      <c r="L12" s="2965">
        <v>0</v>
      </c>
      <c r="M12" s="2965" t="s">
        <v>3194</v>
      </c>
      <c r="O12" s="2967">
        <f t="shared" si="0"/>
        <v>8999.92</v>
      </c>
      <c r="P12" s="2967">
        <f t="shared" si="1"/>
        <v>599.39467200000001</v>
      </c>
    </row>
    <row r="13" spans="1:16" ht="14.25">
      <c r="A13" s="2965" t="s">
        <v>3196</v>
      </c>
      <c r="B13" s="2965" t="s">
        <v>3164</v>
      </c>
      <c r="C13" s="2965" t="s">
        <v>3165</v>
      </c>
      <c r="D13" s="2965">
        <v>3286.6</v>
      </c>
      <c r="E13" s="2965">
        <v>1643.15</v>
      </c>
      <c r="F13" s="2965" t="s">
        <v>3197</v>
      </c>
      <c r="G13" s="2965" t="s">
        <v>3198</v>
      </c>
      <c r="H13" s="2965" t="s">
        <v>3199</v>
      </c>
      <c r="I13" s="2965">
        <v>652.26</v>
      </c>
      <c r="J13" s="2965">
        <v>652.26</v>
      </c>
      <c r="K13" s="2965">
        <v>3969.63</v>
      </c>
      <c r="L13" s="2965">
        <v>0</v>
      </c>
      <c r="M13" s="2965" t="s">
        <v>3200</v>
      </c>
      <c r="O13" s="2967">
        <f t="shared" si="0"/>
        <v>1984.6</v>
      </c>
      <c r="P13" s="2967">
        <f t="shared" si="1"/>
        <v>132.17435999999998</v>
      </c>
    </row>
    <row r="14" spans="1:16" ht="14.25">
      <c r="A14" s="2965" t="s">
        <v>3201</v>
      </c>
      <c r="B14" s="2965" t="s">
        <v>3164</v>
      </c>
      <c r="C14" s="2965" t="s">
        <v>3165</v>
      </c>
      <c r="D14" s="2965">
        <v>286387.7</v>
      </c>
      <c r="E14" s="2965">
        <v>357000</v>
      </c>
      <c r="F14" s="2965" t="s">
        <v>3202</v>
      </c>
      <c r="G14" s="2965" t="s">
        <v>3167</v>
      </c>
      <c r="H14" s="2965" t="s">
        <v>3203</v>
      </c>
      <c r="I14" s="2965">
        <v>50586.9</v>
      </c>
      <c r="J14" s="2965">
        <v>50586.9</v>
      </c>
      <c r="K14" s="2965">
        <v>1417</v>
      </c>
      <c r="L14" s="2965">
        <v>0</v>
      </c>
      <c r="M14" s="2965" t="s">
        <v>3204</v>
      </c>
      <c r="O14" s="2967">
        <f t="shared" si="0"/>
        <v>1766.38</v>
      </c>
      <c r="P14" s="2967">
        <f t="shared" si="1"/>
        <v>117.64090800000001</v>
      </c>
    </row>
    <row r="15" spans="1:16" ht="14.25">
      <c r="A15" s="2965" t="s">
        <v>3205</v>
      </c>
      <c r="B15" s="2965" t="s">
        <v>3164</v>
      </c>
      <c r="C15" s="2965" t="s">
        <v>3165</v>
      </c>
      <c r="D15" s="2965">
        <v>11119.1</v>
      </c>
      <c r="E15" s="2965">
        <v>13342</v>
      </c>
      <c r="F15" s="2965" t="s">
        <v>3206</v>
      </c>
      <c r="G15" s="2965" t="s">
        <v>3167</v>
      </c>
      <c r="H15" s="2965" t="s">
        <v>3207</v>
      </c>
      <c r="I15" s="2965">
        <v>1802.5</v>
      </c>
      <c r="J15" s="2965">
        <v>1802.5</v>
      </c>
      <c r="K15" s="2965">
        <v>1351</v>
      </c>
      <c r="L15" s="2965">
        <v>0</v>
      </c>
      <c r="M15" s="2965" t="s">
        <v>3208</v>
      </c>
      <c r="O15" s="2967">
        <f t="shared" si="0"/>
        <v>1621.08</v>
      </c>
      <c r="P15" s="2967">
        <f t="shared" si="1"/>
        <v>107.96392800000001</v>
      </c>
    </row>
    <row r="16" spans="1:16" ht="14.25">
      <c r="A16" s="2965" t="s">
        <v>3209</v>
      </c>
      <c r="B16" s="2965" t="s">
        <v>3164</v>
      </c>
      <c r="C16" s="2965" t="s">
        <v>3165</v>
      </c>
      <c r="D16" s="2965">
        <v>4076</v>
      </c>
      <c r="E16" s="2965">
        <v>12228</v>
      </c>
      <c r="F16" s="2965" t="s">
        <v>3210</v>
      </c>
      <c r="G16" s="2965" t="s">
        <v>3167</v>
      </c>
      <c r="H16" s="2965" t="s">
        <v>3211</v>
      </c>
      <c r="I16" s="2965">
        <v>1516.26</v>
      </c>
      <c r="J16" s="2965">
        <v>1516.26</v>
      </c>
      <c r="K16" s="2965">
        <v>1240</v>
      </c>
      <c r="L16" s="2965">
        <v>0</v>
      </c>
      <c r="M16" s="2965" t="s">
        <v>3212</v>
      </c>
      <c r="O16" s="2967">
        <f t="shared" si="0"/>
        <v>3719.97</v>
      </c>
      <c r="P16" s="2967">
        <f t="shared" si="1"/>
        <v>247.75000199999999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7" t="s">
        <v>1638</v>
      </c>
      <c r="E3" s="1047" t="s">
        <v>1644</v>
      </c>
      <c r="F3" s="1047" t="s">
        <v>1638</v>
      </c>
      <c r="G3" s="1047" t="s">
        <v>1639</v>
      </c>
      <c r="H3" s="1047" t="s">
        <v>1638</v>
      </c>
      <c r="I3" s="1047" t="s">
        <v>1639</v>
      </c>
    </row>
    <row r="4" spans="1:9" ht="60">
      <c r="A4" s="1976" t="str">
        <f>项目基本情况!S2</f>
        <v>山东省青岛市城阳街道大北曲后社区青岛北曲后汇豪置业有限公司出让国有建设用地使用权及在建建筑物房地产</v>
      </c>
      <c r="B4" s="1047">
        <f>项目基本情况!C17</f>
        <v>117760.1</v>
      </c>
      <c r="C4" s="1047">
        <f>项目基本情况!C18</f>
        <v>31518.76</v>
      </c>
      <c r="D4" s="1047">
        <f ca="1">结果表!D118</f>
        <v>34698</v>
      </c>
      <c r="E4" s="1047">
        <f ca="1">结果表!E118</f>
        <v>2946</v>
      </c>
      <c r="F4" s="1047">
        <f ca="1">结果表!F118</f>
        <v>35540</v>
      </c>
      <c r="G4" s="1047">
        <f ca="1">结果表!G118</f>
        <v>3018</v>
      </c>
      <c r="H4" s="1047">
        <f ca="1">结果表!H118</f>
        <v>70238</v>
      </c>
      <c r="I4" s="1047">
        <f ca="1">结果表!I118</f>
        <v>5964</v>
      </c>
    </row>
    <row r="5" spans="1:9" ht="30" customHeight="1">
      <c r="A5" s="2986" t="s">
        <v>1640</v>
      </c>
      <c r="B5" s="2986"/>
      <c r="C5" s="2986"/>
      <c r="D5" s="2987" t="str">
        <f ca="1">结果表!D119</f>
        <v>叁亿肆仟陆佰玖拾捌万元整</v>
      </c>
      <c r="E5" s="2987"/>
      <c r="F5" s="2987" t="str">
        <f ca="1">结果表!F119</f>
        <v>叁亿伍仟伍佰肆拾万元整</v>
      </c>
      <c r="G5" s="2987"/>
      <c r="H5" s="2987" t="str">
        <f ca="1">结果表!H119</f>
        <v>柒亿零贰佰叁拾捌万元整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1640</v>
      </c>
      <c r="B7" s="2986"/>
      <c r="C7" s="2986"/>
      <c r="D7" s="2988" t="str">
        <f>结果表!D121</f>
        <v>零元整</v>
      </c>
      <c r="E7" s="2989"/>
      <c r="F7" s="2989"/>
      <c r="G7" s="2989"/>
      <c r="H7" s="2989"/>
      <c r="I7" s="2990"/>
    </row>
    <row r="8" spans="1:9" ht="15.75">
      <c r="A8" s="2985" t="str">
        <f>结果表!A122</f>
        <v>房地产抵押价值</v>
      </c>
      <c r="B8" s="2985"/>
      <c r="C8" s="2985"/>
      <c r="D8" s="2985">
        <f ca="1">结果表!D122</f>
        <v>70238</v>
      </c>
      <c r="E8" s="2985"/>
      <c r="F8" s="2985"/>
      <c r="G8" s="2985"/>
      <c r="H8" s="2985"/>
      <c r="I8" s="2985"/>
    </row>
    <row r="9" spans="1:9" ht="15">
      <c r="A9" s="2986" t="s">
        <v>1640</v>
      </c>
      <c r="B9" s="2986"/>
      <c r="C9" s="2986"/>
      <c r="D9" s="2987" t="str">
        <f ca="1">结果表!D123</f>
        <v>柒亿零贰佰叁拾捌万元整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1640</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9" t="s">
        <v>1662</v>
      </c>
      <c r="B1" s="2999"/>
      <c r="C1" s="2999"/>
      <c r="D1" s="2999"/>
    </row>
    <row r="2" spans="1:4" ht="18">
      <c r="A2" s="3000" t="s">
        <v>1646</v>
      </c>
      <c r="B2" s="3000"/>
      <c r="C2" s="3000"/>
      <c r="D2" s="3000"/>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000" t="s">
        <v>1652</v>
      </c>
      <c r="B6" s="3000"/>
      <c r="C6" s="3000"/>
      <c r="D6" s="300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1" t="s">
        <v>1655</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1656</v>
      </c>
      <c r="B16" s="2995"/>
      <c r="C16" s="2995"/>
      <c r="D16" s="2995"/>
    </row>
    <row r="17" spans="1:4" ht="144" customHeight="1">
      <c r="A17" s="2995" t="s">
        <v>1657</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7" t="s">
        <v>1669</v>
      </c>
      <c r="B15" s="3002" t="s">
        <v>136</v>
      </c>
      <c r="C15" s="3003"/>
    </row>
    <row r="16" spans="1:7" ht="13.5">
      <c r="A16" s="3008"/>
      <c r="B16" s="3002" t="s">
        <v>69</v>
      </c>
      <c r="C16" s="3003"/>
    </row>
    <row r="17" spans="1:3" ht="13.5">
      <c r="A17" s="3008"/>
      <c r="B17" s="3005" t="s">
        <v>1670</v>
      </c>
      <c r="C17" s="2003" t="s">
        <v>1669</v>
      </c>
    </row>
    <row r="18" spans="1:3" ht="13.5">
      <c r="A18" s="3008"/>
      <c r="B18" s="3005"/>
      <c r="C18" s="2003" t="s">
        <v>1671</v>
      </c>
    </row>
    <row r="19" spans="1:3" ht="13.5">
      <c r="A19" s="3008"/>
      <c r="B19" s="3005"/>
      <c r="C19" s="2003" t="s">
        <v>1672</v>
      </c>
    </row>
    <row r="20" spans="1:3" ht="13.5">
      <c r="A20" s="3009"/>
      <c r="B20" s="3004" t="s">
        <v>1673</v>
      </c>
      <c r="C20" s="3003"/>
    </row>
    <row r="21" spans="1:3" ht="13.5">
      <c r="A21" s="2004" t="s">
        <v>1674</v>
      </c>
      <c r="B21" s="2005"/>
      <c r="C21" s="2006"/>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3" t="s">
        <v>1680</v>
      </c>
    </row>
    <row r="26" spans="1:3" ht="13.5">
      <c r="A26" s="3006"/>
      <c r="B26" s="3005"/>
      <c r="C26" s="2003" t="s">
        <v>1681</v>
      </c>
    </row>
    <row r="27" spans="1:3" ht="13.5">
      <c r="A27" s="3006"/>
      <c r="B27" s="3005"/>
      <c r="C27" s="2003" t="s">
        <v>1682</v>
      </c>
    </row>
    <row r="28" spans="1:3" ht="13.5">
      <c r="A28" s="3006"/>
      <c r="B28" s="3005"/>
      <c r="C28" s="2003" t="s">
        <v>1683</v>
      </c>
    </row>
    <row r="29" spans="1:3" ht="13.5">
      <c r="A29" s="3006"/>
      <c r="B29" s="3005"/>
      <c r="C29" s="2003" t="s">
        <v>1684</v>
      </c>
    </row>
    <row r="30" spans="1:3" ht="13.5">
      <c r="A30" s="3006"/>
      <c r="B30" s="3005"/>
      <c r="C30" s="2003" t="s">
        <v>1685</v>
      </c>
    </row>
    <row r="31" spans="1:3" ht="13.5">
      <c r="A31" s="3006"/>
      <c r="B31" s="3005"/>
      <c r="C31" s="2003" t="s">
        <v>1686</v>
      </c>
    </row>
    <row r="32" spans="1:3" ht="13.5">
      <c r="A32" s="3006"/>
      <c r="B32" s="3005"/>
      <c r="C32" s="2003" t="s">
        <v>1687</v>
      </c>
    </row>
    <row r="33" spans="1:3" ht="13.5">
      <c r="A33" s="3006"/>
      <c r="B33" s="300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43462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3049</v>
      </c>
      <c r="B12" s="1025">
        <v>1120110054</v>
      </c>
      <c r="C12" s="2943">
        <v>43937</v>
      </c>
      <c r="D12" s="1705" t="s">
        <v>3049</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Sheet4</vt:lpstr>
      <vt:lpstr>估价师及机构信息!Print_Area</vt:lpstr>
      <vt:lpstr>收益法!Print_Area</vt:lpstr>
      <vt:lpstr>'收益法 (地下车库)'!Print_Area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2018-12-28T03:12:20Z</dcterms:modified>
</cp:coreProperties>
</file>