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B17" i="3"/>
  <c r="B16" i="3"/>
  <c r="N6" i="1"/>
  <c r="E104" i="33"/>
  <c r="F104" i="33" s="1"/>
  <c r="G104" i="33" s="1"/>
  <c r="D104" i="33"/>
  <c r="C33" i="33"/>
  <c r="H72" i="77" l="1"/>
  <c r="H71" i="77"/>
  <c r="H73" i="77" l="1"/>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47" i="33"/>
  <c r="G62" i="33"/>
  <c r="G40" i="33"/>
  <c r="G36" i="33"/>
  <c r="E47" i="33"/>
  <c r="F62" i="33"/>
  <c r="E40" i="33"/>
  <c r="E36" i="33"/>
  <c r="C36" i="33"/>
  <c r="C37" i="21" l="1"/>
  <c r="D122" i="21"/>
  <c r="E122" i="21"/>
  <c r="F122" i="21"/>
  <c r="G122" i="21"/>
  <c r="C122" i="21"/>
  <c r="Y6" i="1" l="1"/>
  <c r="B7" i="4"/>
  <c r="C11" i="4" s="1"/>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B12" i="76"/>
  <c r="E8" i="76"/>
  <c r="E9" i="76"/>
  <c r="E7" i="76"/>
  <c r="E13" i="76"/>
  <c r="B11" i="76"/>
  <c r="E11" i="76"/>
  <c r="E12" i="76"/>
  <c r="B9" i="76"/>
  <c r="B10" i="76"/>
  <c r="B13" i="76"/>
  <c r="E10" i="76"/>
  <c r="B8"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6" i="73"/>
  <c r="D3" i="73"/>
  <c r="F3" i="73"/>
  <c r="F4" i="73"/>
  <c r="F5" i="73"/>
  <c r="I1" i="73" l="1"/>
  <c r="B39" i="1" s="1"/>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1"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BT5" i="3" s="1"/>
  <c r="H494" i="3"/>
  <c r="AC494" i="3"/>
  <c r="BB494" i="3"/>
  <c r="BC494" i="3"/>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F35" i="39"/>
  <c r="J36" i="39"/>
  <c r="AC36" i="39" s="1"/>
  <c r="W40" i="39"/>
  <c r="U30"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F36" i="34"/>
  <c r="J35" i="34"/>
  <c r="W9" i="34"/>
  <c r="U34" i="34"/>
  <c r="H39" i="33"/>
  <c r="AB39" i="33" s="1"/>
  <c r="S40" i="33"/>
  <c r="W33" i="33"/>
  <c r="F11" i="40"/>
  <c r="AA11" i="40" s="1"/>
  <c r="H11" i="40"/>
  <c r="AB11" i="40" s="1"/>
  <c r="W8" i="40"/>
  <c r="AA9" i="40"/>
  <c r="U9" i="40"/>
  <c r="F42" i="39"/>
  <c r="F41" i="39"/>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AB8" i="39"/>
  <c r="W32" i="40"/>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F11" i="33"/>
  <c r="AA11" i="33" s="1"/>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J11" i="33"/>
  <c r="W11" i="33" s="1"/>
  <c r="S28" i="34"/>
  <c r="U23" i="40"/>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H31" i="33"/>
  <c r="U31" i="33" s="1"/>
  <c r="H30" i="34"/>
  <c r="J46" i="34"/>
  <c r="J26" i="36"/>
  <c r="W26" i="36" s="1"/>
  <c r="H28" i="36"/>
  <c r="U28" i="36" s="1"/>
  <c r="J32" i="36"/>
  <c r="J11" i="36"/>
  <c r="AC11" i="36" s="1"/>
  <c r="H11" i="36"/>
  <c r="F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F13" i="39"/>
  <c r="J13" i="39"/>
  <c r="W13" i="39" s="1"/>
  <c r="H13" i="39"/>
  <c r="H14" i="40"/>
  <c r="AB14" i="40" s="1"/>
  <c r="J14" i="37"/>
  <c r="AC14" i="37" s="1"/>
  <c r="AA13" i="35"/>
  <c r="U31" i="34"/>
  <c r="U46" i="33"/>
  <c r="AA14" i="33"/>
  <c r="J36" i="37"/>
  <c r="AC36" i="37" s="1"/>
  <c r="J10" i="36"/>
  <c r="AC10" i="36" s="1"/>
  <c r="AB30" i="21"/>
  <c r="AA14" i="37"/>
  <c r="W11" i="36"/>
  <c r="AB31" i="33"/>
  <c r="AC28" i="21"/>
  <c r="S44" i="34"/>
  <c r="BA585" i="3"/>
  <c r="J41" i="39"/>
  <c r="W41" i="39" s="1"/>
  <c r="W36" i="39"/>
  <c r="U36" i="39"/>
  <c r="G523" i="3"/>
  <c r="G580" i="3"/>
  <c r="G550" i="3"/>
  <c r="BL580" i="3"/>
  <c r="BL572" i="3"/>
  <c r="BL506" i="3"/>
  <c r="BL578" i="3"/>
  <c r="BL556" i="3"/>
  <c r="BL504" i="3"/>
  <c r="BA584" i="3"/>
  <c r="BA580" i="3"/>
  <c r="AZ580" i="3" s="1"/>
  <c r="BA568" i="3"/>
  <c r="BA548" i="3"/>
  <c r="BA502" i="3"/>
  <c r="BA583" i="3"/>
  <c r="BA579" i="3"/>
  <c r="BA571" i="3"/>
  <c r="BA545" i="3"/>
  <c r="BA515" i="3"/>
  <c r="BA493" i="3"/>
  <c r="G581" i="3"/>
  <c r="G577" i="3"/>
  <c r="AC557" i="3"/>
  <c r="BQ557" i="3"/>
  <c r="BQ583" i="3"/>
  <c r="BQ581" i="3"/>
  <c r="BQ579" i="3"/>
  <c r="BQ577" i="3"/>
  <c r="BQ575" i="3"/>
  <c r="BQ573" i="3"/>
  <c r="BQ571" i="3"/>
  <c r="BQ569" i="3"/>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G501" i="3"/>
  <c r="BQ507" i="3"/>
  <c r="BL507" i="3" s="1"/>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2" i="40"/>
  <c r="S32" i="40" s="1"/>
  <c r="H32" i="40"/>
  <c r="AB32" i="40" s="1"/>
  <c r="J36" i="40"/>
  <c r="W36" i="40" s="1"/>
  <c r="AA41" i="34"/>
  <c r="H19" i="37"/>
  <c r="AB19" i="37" s="1"/>
  <c r="H42" i="33"/>
  <c r="AB42" i="33" s="1"/>
  <c r="S28" i="31"/>
  <c r="S27" i="31"/>
  <c r="AC33" i="36"/>
  <c r="U35" i="35"/>
  <c r="W14" i="37"/>
  <c r="U33" i="37"/>
  <c r="AC8" i="37"/>
  <c r="U26" i="37"/>
  <c r="AB13" i="34"/>
  <c r="AB37" i="34"/>
  <c r="W44" i="33"/>
  <c r="U11" i="33"/>
  <c r="U26" i="21"/>
  <c r="U12" i="21"/>
  <c r="W15" i="34"/>
  <c r="AC15" i="34"/>
  <c r="W16" i="35"/>
  <c r="H37" i="21"/>
  <c r="U37" i="21" s="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W9" i="39"/>
  <c r="J19" i="40"/>
  <c r="AC19" i="40" s="1"/>
  <c r="J50" i="40"/>
  <c r="B54" i="72"/>
  <c r="H103" i="9"/>
  <c r="D8" i="53" s="1"/>
  <c r="B16" i="53"/>
  <c r="B33" i="72" s="1"/>
  <c r="C7" i="37"/>
  <c r="C7" i="34"/>
  <c r="C7" i="36"/>
  <c r="A118" i="9"/>
  <c r="J11" i="39"/>
  <c r="W11" i="39" s="1"/>
  <c r="F11" i="39"/>
  <c r="AA11" i="39" s="1"/>
  <c r="A12" i="52"/>
  <c r="B56" i="72" s="1"/>
  <c r="S11" i="39"/>
  <c r="G4" i="4"/>
  <c r="I4" i="4"/>
  <c r="K5" i="4"/>
  <c r="B47" i="48" s="1"/>
  <c r="N2" i="43"/>
  <c r="F59"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AZ175" i="3" s="1"/>
  <c r="BL176" i="3"/>
  <c r="BA179" i="3"/>
  <c r="AZ179" i="3" s="1"/>
  <c r="BL180" i="3"/>
  <c r="AZ180" i="3" s="1"/>
  <c r="G181" i="3"/>
  <c r="BA183" i="3"/>
  <c r="BL184" i="3"/>
  <c r="G185" i="3"/>
  <c r="BA187" i="3"/>
  <c r="AZ187" i="3" s="1"/>
  <c r="BL188" i="3"/>
  <c r="G189" i="3"/>
  <c r="BA191" i="3"/>
  <c r="AZ191" i="3" s="1"/>
  <c r="BL192" i="3"/>
  <c r="BA195" i="3"/>
  <c r="AZ195" i="3" s="1"/>
  <c r="BL196" i="3"/>
  <c r="G197" i="3"/>
  <c r="BA199" i="3"/>
  <c r="BL200" i="3"/>
  <c r="G201" i="3"/>
  <c r="BA203" i="3"/>
  <c r="BL204" i="3"/>
  <c r="AZ105" i="3"/>
  <c r="G516"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AZ343" i="3" s="1"/>
  <c r="G344" i="3"/>
  <c r="G348" i="3"/>
  <c r="G355" i="3"/>
  <c r="AZ303" i="3"/>
  <c r="AZ335" i="3"/>
  <c r="G342" i="3"/>
  <c r="BL345" i="3"/>
  <c r="G346" i="3"/>
  <c r="BL349" i="3"/>
  <c r="BL352" i="3"/>
  <c r="G353" i="3"/>
  <c r="BA357" i="3"/>
  <c r="AZ357" i="3" s="1"/>
  <c r="BL358" i="3"/>
  <c r="G359" i="3"/>
  <c r="BA361" i="3"/>
  <c r="BL362" i="3"/>
  <c r="G363" i="3"/>
  <c r="BA365" i="3"/>
  <c r="BL366" i="3"/>
  <c r="G367" i="3"/>
  <c r="BA369" i="3"/>
  <c r="AZ369" i="3" s="1"/>
  <c r="BL370" i="3"/>
  <c r="AZ370" i="3" s="1"/>
  <c r="G371" i="3"/>
  <c r="BA373" i="3"/>
  <c r="AZ373" i="3" s="1"/>
  <c r="BL374" i="3"/>
  <c r="AZ374" i="3" s="1"/>
  <c r="G375" i="3"/>
  <c r="BA377" i="3"/>
  <c r="AZ377" i="3" s="1"/>
  <c r="AZ233" i="3"/>
  <c r="AZ237" i="3"/>
  <c r="AZ269" i="3"/>
  <c r="AZ273" i="3"/>
  <c r="BA379" i="3"/>
  <c r="AZ379" i="3" s="1"/>
  <c r="BL380" i="3"/>
  <c r="G381" i="3"/>
  <c r="BA383" i="3"/>
  <c r="AZ383" i="3" s="1"/>
  <c r="BL384" i="3"/>
  <c r="AZ384" i="3" s="1"/>
  <c r="G385" i="3"/>
  <c r="BA387" i="3"/>
  <c r="AZ387" i="3" s="1"/>
  <c r="BL388" i="3"/>
  <c r="G389" i="3"/>
  <c r="BA391" i="3"/>
  <c r="AZ391" i="3" s="1"/>
  <c r="BL392" i="3"/>
  <c r="G393" i="3"/>
  <c r="AZ275" i="3"/>
  <c r="AZ291" i="3"/>
  <c r="BO5" i="3"/>
  <c r="BJ5" i="3"/>
  <c r="BF5" i="3"/>
  <c r="AZ309" i="3"/>
  <c r="AZ341" i="3"/>
  <c r="AC5" i="3"/>
  <c r="G548" i="3"/>
  <c r="G520" i="3"/>
  <c r="BS5" i="3"/>
  <c r="BN5" i="3"/>
  <c r="BK5" i="3"/>
  <c r="BG5" i="3"/>
  <c r="BC5" i="3"/>
  <c r="G17" i="3"/>
  <c r="BA17" i="3"/>
  <c r="AZ350" i="3"/>
  <c r="AZ360" i="3"/>
  <c r="BA15" i="3"/>
  <c r="AZ380" i="3"/>
  <c r="AZ394" i="3"/>
  <c r="BL493" i="3"/>
  <c r="AZ493" i="3" s="1"/>
  <c r="AZ491" i="3"/>
  <c r="AZ376" i="3"/>
  <c r="U36" i="40"/>
  <c r="N4" i="43"/>
  <c r="F36" i="43"/>
  <c r="F81" i="43"/>
  <c r="H83" i="43" s="1"/>
  <c r="H113" i="43"/>
  <c r="F48" i="43"/>
  <c r="H52" i="43" s="1"/>
  <c r="N7" i="43"/>
  <c r="F70" i="43"/>
  <c r="H73" i="43" s="1"/>
  <c r="M6" i="43"/>
  <c r="M11" i="43"/>
  <c r="E17" i="43"/>
  <c r="F39" i="43"/>
  <c r="I17" i="43"/>
  <c r="F35" i="43"/>
  <c r="J17" i="43"/>
  <c r="F6" i="1"/>
  <c r="U17" i="39"/>
  <c r="AC35" i="21"/>
  <c r="G8" i="1"/>
  <c r="G9" i="1"/>
  <c r="G10" i="1"/>
  <c r="F48" i="9"/>
  <c r="O52" i="9" s="1"/>
  <c r="AC11" i="39"/>
  <c r="AZ501" i="3"/>
  <c r="W37" i="37"/>
  <c r="W44" i="34"/>
  <c r="AC44" i="34"/>
  <c r="S15" i="37"/>
  <c r="J37" i="33"/>
  <c r="W37" i="33" s="1"/>
  <c r="AC17" i="34"/>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32" i="3"/>
  <c r="AZ268" i="3"/>
  <c r="AZ271" i="3"/>
  <c r="AZ288"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29" i="6" l="1"/>
  <c r="G123" i="21"/>
  <c r="H123" i="21" s="1"/>
  <c r="I123" i="21" s="1"/>
  <c r="J123" i="21" s="1"/>
  <c r="K123" i="21" s="1"/>
  <c r="L123" i="21" s="1"/>
  <c r="M123" i="21" s="1"/>
  <c r="F42" i="21"/>
  <c r="H42" i="21"/>
  <c r="U42" i="21" s="1"/>
  <c r="AC34" i="35"/>
  <c r="W34" i="35"/>
  <c r="AA27" i="35"/>
  <c r="S27" i="35"/>
  <c r="U8" i="36"/>
  <c r="AB8" i="36"/>
  <c r="AC26" i="37"/>
  <c r="W26" i="37"/>
  <c r="AC31" i="37"/>
  <c r="W31" i="37"/>
  <c r="H13" i="37"/>
  <c r="F13" i="37"/>
  <c r="S13" i="37" s="1"/>
  <c r="H40" i="37"/>
  <c r="U40" i="37" s="1"/>
  <c r="F40" i="37"/>
  <c r="AA40" i="37" s="1"/>
  <c r="AB9" i="39"/>
  <c r="U9" i="39"/>
  <c r="H45" i="39"/>
  <c r="F45" i="39"/>
  <c r="S45" i="39" s="1"/>
  <c r="J45" i="39"/>
  <c r="AA34" i="40"/>
  <c r="S34" i="40"/>
  <c r="J12" i="40"/>
  <c r="H12" i="40"/>
  <c r="J14" i="40"/>
  <c r="W14" i="40" s="1"/>
  <c r="F14" i="40"/>
  <c r="BA577" i="3"/>
  <c r="BA575" i="3"/>
  <c r="BA573" i="3"/>
  <c r="BL571" i="3"/>
  <c r="AZ571" i="3" s="1"/>
  <c r="BL570" i="3"/>
  <c r="BA570" i="3"/>
  <c r="AZ570" i="3" s="1"/>
  <c r="BL568" i="3"/>
  <c r="BL566" i="3"/>
  <c r="BA566" i="3"/>
  <c r="AZ566" i="3" s="1"/>
  <c r="BL564" i="3"/>
  <c r="BA564" i="3"/>
  <c r="BL562" i="3"/>
  <c r="BA562" i="3"/>
  <c r="AZ562" i="3" s="1"/>
  <c r="BL560" i="3"/>
  <c r="AZ560" i="3" s="1"/>
  <c r="BL558" i="3"/>
  <c r="BA558" i="3"/>
  <c r="BA556" i="3"/>
  <c r="AZ556" i="3" s="1"/>
  <c r="BA553" i="3"/>
  <c r="BL552" i="3"/>
  <c r="BA552" i="3"/>
  <c r="BA549" i="3"/>
  <c r="BA547" i="3"/>
  <c r="BA543" i="3"/>
  <c r="BA541" i="3"/>
  <c r="BA539" i="3"/>
  <c r="BA537" i="3"/>
  <c r="BA535" i="3"/>
  <c r="BA531" i="3"/>
  <c r="BA529" i="3"/>
  <c r="BA527" i="3"/>
  <c r="BA525" i="3"/>
  <c r="BA523" i="3"/>
  <c r="BL520" i="3"/>
  <c r="AZ520" i="3" s="1"/>
  <c r="BA520" i="3"/>
  <c r="BL518" i="3"/>
  <c r="BA518" i="3"/>
  <c r="BL516" i="3"/>
  <c r="BA516" i="3"/>
  <c r="BL514" i="3"/>
  <c r="BA514" i="3"/>
  <c r="BA511" i="3"/>
  <c r="AZ511" i="3" s="1"/>
  <c r="BL509" i="3"/>
  <c r="BA509" i="3"/>
  <c r="AZ509" i="3" s="1"/>
  <c r="BL508" i="3"/>
  <c r="BA508" i="3"/>
  <c r="AZ508" i="3" s="1"/>
  <c r="BA506" i="3"/>
  <c r="AZ506" i="3" s="1"/>
  <c r="BA504" i="3"/>
  <c r="AZ504" i="3" s="1"/>
  <c r="BL502" i="3"/>
  <c r="AZ502" i="3" s="1"/>
  <c r="BL500" i="3"/>
  <c r="BA500" i="3"/>
  <c r="BA497" i="3"/>
  <c r="AZ497" i="3" s="1"/>
  <c r="BL496" i="3"/>
  <c r="AZ496" i="3" s="1"/>
  <c r="BA494" i="3"/>
  <c r="AZ568" i="3"/>
  <c r="S29" i="35"/>
  <c r="AA29" i="35"/>
  <c r="S15" i="34"/>
  <c r="AA15" i="34"/>
  <c r="U23" i="34"/>
  <c r="AB23" i="34"/>
  <c r="AC33" i="37"/>
  <c r="W33" i="37"/>
  <c r="AB30" i="35"/>
  <c r="U30" i="35"/>
  <c r="W11" i="40"/>
  <c r="AC11" i="40"/>
  <c r="J13" i="33"/>
  <c r="F13" i="33"/>
  <c r="H13" i="33"/>
  <c r="H29" i="33"/>
  <c r="U29" i="33" s="1"/>
  <c r="F29" i="33"/>
  <c r="S29" i="33" s="1"/>
  <c r="J31" i="33"/>
  <c r="F31" i="33"/>
  <c r="J45" i="33"/>
  <c r="H45" i="33"/>
  <c r="J12" i="34"/>
  <c r="F12" i="34"/>
  <c r="J14" i="34"/>
  <c r="W14" i="34" s="1"/>
  <c r="H14" i="34"/>
  <c r="F14" i="34"/>
  <c r="F30" i="34"/>
  <c r="S30" i="34" s="1"/>
  <c r="J30" i="34"/>
  <c r="H32" i="34"/>
  <c r="J32" i="34"/>
  <c r="W32" i="34" s="1"/>
  <c r="F46" i="34"/>
  <c r="H46" i="34"/>
  <c r="J12" i="35"/>
  <c r="W12" i="35" s="1"/>
  <c r="F12" i="35"/>
  <c r="H11" i="35"/>
  <c r="F11" i="35"/>
  <c r="S11" i="35" s="1"/>
  <c r="J11" i="35"/>
  <c r="J24" i="35"/>
  <c r="AC24" i="35" s="1"/>
  <c r="F24" i="35"/>
  <c r="AA24" i="35" s="1"/>
  <c r="H34" i="35"/>
  <c r="F34" i="35"/>
  <c r="H36" i="35"/>
  <c r="AB36" i="35" s="1"/>
  <c r="J36" i="35"/>
  <c r="F36" i="35"/>
  <c r="S36" i="35" s="1"/>
  <c r="H27" i="37"/>
  <c r="U27" i="37" s="1"/>
  <c r="J27" i="37"/>
  <c r="AC27" i="37" s="1"/>
  <c r="AC8" i="39"/>
  <c r="W8" i="39"/>
  <c r="J43" i="39"/>
  <c r="F43" i="39"/>
  <c r="AA43" i="39" s="1"/>
  <c r="BL576" i="3"/>
  <c r="AZ576" i="3" s="1"/>
  <c r="BL574" i="3"/>
  <c r="BA574" i="3"/>
  <c r="BA572" i="3"/>
  <c r="AZ572" i="3" s="1"/>
  <c r="BA569" i="3"/>
  <c r="BA567" i="3"/>
  <c r="BA565" i="3"/>
  <c r="BL563" i="3"/>
  <c r="BA563" i="3"/>
  <c r="BL561" i="3"/>
  <c r="AZ561" i="3" s="1"/>
  <c r="BA561" i="3"/>
  <c r="BA559" i="3"/>
  <c r="BA557" i="3"/>
  <c r="BL554" i="3"/>
  <c r="BA554" i="3"/>
  <c r="BL546" i="3"/>
  <c r="BA546" i="3"/>
  <c r="BL544" i="3"/>
  <c r="BA544" i="3"/>
  <c r="BA542" i="3"/>
  <c r="AZ542" i="3" s="1"/>
  <c r="BL540" i="3"/>
  <c r="BA540" i="3"/>
  <c r="BL538" i="3"/>
  <c r="AZ538" i="3" s="1"/>
  <c r="BL536" i="3"/>
  <c r="BA536" i="3"/>
  <c r="BL534" i="3"/>
  <c r="BA534" i="3"/>
  <c r="BA532" i="3"/>
  <c r="BL530" i="3"/>
  <c r="BA530" i="3"/>
  <c r="AZ530" i="3" s="1"/>
  <c r="BL528" i="3"/>
  <c r="BA528" i="3"/>
  <c r="AZ528" i="3" s="1"/>
  <c r="BL526" i="3"/>
  <c r="BA526" i="3"/>
  <c r="AZ526" i="3" s="1"/>
  <c r="BL524" i="3"/>
  <c r="BA524" i="3"/>
  <c r="BL522" i="3"/>
  <c r="BA522" i="3"/>
  <c r="AZ522" i="3" s="1"/>
  <c r="BL521" i="3"/>
  <c r="BA521" i="3"/>
  <c r="BL519" i="3"/>
  <c r="BA519" i="3"/>
  <c r="BA517" i="3"/>
  <c r="BA513" i="3"/>
  <c r="BL512" i="3"/>
  <c r="BA512" i="3"/>
  <c r="AZ512" i="3" s="1"/>
  <c r="BL510" i="3"/>
  <c r="BA510" i="3"/>
  <c r="AZ510" i="3" s="1"/>
  <c r="BA507" i="3"/>
  <c r="AZ507" i="3" s="1"/>
  <c r="BA505" i="3"/>
  <c r="AZ505" i="3" s="1"/>
  <c r="BA503" i="3"/>
  <c r="BA499" i="3"/>
  <c r="BL498" i="3"/>
  <c r="BA498" i="3"/>
  <c r="AZ498" i="3" s="1"/>
  <c r="BA495" i="3"/>
  <c r="BL494" i="3"/>
  <c r="AA12" i="40"/>
  <c r="U10" i="21"/>
  <c r="S14" i="35"/>
  <c r="AZ361" i="3"/>
  <c r="AZ345" i="3"/>
  <c r="AZ318" i="3"/>
  <c r="AZ310" i="3"/>
  <c r="AZ390" i="3"/>
  <c r="AZ389" i="3"/>
  <c r="W35" i="40"/>
  <c r="AA25" i="21"/>
  <c r="H24" i="35"/>
  <c r="AB24" i="35" s="1"/>
  <c r="BL513" i="3"/>
  <c r="AZ513" i="3" s="1"/>
  <c r="AC31" i="34"/>
  <c r="W31" i="34"/>
  <c r="U11" i="36"/>
  <c r="AB11" i="36"/>
  <c r="F32" i="34"/>
  <c r="F45" i="33"/>
  <c r="J29" i="33"/>
  <c r="J42" i="21"/>
  <c r="AC42" i="21" s="1"/>
  <c r="AC37" i="34"/>
  <c r="W37" i="34"/>
  <c r="S41" i="39"/>
  <c r="AA41" i="39"/>
  <c r="AB40" i="33"/>
  <c r="U40" i="33"/>
  <c r="J9" i="33"/>
  <c r="AC9" i="33" s="1"/>
  <c r="F9" i="33"/>
  <c r="H9" i="33"/>
  <c r="AB9" i="33" s="1"/>
  <c r="E77" i="33"/>
  <c r="F77" i="33" s="1"/>
  <c r="J15" i="33"/>
  <c r="AC15" i="33" s="1"/>
  <c r="H15" i="33"/>
  <c r="AB15" i="33" s="1"/>
  <c r="F28" i="33"/>
  <c r="AA28" i="33" s="1"/>
  <c r="H28" i="33"/>
  <c r="U28" i="33" s="1"/>
  <c r="H43" i="33"/>
  <c r="AB43" i="33" s="1"/>
  <c r="J43" i="33"/>
  <c r="AC43" i="33" s="1"/>
  <c r="F43" i="33"/>
  <c r="AA43" i="33" s="1"/>
  <c r="AA9" i="34"/>
  <c r="S9" i="34"/>
  <c r="H12" i="34"/>
  <c r="H12" i="35"/>
  <c r="BL525" i="3"/>
  <c r="AZ525" i="3" s="1"/>
  <c r="BL529" i="3"/>
  <c r="AZ529" i="3" s="1"/>
  <c r="BL533" i="3"/>
  <c r="AZ533" i="3" s="1"/>
  <c r="BL537" i="3"/>
  <c r="AZ537" i="3" s="1"/>
  <c r="BL541" i="3"/>
  <c r="AZ541" i="3" s="1"/>
  <c r="BL545" i="3"/>
  <c r="AZ545" i="3" s="1"/>
  <c r="BL549" i="3"/>
  <c r="BL553" i="3"/>
  <c r="AZ553" i="3" s="1"/>
  <c r="BL573" i="3"/>
  <c r="AZ573" i="3" s="1"/>
  <c r="BL577" i="3"/>
  <c r="W46" i="21"/>
  <c r="AC46" i="21"/>
  <c r="AC44" i="21"/>
  <c r="W44" i="21"/>
  <c r="AB33" i="35"/>
  <c r="U33" i="35"/>
  <c r="AA35" i="39"/>
  <c r="S35" i="39"/>
  <c r="H13" i="21"/>
  <c r="J13" i="21"/>
  <c r="AC13" i="21" s="1"/>
  <c r="E79" i="21"/>
  <c r="F17" i="21"/>
  <c r="AA17" i="21" s="1"/>
  <c r="AA34" i="34"/>
  <c r="S34" i="34"/>
  <c r="J27" i="34"/>
  <c r="H27" i="34"/>
  <c r="AB27" i="34" s="1"/>
  <c r="AB8" i="35"/>
  <c r="U8" i="35"/>
  <c r="AC28" i="35"/>
  <c r="W28" i="35"/>
  <c r="H23" i="35"/>
  <c r="F23" i="35"/>
  <c r="AA23" i="35" s="1"/>
  <c r="F25" i="36"/>
  <c r="S25" i="36" s="1"/>
  <c r="H25" i="36"/>
  <c r="AB25" i="36" s="1"/>
  <c r="AA44" i="39"/>
  <c r="S44" i="39"/>
  <c r="J14" i="39"/>
  <c r="H14" i="39"/>
  <c r="AB14" i="39" s="1"/>
  <c r="H44" i="39"/>
  <c r="J44" i="39"/>
  <c r="J37" i="39"/>
  <c r="H37" i="39"/>
  <c r="AB37" i="39" s="1"/>
  <c r="J31" i="40"/>
  <c r="H31" i="40"/>
  <c r="U31" i="40" s="1"/>
  <c r="J33" i="40"/>
  <c r="F33" i="40"/>
  <c r="AA33" i="40" s="1"/>
  <c r="AA42" i="34"/>
  <c r="S42" i="34"/>
  <c r="U42" i="34"/>
  <c r="AB42" i="34"/>
  <c r="AC35" i="39"/>
  <c r="W35" i="39"/>
  <c r="BL584" i="3"/>
  <c r="AZ584" i="3" s="1"/>
  <c r="BL582" i="3"/>
  <c r="BA582" i="3"/>
  <c r="BL581" i="3"/>
  <c r="BA581" i="3"/>
  <c r="BL579" i="3"/>
  <c r="AZ579" i="3" s="1"/>
  <c r="BA578" i="3"/>
  <c r="AZ578" i="3" s="1"/>
  <c r="AZ351" i="3"/>
  <c r="AZ320" i="3"/>
  <c r="AZ378" i="3"/>
  <c r="AZ375" i="3"/>
  <c r="BL495" i="3"/>
  <c r="AZ495" i="3" s="1"/>
  <c r="BL499" i="3"/>
  <c r="BL503" i="3"/>
  <c r="AZ503" i="3" s="1"/>
  <c r="BL543" i="3"/>
  <c r="AZ543" i="3" s="1"/>
  <c r="BL547" i="3"/>
  <c r="AZ547" i="3" s="1"/>
  <c r="BL551" i="3"/>
  <c r="BL555" i="3"/>
  <c r="BL565" i="3"/>
  <c r="BL575" i="3"/>
  <c r="AZ575" i="3" s="1"/>
  <c r="BL583" i="3"/>
  <c r="AZ583" i="3" s="1"/>
  <c r="G582" i="3"/>
  <c r="G556" i="3"/>
  <c r="G552" i="3"/>
  <c r="G551"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AZ120" i="3"/>
  <c r="AZ144" i="3"/>
  <c r="K108" i="43"/>
  <c r="K100" i="43"/>
  <c r="G108" i="43"/>
  <c r="G100" i="4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G378" i="3"/>
  <c r="G387" i="3"/>
  <c r="BA388" i="3"/>
  <c r="AZ388" i="3" s="1"/>
  <c r="BA392" i="3"/>
  <c r="AZ392" i="3" s="1"/>
  <c r="G395" i="3"/>
  <c r="G397" i="3"/>
  <c r="BA208" i="3"/>
  <c r="AZ208" i="3" s="1"/>
  <c r="BL208" i="3"/>
  <c r="G209" i="3"/>
  <c r="G211" i="3"/>
  <c r="BL212" i="3"/>
  <c r="G215" i="3"/>
  <c r="G217" i="3"/>
  <c r="G219" i="3"/>
  <c r="G221" i="3"/>
  <c r="BL222" i="3"/>
  <c r="G225" i="3"/>
  <c r="G227" i="3"/>
  <c r="G229" i="3"/>
  <c r="G231" i="3"/>
  <c r="G236" i="3"/>
  <c r="G240" i="3"/>
  <c r="G242" i="3"/>
  <c r="G244" i="3"/>
  <c r="G246" i="3"/>
  <c r="BL247" i="3"/>
  <c r="BL249" i="3"/>
  <c r="G252" i="3"/>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G114" i="3"/>
  <c r="G116" i="3"/>
  <c r="G118" i="3"/>
  <c r="BA119" i="3"/>
  <c r="G120" i="3"/>
  <c r="G123" i="3"/>
  <c r="BL126" i="3"/>
  <c r="G127" i="3"/>
  <c r="BL130" i="3"/>
  <c r="G131" i="3"/>
  <c r="BL135" i="3"/>
  <c r="AZ135" i="3" s="1"/>
  <c r="G136" i="3"/>
  <c r="BL139" i="3"/>
  <c r="AZ139" i="3" s="1"/>
  <c r="G140" i="3"/>
  <c r="BL141" i="3"/>
  <c r="G144" i="3"/>
  <c r="BL145" i="3"/>
  <c r="BL147" i="3"/>
  <c r="G150" i="3"/>
  <c r="G152" i="3"/>
  <c r="G154" i="3"/>
  <c r="G159" i="3"/>
  <c r="G163" i="3"/>
  <c r="G167" i="3"/>
  <c r="G171" i="3"/>
  <c r="G174" i="3"/>
  <c r="G175" i="3"/>
  <c r="G177" i="3"/>
  <c r="G179" i="3"/>
  <c r="G182" i="3"/>
  <c r="G184" i="3"/>
  <c r="G186" i="3"/>
  <c r="BA190" i="3"/>
  <c r="G191" i="3"/>
  <c r="G193" i="3"/>
  <c r="G195" i="3"/>
  <c r="G198" i="3"/>
  <c r="G200" i="3"/>
  <c r="G202" i="3"/>
  <c r="BL203" i="3"/>
  <c r="AZ203" i="3" s="1"/>
  <c r="G204" i="3"/>
  <c r="BL205" i="3"/>
  <c r="G206" i="3"/>
  <c r="BL207" i="3"/>
  <c r="G18" i="3"/>
  <c r="G20" i="3"/>
  <c r="G22" i="3"/>
  <c r="G24" i="3"/>
  <c r="G26" i="3"/>
  <c r="BL27" i="3"/>
  <c r="BL29" i="3"/>
  <c r="BA31" i="3"/>
  <c r="AZ31" i="3" s="1"/>
  <c r="BL31" i="3"/>
  <c r="G32" i="3"/>
  <c r="G34" i="3"/>
  <c r="G36" i="3"/>
  <c r="G38" i="3"/>
  <c r="G40" i="3"/>
  <c r="G42" i="3"/>
  <c r="G44" i="3"/>
  <c r="G48" i="3"/>
  <c r="BA50" i="3"/>
  <c r="AZ50" i="3" s="1"/>
  <c r="BL50" i="3"/>
  <c r="G51" i="3"/>
  <c r="G53" i="3"/>
  <c r="G55" i="3"/>
  <c r="G57" i="3"/>
  <c r="G59" i="3"/>
  <c r="BL60" i="3"/>
  <c r="G63" i="3"/>
  <c r="G65" i="3"/>
  <c r="G67" i="3"/>
  <c r="G71" i="3"/>
  <c r="G73" i="3"/>
  <c r="G75" i="3"/>
  <c r="G77" i="3"/>
  <c r="BA80" i="3"/>
  <c r="G81" i="3"/>
  <c r="BL83" i="3"/>
  <c r="G86" i="3"/>
  <c r="G90" i="3"/>
  <c r="G92" i="3"/>
  <c r="G94" i="3"/>
  <c r="G96" i="3"/>
  <c r="BL97" i="3"/>
  <c r="G100" i="3"/>
  <c r="G102" i="3"/>
  <c r="BA104" i="3"/>
  <c r="G105" i="3"/>
  <c r="G107" i="3"/>
  <c r="G109" i="3"/>
  <c r="G111" i="3"/>
  <c r="BL112" i="3"/>
  <c r="E59" i="43"/>
  <c r="B57" i="43" s="1"/>
  <c r="C24" i="43" s="1"/>
  <c r="E91" i="33"/>
  <c r="E89" i="33" s="1"/>
  <c r="D89" i="33"/>
  <c r="F26" i="33" s="1"/>
  <c r="AA26" i="33" s="1"/>
  <c r="H26" i="33"/>
  <c r="U26" i="33" s="1"/>
  <c r="F42" i="33"/>
  <c r="AA42" i="33" s="1"/>
  <c r="J42" i="33"/>
  <c r="AC42" i="33" s="1"/>
  <c r="W39" i="33"/>
  <c r="H35" i="33"/>
  <c r="AB35" i="33" s="1"/>
  <c r="F35" i="33"/>
  <c r="S35" i="33" s="1"/>
  <c r="U8" i="33"/>
  <c r="S41" i="33"/>
  <c r="U43" i="33"/>
  <c r="I4" i="6"/>
  <c r="G3" i="43" s="1"/>
  <c r="F22"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AZ65" i="3" s="1"/>
  <c r="BA67" i="3"/>
  <c r="AZ67" i="3" s="1"/>
  <c r="BA71" i="3"/>
  <c r="AZ71" i="3" s="1"/>
  <c r="BA78" i="3"/>
  <c r="AZ78" i="3" s="1"/>
  <c r="BA79" i="3"/>
  <c r="AZ79" i="3" s="1"/>
  <c r="BA81" i="3"/>
  <c r="AZ81" i="3" s="1"/>
  <c r="AZ82" i="3"/>
  <c r="BA86" i="3"/>
  <c r="BA88" i="3"/>
  <c r="BA90" i="3"/>
  <c r="AZ90" i="3" s="1"/>
  <c r="AZ188" i="3"/>
  <c r="AZ12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AZ173" i="3" s="1"/>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AZ157" i="3" s="1"/>
  <c r="BA178" i="3"/>
  <c r="BL178" i="3"/>
  <c r="BA181" i="3"/>
  <c r="BL181" i="3"/>
  <c r="BL183" i="3"/>
  <c r="AZ183" i="3" s="1"/>
  <c r="BA186" i="3"/>
  <c r="AZ186" i="3" s="1"/>
  <c r="BL186" i="3"/>
  <c r="BA189" i="3"/>
  <c r="AZ189" i="3" s="1"/>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AZ35" i="3" s="1"/>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AZ241" i="3" s="1"/>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AZ24" i="3" s="1"/>
  <c r="BA25" i="3"/>
  <c r="AZ25" i="3" s="1"/>
  <c r="G28" i="3"/>
  <c r="G29" i="3"/>
  <c r="G30" i="3"/>
  <c r="BL30" i="3"/>
  <c r="AZ30" i="3" s="1"/>
  <c r="BL32" i="3"/>
  <c r="AZ32" i="3" s="1"/>
  <c r="BA34" i="3"/>
  <c r="AZ34" i="3" s="1"/>
  <c r="BA36" i="3"/>
  <c r="AZ36" i="3" s="1"/>
  <c r="BA37" i="3"/>
  <c r="AZ37" i="3" s="1"/>
  <c r="BL39" i="3"/>
  <c r="BA40" i="3"/>
  <c r="AZ40" i="3" s="1"/>
  <c r="BL42" i="3"/>
  <c r="AZ42" i="3" s="1"/>
  <c r="G45" i="3"/>
  <c r="G46" i="3"/>
  <c r="BL46" i="3"/>
  <c r="AZ46" i="3" s="1"/>
  <c r="G49" i="3"/>
  <c r="BL49" i="3"/>
  <c r="AZ49" i="3" s="1"/>
  <c r="BL51" i="3"/>
  <c r="BA52" i="3"/>
  <c r="AZ52" i="3" s="1"/>
  <c r="BA53" i="3"/>
  <c r="AZ53" i="3" s="1"/>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AZ74" i="3" s="1"/>
  <c r="BA75" i="3"/>
  <c r="AZ75" i="3" s="1"/>
  <c r="BL77" i="3"/>
  <c r="AZ77" i="3" s="1"/>
  <c r="G79" i="3"/>
  <c r="G80" i="3"/>
  <c r="BL80" i="3"/>
  <c r="G82" i="3"/>
  <c r="G83" i="3"/>
  <c r="G84" i="3"/>
  <c r="BL84" i="3"/>
  <c r="AZ84" i="3" s="1"/>
  <c r="BL86" i="3"/>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B113" i="43"/>
  <c r="B115" i="43" s="1"/>
  <c r="C115" i="43" s="1"/>
  <c r="E22" i="43"/>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26" i="3"/>
  <c r="AZ41" i="3"/>
  <c r="S12" i="1"/>
  <c r="AQ12" i="1" s="1"/>
  <c r="R12" i="1"/>
  <c r="B12" i="1"/>
  <c r="E12" i="1" s="1"/>
  <c r="S10" i="1"/>
  <c r="AQ10" i="1" s="1"/>
  <c r="R10" i="1"/>
  <c r="B10" i="1"/>
  <c r="E10" i="1" s="1"/>
  <c r="AZ80"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B117" i="43"/>
  <c r="C117" i="43" s="1"/>
  <c r="AR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67"/>
  <c r="L48" i="67"/>
  <c r="M26" i="67"/>
  <c r="F40" i="15"/>
  <c r="M23" i="67"/>
  <c r="F26" i="67"/>
  <c r="C76" i="15"/>
  <c r="F42" i="67"/>
  <c r="M9" i="15"/>
  <c r="F9" i="15"/>
  <c r="F6" i="15"/>
  <c r="M6" i="67"/>
  <c r="F13" i="15"/>
  <c r="M23" i="15"/>
  <c r="F13" i="67"/>
  <c r="F37" i="15"/>
  <c r="F37" i="67"/>
  <c r="F7" i="67"/>
  <c r="M28" i="15"/>
  <c r="F36" i="67"/>
  <c r="M29" i="67"/>
  <c r="M29" i="15"/>
  <c r="F16" i="67"/>
  <c r="F38" i="15"/>
  <c r="F36" i="15"/>
  <c r="F16" i="15"/>
  <c r="F40" i="67"/>
  <c r="L47" i="15"/>
  <c r="F7" i="15"/>
  <c r="M9" i="67"/>
  <c r="C76" i="67"/>
  <c r="F26" i="15"/>
  <c r="M24" i="67"/>
  <c r="M22" i="67"/>
  <c r="F43" i="67"/>
  <c r="M24" i="15"/>
  <c r="F43" i="15"/>
  <c r="F9" i="67"/>
  <c r="M8" i="67"/>
  <c r="J15" i="15"/>
  <c r="F42" i="15"/>
  <c r="J15" i="67"/>
  <c r="M22" i="15"/>
  <c r="M26" i="15"/>
  <c r="F38" i="67"/>
  <c r="L48" i="15"/>
  <c r="F6" i="67"/>
  <c r="M6" i="15"/>
  <c r="M8" i="15"/>
  <c r="F8" i="15"/>
  <c r="F8" i="67"/>
  <c r="G1" i="73"/>
  <c r="M28" i="67"/>
  <c r="C101" i="43" l="1"/>
  <c r="C107" i="43" s="1"/>
  <c r="F101" i="43"/>
  <c r="F104" i="43" s="1"/>
  <c r="AA29" i="21"/>
  <c r="C7" i="43"/>
  <c r="J101" i="43"/>
  <c r="J109" i="43" s="1"/>
  <c r="G101" i="43"/>
  <c r="N101" i="43"/>
  <c r="N102" i="43" s="1"/>
  <c r="K101" i="43"/>
  <c r="K103" i="43" s="1"/>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S26" i="33"/>
  <c r="J26" i="33"/>
  <c r="AZ480" i="3"/>
  <c r="AZ476" i="3"/>
  <c r="W33" i="40"/>
  <c r="AC33" i="40"/>
  <c r="AC31" i="40"/>
  <c r="W31" i="40"/>
  <c r="W37" i="39"/>
  <c r="AC37" i="39"/>
  <c r="AB44" i="39"/>
  <c r="U44" i="39"/>
  <c r="AC14" i="39"/>
  <c r="W14" i="39"/>
  <c r="U23" i="35"/>
  <c r="AB23" i="35"/>
  <c r="F79" i="21"/>
  <c r="G79" i="21" s="1"/>
  <c r="H17" i="21"/>
  <c r="G77" i="33"/>
  <c r="F15" i="33"/>
  <c r="AA9" i="33"/>
  <c r="S9" i="33"/>
  <c r="AA45" i="33"/>
  <c r="S45" i="33"/>
  <c r="AZ519" i="3"/>
  <c r="AZ534" i="3"/>
  <c r="AZ546" i="3"/>
  <c r="AZ563" i="3"/>
  <c r="AZ574" i="3"/>
  <c r="AC43" i="39"/>
  <c r="W43" i="39"/>
  <c r="AC36" i="35"/>
  <c r="W36" i="35"/>
  <c r="AA34" i="35"/>
  <c r="S34" i="35"/>
  <c r="AC11" i="35"/>
  <c r="W11" i="35"/>
  <c r="U45" i="33"/>
  <c r="AB45" i="33"/>
  <c r="AB13" i="33"/>
  <c r="U13" i="33"/>
  <c r="AZ494" i="3"/>
  <c r="AZ549" i="3"/>
  <c r="W12" i="40"/>
  <c r="AC12" i="40"/>
  <c r="AC44" i="39"/>
  <c r="W44" i="39"/>
  <c r="U12" i="35"/>
  <c r="AB12" i="35"/>
  <c r="AC29" i="33"/>
  <c r="W29" i="33"/>
  <c r="AZ499" i="3"/>
  <c r="S12" i="35"/>
  <c r="AA12" i="35"/>
  <c r="U46" i="34"/>
  <c r="AB46" i="34"/>
  <c r="W30" i="34"/>
  <c r="AC30" i="34"/>
  <c r="S14" i="34"/>
  <c r="AA14" i="34"/>
  <c r="W12" i="34"/>
  <c r="AC12" i="34"/>
  <c r="W45" i="33"/>
  <c r="AC45" i="33"/>
  <c r="S13" i="33"/>
  <c r="AA13" i="33"/>
  <c r="AZ500" i="3"/>
  <c r="AZ514" i="3"/>
  <c r="AZ518" i="3"/>
  <c r="AZ552" i="3"/>
  <c r="AB12" i="40"/>
  <c r="U12" i="40"/>
  <c r="W45" i="39"/>
  <c r="AC45" i="39"/>
  <c r="U45" i="39"/>
  <c r="AB45" i="39"/>
  <c r="AB13" i="37"/>
  <c r="U13" i="37"/>
  <c r="AA42" i="21"/>
  <c r="S42" i="21"/>
  <c r="F27" i="33"/>
  <c r="AA27" i="33" s="1"/>
  <c r="F89" i="33"/>
  <c r="AB26" i="33"/>
  <c r="G101" i="33"/>
  <c r="H101" i="33" s="1"/>
  <c r="I101" i="33" s="1"/>
  <c r="J101" i="33" s="1"/>
  <c r="K101" i="33" s="1"/>
  <c r="L101" i="33" s="1"/>
  <c r="M101" i="33" s="1"/>
  <c r="H32" i="33"/>
  <c r="J32" i="33"/>
  <c r="AC32" i="33" s="1"/>
  <c r="H27" i="33"/>
  <c r="U27" i="33" s="1"/>
  <c r="W19" i="33"/>
  <c r="F19" i="33"/>
  <c r="S19" i="33" s="1"/>
  <c r="E12" i="6"/>
  <c r="E57" i="40" s="1"/>
  <c r="E8" i="6"/>
  <c r="AZ38" i="3"/>
  <c r="AZ100" i="3"/>
  <c r="AZ162" i="3"/>
  <c r="AZ226" i="3"/>
  <c r="AB19" i="21"/>
  <c r="U19" i="21"/>
  <c r="W17" i="21"/>
  <c r="AC15" i="21"/>
  <c r="AZ214" i="3"/>
  <c r="AZ102" i="3"/>
  <c r="AZ89" i="3"/>
  <c r="AZ47" i="3"/>
  <c r="AZ33" i="3"/>
  <c r="AZ201" i="3"/>
  <c r="AZ178" i="3"/>
  <c r="AZ154" i="3"/>
  <c r="AZ246" i="3"/>
  <c r="G118" i="43"/>
  <c r="H118" i="43" s="1"/>
  <c r="K109" i="43"/>
  <c r="T12" i="1"/>
  <c r="K105" i="43"/>
  <c r="G104" i="43"/>
  <c r="K102" i="43"/>
  <c r="C109" i="43"/>
  <c r="AR10" i="1"/>
  <c r="F105" i="43"/>
  <c r="D115" i="43"/>
  <c r="E115" i="43" s="1"/>
  <c r="F115" i="43" s="1"/>
  <c r="G115" i="43" s="1"/>
  <c r="H115" i="43" s="1"/>
  <c r="B118" i="43"/>
  <c r="C118" i="43" s="1"/>
  <c r="D116" i="43"/>
  <c r="E116" i="43" s="1"/>
  <c r="F116" i="43" s="1"/>
  <c r="G116" i="43" s="1"/>
  <c r="H116" i="43" s="1"/>
  <c r="C103" i="43"/>
  <c r="F102" i="43"/>
  <c r="G109" i="43"/>
  <c r="K106" i="43"/>
  <c r="G103" i="43"/>
  <c r="K104" i="43"/>
  <c r="K107" i="43"/>
  <c r="J107"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W32" i="33"/>
  <c r="AB27"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J106" i="43" l="1"/>
  <c r="J103" i="43"/>
  <c r="N104" i="43"/>
  <c r="N106" i="43"/>
  <c r="C104" i="43"/>
  <c r="C102" i="43"/>
  <c r="AA15" i="33"/>
  <c r="S15" i="33"/>
  <c r="AB17" i="21"/>
  <c r="U17" i="21"/>
  <c r="AC26" i="33"/>
  <c r="W26" i="33"/>
  <c r="J104" i="43"/>
  <c r="J105" i="43"/>
  <c r="D113" i="43"/>
  <c r="J22" i="43" s="1"/>
  <c r="N105" i="43"/>
  <c r="J102" i="43"/>
  <c r="N107" i="43"/>
  <c r="N103" i="43"/>
  <c r="S4" i="43" s="1"/>
  <c r="T4" i="43" s="1"/>
  <c r="V4" i="43" s="1"/>
  <c r="N109" i="43"/>
  <c r="G105" i="43"/>
  <c r="G107" i="43"/>
  <c r="G106" i="43"/>
  <c r="H91" i="33"/>
  <c r="I91" i="33" s="1"/>
  <c r="J91" i="33" s="1"/>
  <c r="K91" i="33" s="1"/>
  <c r="L91" i="33" s="1"/>
  <c r="M91" i="33" s="1"/>
  <c r="G89" i="33"/>
  <c r="S27" i="33"/>
  <c r="AB32" i="33"/>
  <c r="U32" i="33"/>
  <c r="S2" i="43"/>
  <c r="T2" i="43" s="1"/>
  <c r="V2" i="43" s="1"/>
  <c r="E69" i="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3" i="43" l="1"/>
  <c r="C21" i="43" s="1"/>
  <c r="C29" i="43" s="1"/>
  <c r="C30" i="43" s="1"/>
  <c r="E30" i="43" s="1"/>
  <c r="S7" i="43"/>
  <c r="T7" i="43" s="1"/>
  <c r="V7" i="43" s="1"/>
  <c r="D3" i="21"/>
  <c r="B24" i="31"/>
  <c r="S5" i="43"/>
  <c r="T5" i="43" s="1"/>
  <c r="V5" i="43" s="1"/>
  <c r="S3" i="43"/>
  <c r="T3" i="43" s="1"/>
  <c r="V3" i="43" s="1"/>
  <c r="S6" i="43"/>
  <c r="T6" i="43" s="1"/>
  <c r="V6" i="43" s="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9" i="6"/>
  <c r="M19" i="9" s="1"/>
  <c r="C118" i="9" s="1"/>
  <c r="C14" i="74" s="1"/>
  <c r="B2" i="74" s="1"/>
  <c r="C18" i="4"/>
  <c r="D23" i="6"/>
  <c r="D5" i="6"/>
  <c r="D11"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I41" i="36" l="1"/>
  <c r="J41" i="36" s="1"/>
  <c r="D13" i="6"/>
  <c r="D12" i="6"/>
  <c r="D14" i="6"/>
  <c r="D8" i="6"/>
  <c r="D26" i="6"/>
  <c r="D10" i="11"/>
  <c r="C10" i="11" s="1"/>
  <c r="B25" i="31"/>
  <c r="C25" i="31" s="1"/>
  <c r="C24" i="1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2" i="1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B26" i="31" l="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B6" i="76"/>
  <c r="C26" i="31" l="1"/>
  <c r="B22" i="31"/>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J20" i="67" l="1"/>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19" i="9" l="1"/>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C17" i="67"/>
  <c r="F35" i="15"/>
  <c r="M21" i="15"/>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F41" i="67"/>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5"/>
  <c r="D2" i="37"/>
  <c r="D2" i="34"/>
  <c r="E2" i="68"/>
  <c r="D2" i="33"/>
  <c r="F20" i="31"/>
  <c r="D2" i="36"/>
  <c r="D2" i="21"/>
  <c r="B2" i="36" l="1"/>
  <c r="B3" i="36" s="1"/>
  <c r="B2" i="35"/>
  <c r="B3" i="35" s="1"/>
  <c r="B2" i="37"/>
  <c r="B3" i="37" s="1"/>
  <c r="B2" i="34"/>
  <c r="B3" i="34" s="1"/>
  <c r="B2" i="21"/>
  <c r="B2" i="70"/>
  <c r="B3" i="70" s="1"/>
  <c r="B3" i="68"/>
  <c r="D20" i="9"/>
  <c r="D19" i="9"/>
  <c r="B3" i="21" l="1"/>
  <c r="D102" i="9"/>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102" i="9"/>
  <c r="C21" i="9"/>
  <c r="G19" i="9"/>
  <c r="D22" i="9"/>
  <c r="F66" i="39"/>
  <c r="B2" i="39" s="1"/>
  <c r="B3" i="39" s="1"/>
  <c r="D35" i="9"/>
  <c r="G21" i="9" l="1"/>
  <c r="C32" i="9"/>
  <c r="C35" i="9" s="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<sst xmlns="http://schemas.openxmlformats.org/spreadsheetml/2006/main" count="7501" uniqueCount="3168">
  <si>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</si>
  <si>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</si>
  <si>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</si>
  <si>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</si>
  <si>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</si>
  <si>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</si>
  <si>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</si>
  <si>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</si>
  <si>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</si>
  <si>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</si>
  <si>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</si>
  <si>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</si>
  <si>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</si>
  <si>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</si>
  <si>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</si>
  <si>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</si>
  <si>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</si>
  <si>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</si>
  <si>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</si>
  <si>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</si>
  <si>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</si>
  <si>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</si>
  <si>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</si>
  <si>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</si>
  <si>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</si>
  <si>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</si>
  <si>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</si>
  <si>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</si>
  <si>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</si>
  <si>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</si>
  <si>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</si>
  <si>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</si>
  <si>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</si>
  <si>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</si>
  <si>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</si>
  <si>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</si>
  <si>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</si>
  <si>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</si>
  <si>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</si>
  <si>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</si>
  <si>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</si>
  <si>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</si>
  <si>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</si>
  <si>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</si>
  <si>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</si>
  <si>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</si>
  <si>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</si>
  <si>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</si>
  <si>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</si>
  <si>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</si>
  <si>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</si>
  <si>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</si>
  <si>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</si>
  <si>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</si>
  <si>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</si>
  <si>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</si>
  <si>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</si>
  <si>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</si>
  <si>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</si>
  <si>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</si>
  <si>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</si>
  <si>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</si>
  <si>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</si>
  <si>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</si>
  <si>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</si>
  <si>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</si>
  <si>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</si>
  <si>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</si>
  <si>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</si>
  <si>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</si>
  <si>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</si>
  <si>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</si>
  <si>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</si>
  <si>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</si>
  <si>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</si>
  <si>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</si>
  <si>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</si>
  <si>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</si>
  <si>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</si>
  <si>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</si>
  <si>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</si>
  <si>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</si>
  <si>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</si>
  <si>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</si>
  <si>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</si>
  <si>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</si>
  <si>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</si>
  <si>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</si>
  <si>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</si>
  <si>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</si>
  <si>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</si>
  <si>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</si>
  <si>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</si>
  <si>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</si>
  <si>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</si>
  <si>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</si>
  <si>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</si>
  <si>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</si>
  <si>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</si>
  <si>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</si>
  <si>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</si>
  <si>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</si>
  <si>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</si>
  <si>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</si>
  <si>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</si>
  <si>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</si>
  <si>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</si>
  <si>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</si>
  <si>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</si>
  <si>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</si>
  <si>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</si>
  <si>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</si>
  <si>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</si>
  <si>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</si>
  <si>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</si>
  <si>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</si>
  <si>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</si>
  <si>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</si>
  <si>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</si>
  <si>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</si>
  <si>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</si>
  <si>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</si>
  <si>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</si>
  <si>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</si>
  <si>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</si>
  <si>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</si>
  <si>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</si>
  <si>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</si>
  <si>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</si>
  <si>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</si>
  <si>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</si>
  <si>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</si>
  <si>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</si>
  <si>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</si>
  <si>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</si>
  <si>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</si>
  <si>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</si>
  <si>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</si>
  <si>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</si>
  <si>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</si>
  <si>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</si>
  <si>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</si>
  <si>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</si>
  <si>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</si>
  <si>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</si>
  <si>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</si>
  <si>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</si>
  <si>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</si>
  <si>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</si>
  <si>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</si>
  <si>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</si>
  <si>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</si>
  <si>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</si>
  <si>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</si>
  <si>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</si>
  <si>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</si>
  <si>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</si>
  <si>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</si>
  <si>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</si>
  <si>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</si>
  <si>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</si>
  <si>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</si>
  <si>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</si>
  <si>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</si>
  <si>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</si>
  <si>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</si>
  <si>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</si>
  <si>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</si>
  <si>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</si>
  <si>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</si>
  <si>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</si>
  <si>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</si>
  <si>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</si>
  <si>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</si>
  <si>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</si>
  <si>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</si>
  <si>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</si>
  <si>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</si>
  <si>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</si>
  <si>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</si>
  <si>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</si>
  <si>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</si>
  <si>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</si>
  <si>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</si>
  <si>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</si>
  <si>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</si>
  <si>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</si>
  <si>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</si>
  <si>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</si>
  <si>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</si>
  <si>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</si>
  <si>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</si>
  <si>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</si>
  <si>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</si>
  <si>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</si>
  <si>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</si>
  <si>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</si>
  <si>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</si>
  <si>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</si>
  <si>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</si>
  <si>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</si>
  <si>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</si>
  <si>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</si>
  <si>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</si>
  <si>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</si>
  <si>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</si>
  <si>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</si>
  <si>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</si>
  <si>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</si>
  <si>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</si>
  <si>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</si>
  <si>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</si>
  <si>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</si>
  <si>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</si>
  <si>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</si>
  <si>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</si>
  <si>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</si>
  <si>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</si>
  <si>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</si>
  <si>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</si>
  <si>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</si>
  <si>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</si>
  <si>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</si>
  <si>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</si>
  <si>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</si>
  <si>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</si>
  <si>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</si>
  <si>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</si>
  <si>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</si>
  <si>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</si>
  <si>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</si>
  <si>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</si>
  <si>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</si>
  <si>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</si>
  <si>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</si>
  <si>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</si>
  <si>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</si>
  <si>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</si>
  <si>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</si>
  <si>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</si>
  <si>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</si>
  <si>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</si>
  <si>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</si>
  <si>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</si>
  <si>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</si>
  <si>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</si>
  <si>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</si>
  <si>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</si>
  <si>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</si>
  <si>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</si>
  <si>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</si>
  <si>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</si>
  <si>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</si>
  <si>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</si>
  <si>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</si>
  <si>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</si>
  <si>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</si>
  <si>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</si>
  <si>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</si>
  <si>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</si>
  <si>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</si>
  <si>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</si>
  <si>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</si>
  <si>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</si>
  <si>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</si>
  <si>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</si>
  <si>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</si>
  <si>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</si>
  <si>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</si>
  <si>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</si>
  <si>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</si>
  <si>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</si>
  <si>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</si>
  <si>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</si>
  <si>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</si>
  <si>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</si>
  <si>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</si>
  <si>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</si>
  <si>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</si>
  <si>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</si>
  <si>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</si>
  <si>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</si>
  <si>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</si>
  <si>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</si>
  <si>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</si>
  <si>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</si>
  <si>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</si>
  <si>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</si>
  <si>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</si>
  <si>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</si>
  <si>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</si>
  <si>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</si>
  <si>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</si>
  <si>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</si>
  <si>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</si>
  <si>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</si>
  <si>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</si>
  <si>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</si>
  <si>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</si>
  <si>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</si>
  <si>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</si>
  <si>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</si>
  <si>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</si>
  <si>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</si>
  <si>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</si>
  <si>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</si>
  <si>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</si>
  <si>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</si>
  <si>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</si>
  <si>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</si>
  <si>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</si>
  <si>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</si>
  <si>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</si>
  <si>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</si>
  <si>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</si>
  <si>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</si>
  <si>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</si>
  <si>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</si>
  <si>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</si>
  <si>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</si>
  <si>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</si>
  <si>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</si>
  <si>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</si>
  <si>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</si>
  <si>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</si>
  <si>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</si>
  <si>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</si>
  <si>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</si>
  <si>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</si>
  <si>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</si>
  <si>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</si>
  <si>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</si>
  <si>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</si>
  <si>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</si>
  <si>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</si>
  <si>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</si>
  <si>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</si>
  <si>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</si>
  <si>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</si>
  <si>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</si>
  <si>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</si>
  <si>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</si>
  <si>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</si>
  <si>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</si>
  <si>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</si>
  <si>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</si>
  <si>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</si>
  <si>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</si>
  <si>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</si>
  <si>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</si>
  <si>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</si>
  <si>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</si>
  <si>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</si>
  <si>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</si>
  <si>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</si>
  <si>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</si>
  <si>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</si>
  <si>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</si>
  <si>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</si>
  <si>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</si>
  <si>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</si>
  <si>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</si>
  <si>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</si>
  <si>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</si>
  <si>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</si>
  <si>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</si>
  <si>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</si>
  <si>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</si>
  <si>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</si>
  <si>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</si>
  <si>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</si>
  <si>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</si>
  <si>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</si>
  <si>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</si>
  <si>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</si>
  <si>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</si>
  <si>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</si>
  <si>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</si>
  <si>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</si>
  <si>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</si>
  <si>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</si>
  <si>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</si>
  <si>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</si>
  <si>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</si>
  <si>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</si>
  <si>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</si>
  <si>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</si>
  <si>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</si>
  <si>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</si>
  <si>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</si>
  <si>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</si>
  <si>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</si>
  <si>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</si>
  <si>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</si>
  <si>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</si>
  <si>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</si>
  <si>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</si>
  <si>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</si>
  <si>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</si>
  <si>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</si>
  <si>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</si>
  <si>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</si>
  <si>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</si>
  <si>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</si>
  <si>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</si>
  <si>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</si>
  <si>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</si>
  <si>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</si>
  <si>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</si>
  <si>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</si>
  <si>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</si>
  <si>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</si>
  <si>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</si>
  <si>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</si>
  <si>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</si>
  <si>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</si>
  <si>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</si>
  <si>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</si>
  <si>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</si>
  <si>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</si>
  <si>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</si>
  <si>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</si>
  <si>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</si>
  <si>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</si>
  <si>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</si>
  <si>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</si>
  <si>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</si>
  <si>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</si>
  <si>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</si>
  <si>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</si>
  <si>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</si>
  <si>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</si>
  <si>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</si>
  <si>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</si>
  <si>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</si>
  <si>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</si>
  <si>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</si>
  <si>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</si>
  <si>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</si>
  <si>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</si>
  <si>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</si>
  <si>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</si>
  <si>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</si>
  <si>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</si>
  <si>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</si>
  <si>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</si>
  <si>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</si>
  <si>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</si>
  <si>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</si>
  <si>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</si>
  <si>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</si>
  <si>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</si>
  <si>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</si>
  <si>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</si>
  <si>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</si>
  <si>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</si>
  <si>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</si>
  <si>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</si>
  <si>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</si>
  <si>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</si>
  <si>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</si>
  <si>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</si>
  <si>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</si>
  <si>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</si>
  <si>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</si>
  <si>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</si>
  <si>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</si>
  <si>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</si>
  <si>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</si>
  <si>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</si>
  <si>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</si>
  <si>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</si>
  <si>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</si>
  <si>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</si>
  <si>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</si>
  <si>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</si>
  <si>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</si>
  <si>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</si>
  <si>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</si>
  <si>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</si>
  <si>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</si>
  <si>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</si>
  <si>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</si>
  <si>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</si>
  <si>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</si>
  <si>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</si>
  <si>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</si>
  <si>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</si>
  <si>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</si>
  <si>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</si>
  <si>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</si>
  <si>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</si>
  <si>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</si>
  <si>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</si>
  <si>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</si>
  <si>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</si>
  <si>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</si>
  <si>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</si>
  <si>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</si>
  <si>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</si>
  <si>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</si>
  <si>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</si>
  <si>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</si>
  <si>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</si>
  <si>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</si>
  <si>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</si>
  <si>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</si>
  <si>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</si>
  <si>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</si>
  <si>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</si>
  <si>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</si>
  <si>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</si>
  <si>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</si>
  <si>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</si>
  <si>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</si>
  <si>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</si>
  <si>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</si>
  <si>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</si>
  <si>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</si>
  <si>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</si>
  <si>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</si>
  <si>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</si>
  <si>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</si>
  <si>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</si>
  <si>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</si>
  <si>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</si>
  <si>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</si>
  <si>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</si>
  <si>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</si>
  <si>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</si>
  <si>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</si>
  <si>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</si>
  <si>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</si>
  <si>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</si>
  <si>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</si>
  <si>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</si>
  <si>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</si>
  <si>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</si>
  <si>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</si>
  <si>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</si>
  <si>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</si>
  <si>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</si>
  <si>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</si>
  <si>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</si>
  <si>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</si>
  <si>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</si>
  <si>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</si>
  <si>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</si>
  <si>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</si>
  <si>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</si>
  <si>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</si>
  <si>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</si>
  <si>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</si>
  <si>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</si>
  <si>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</si>
  <si>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</si>
  <si>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</si>
  <si>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</si>
  <si>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</si>
  <si>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</si>
  <si>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</si>
  <si>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</si>
  <si>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</si>
  <si>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</si>
  <si>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</si>
  <si>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</si>
  <si>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</si>
  <si>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</si>
  <si>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</si>
  <si>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</si>
  <si>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</si>
  <si>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</si>
  <si>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</si>
  <si>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</si>
  <si>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</si>
  <si>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</si>
  <si>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</si>
  <si>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</si>
  <si>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</si>
  <si>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</si>
  <si>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</si>
  <si>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</si>
  <si>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</si>
  <si>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</si>
  <si>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</si>
  <si>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</si>
  <si>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</si>
  <si>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</si>
  <si>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</si>
  <si>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</si>
  <si>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</si>
  <si>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</si>
  <si>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</si>
  <si>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</si>
  <si>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</si>
  <si>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</si>
  <si>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</si>
  <si>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</si>
  <si>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</si>
  <si>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</si>
  <si>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</si>
  <si>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</si>
  <si>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</si>
  <si>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</si>
  <si>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</si>
  <si>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</si>
  <si>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</si>
  <si>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</si>
  <si>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</si>
  <si>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</si>
  <si>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</si>
  <si>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</si>
  <si>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</si>
  <si>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</si>
  <si>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</si>
  <si>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</si>
  <si>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</si>
  <si>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</si>
  <si>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</si>
  <si>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</si>
  <si>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</si>
  <si>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</si>
  <si>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</si>
  <si>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</si>
  <si>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</si>
  <si>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</si>
  <si>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</si>
  <si>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</si>
  <si>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</si>
  <si>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</si>
  <si>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</si>
  <si>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</si>
  <si>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</si>
  <si>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</si>
  <si>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</si>
  <si>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</si>
  <si>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</si>
  <si>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</si>
  <si>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</si>
  <si>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</si>
  <si>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</si>
  <si>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</si>
  <si>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</si>
  <si>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</si>
  <si>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</si>
  <si>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</si>
  <si>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</si>
  <si>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</si>
  <si>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</si>
  <si>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</si>
  <si>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</si>
  <si>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</si>
  <si>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</si>
  <si>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</si>
  <si>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</si>
  <si>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</si>
  <si>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</si>
  <si>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</si>
  <si>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</si>
  <si>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</si>
  <si>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</si>
  <si>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</si>
  <si>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</si>
  <si>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</si>
  <si>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</si>
  <si>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</si>
  <si>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</si>
  <si>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</si>
  <si>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</si>
  <si>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</si>
  <si>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</si>
  <si>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</si>
  <si>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</si>
  <si>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</si>
  <si>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</si>
  <si>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</si>
  <si>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</si>
  <si>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</si>
  <si>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</si>
  <si>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</si>
  <si>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</si>
  <si>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</si>
  <si>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</si>
  <si>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</si>
  <si>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</si>
  <si>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</si>
  <si>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</si>
  <si>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</si>
  <si>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</si>
  <si>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</si>
  <si>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</si>
  <si>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</si>
  <si>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</si>
  <si>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</si>
  <si>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</si>
  <si>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</si>
  <si>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</si>
  <si>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</si>
  <si>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</si>
  <si>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</si>
  <si>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</si>
  <si>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</si>
  <si>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</si>
  <si>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</si>
  <si>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</si>
  <si>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</si>
  <si>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</si>
  <si>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</si>
  <si>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</si>
  <si>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</si>
  <si>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</si>
  <si>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</si>
  <si>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</si>
  <si>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</si>
  <si>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</si>
  <si>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</si>
  <si>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</si>
  <si>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</si>
  <si>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</si>
  <si>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</si>
  <si>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</si>
  <si>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</si>
  <si>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</si>
  <si>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</si>
  <si>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</si>
  <si>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</si>
  <si>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</si>
  <si>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</si>
  <si>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</si>
  <si>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</si>
  <si>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</si>
  <si>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</si>
  <si>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</si>
  <si>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</si>
  <si>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</si>
  <si>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</si>
  <si>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</si>
  <si>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</si>
  <si>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</si>
  <si>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</si>
  <si>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</si>
  <si>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</si>
  <si>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</si>
  <si>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</si>
  <si>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</si>
  <si>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</si>
  <si>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</si>
  <si>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</si>
  <si>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</si>
  <si>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</si>
  <si>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</si>
  <si>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</si>
  <si>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</si>
  <si>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</si>
  <si>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</si>
  <si>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</si>
  <si>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</si>
  <si>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</si>
  <si>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</si>
  <si>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</si>
  <si>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</si>
  <si>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</si>
  <si>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</si>
  <si>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</si>
  <si>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</si>
  <si>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</si>
  <si>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</si>
  <si>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</si>
  <si>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</si>
  <si>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</si>
  <si>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</si>
  <si>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</si>
  <si>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</si>
  <si>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</si>
  <si>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</si>
  <si>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</si>
  <si>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</si>
  <si>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</si>
  <si>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</si>
  <si>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</si>
  <si>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</si>
  <si>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</si>
  <si>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</si>
  <si>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</si>
  <si>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</si>
  <si>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</si>
  <si>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</si>
  <si>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</si>
  <si>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</si>
  <si>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</si>
  <si>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</si>
  <si>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</si>
  <si>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</si>
  <si>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</si>
  <si>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</si>
  <si>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</si>
  <si>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</si>
  <si>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</si>
  <si>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</si>
  <si>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</si>
  <si>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</si>
  <si>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</si>
  <si>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</si>
  <si>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</si>
  <si>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</si>
  <si>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</si>
  <si>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</si>
  <si>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</si>
  <si>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</si>
  <si>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</si>
  <si>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</si>
  <si>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</si>
  <si>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</si>
  <si>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</si>
  <si>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</si>
  <si>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</si>
  <si>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</si>
  <si>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</si>
  <si>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</si>
  <si>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</si>
  <si>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</si>
  <si>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</si>
  <si>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</si>
  <si>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</si>
  <si>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</si>
  <si>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</si>
  <si>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</si>
  <si>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</si>
  <si>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</si>
  <si>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</si>
  <si>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</si>
  <si>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</si>
  <si>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</si>
  <si>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</si>
  <si>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</si>
  <si>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</si>
  <si>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</si>
  <si>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</si>
  <si>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</si>
  <si>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</si>
  <si>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</si>
  <si>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</si>
  <si>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</si>
  <si>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</si>
  <si>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</si>
  <si>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</si>
  <si>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</si>
  <si>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</si>
  <si>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</si>
  <si>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</si>
  <si>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</si>
  <si>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</si>
  <si>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</si>
  <si>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</si>
  <si>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</si>
  <si>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</si>
  <si>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</si>
  <si>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</si>
  <si>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</si>
  <si>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</si>
  <si>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</si>
  <si>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</si>
  <si>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</si>
  <si>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</si>
  <si>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</si>
  <si>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</si>
  <si>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</si>
  <si>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</si>
  <si>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</si>
  <si>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</si>
  <si>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</si>
  <si>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</si>
  <si>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</si>
  <si>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</si>
  <si>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</si>
  <si>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</si>
  <si>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</si>
  <si>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</si>
  <si>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</si>
  <si>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</si>
  <si>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</si>
  <si>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</si>
  <si>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</si>
  <si>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</si>
  <si>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</si>
  <si>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</si>
  <si>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</si>
  <si>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</si>
  <si>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</si>
  <si>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</si>
  <si>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</si>
  <si>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</si>
  <si>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</si>
  <si>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</si>
  <si>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</si>
  <si>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</si>
  <si>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</si>
  <si>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</si>
  <si>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</si>
  <si>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</si>
  <si>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</si>
  <si>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</si>
  <si>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</si>
  <si>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</si>
  <si>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</si>
  <si>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</si>
  <si>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</si>
  <si>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</si>
  <si>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</si>
  <si>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</si>
  <si>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</si>
  <si>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</si>
  <si>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</si>
  <si>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</si>
  <si>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</si>
  <si>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</si>
  <si>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</si>
  <si>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</si>
  <si>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</si>
  <si>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</si>
  <si>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</si>
  <si>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</si>
  <si>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</si>
  <si>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</si>
  <si>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</si>
  <si>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</si>
  <si>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</si>
  <si>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</si>
  <si>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</si>
  <si>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</si>
  <si>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</si>
  <si>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</si>
  <si>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</si>
  <si>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</si>
  <si>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</si>
  <si>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</si>
  <si>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</si>
  <si>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</si>
  <si>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</si>
  <si>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</si>
  <si>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</si>
  <si>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</si>
  <si>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</si>
  <si>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</si>
  <si>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</si>
  <si>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</si>
  <si>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</si>
  <si>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</si>
  <si>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</si>
  <si>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</si>
  <si>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</si>
  <si>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</si>
  <si>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</si>
  <si>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</si>
  <si>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</si>
  <si>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</si>
  <si>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</si>
  <si>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</si>
  <si>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</si>
  <si>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</si>
  <si>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</si>
  <si>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</si>
  <si>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</si>
  <si>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</si>
  <si>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</si>
  <si>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</si>
  <si>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</si>
  <si>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</si>
  <si>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</si>
  <si>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</si>
  <si>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</si>
  <si>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</si>
  <si>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</si>
  <si>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</si>
  <si>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</si>
  <si>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</si>
  <si>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</si>
  <si>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</si>
  <si>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</si>
  <si>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</si>
  <si>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</si>
  <si>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</si>
  <si>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</si>
  <si>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</si>
  <si>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</si>
  <si>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</si>
  <si>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</si>
  <si>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</si>
  <si>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</si>
  <si>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</si>
  <si>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</si>
  <si>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</si>
  <si>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</si>
  <si>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</si>
  <si>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</si>
  <si>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</si>
  <si>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</si>
  <si>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</si>
  <si>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</si>
  <si>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</si>
  <si>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</si>
  <si>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</si>
  <si>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</si>
  <si>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</si>
  <si>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</si>
  <si>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</si>
  <si>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</si>
  <si>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</si>
  <si>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</si>
  <si>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</si>
  <si>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</si>
  <si>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</si>
  <si>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</si>
  <si>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</si>
  <si>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</si>
  <si>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</si>
  <si>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</si>
  <si>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</si>
  <si>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</si>
  <si>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</si>
  <si>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</si>
  <si>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</si>
  <si>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</si>
  <si>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</si>
  <si>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</si>
  <si>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</si>
  <si>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</si>
  <si>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</si>
  <si>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</si>
  <si>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</si>
  <si>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</si>
  <si>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</si>
  <si>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</si>
  <si>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</si>
  <si>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</si>
  <si>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</si>
  <si>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</si>
  <si>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</si>
  <si>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</si>
  <si>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</si>
  <si>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</si>
  <si>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</si>
  <si>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</si>
  <si>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</si>
  <si>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</si>
  <si>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</si>
  <si>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</si>
  <si>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</si>
  <si>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</si>
  <si>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</si>
  <si>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</si>
  <si>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</si>
  <si>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</si>
  <si>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</si>
  <si>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</si>
  <si>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</si>
  <si>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</si>
  <si>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</si>
  <si>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</si>
  <si>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</si>
  <si>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</si>
  <si>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</si>
  <si>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</si>
  <si>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</si>
  <si>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</si>
  <si>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</si>
  <si>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</si>
  <si>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</si>
  <si>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</si>
  <si>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</si>
  <si>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</si>
  <si>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</si>
  <si>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</si>
  <si>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</si>
  <si>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</si>
  <si>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</si>
  <si>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</si>
  <si>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</si>
  <si>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</si>
  <si>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</si>
  <si>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</si>
  <si>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</si>
  <si>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</si>
  <si>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</si>
  <si>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</si>
  <si>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</si>
  <si>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</si>
  <si>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</si>
  <si>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</si>
  <si>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</si>
  <si>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</si>
  <si>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</si>
  <si>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</si>
  <si>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</si>
  <si>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</si>
  <si>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</si>
  <si>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</si>
  <si>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</si>
  <si>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</si>
  <si>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</si>
  <si>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</si>
  <si>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</si>
  <si>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</si>
  <si>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</si>
  <si>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</si>
  <si>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</si>
  <si>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</si>
  <si>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</si>
  <si>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</si>
  <si>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</si>
  <si>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</si>
  <si>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</si>
  <si>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</si>
  <si>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</si>
  <si>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</si>
  <si>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</si>
  <si>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</si>
  <si>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</si>
  <si>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</si>
  <si>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</si>
  <si>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</si>
  <si>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</si>
  <si>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</si>
  <si>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</si>
  <si>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</si>
  <si>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</si>
  <si>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</si>
  <si>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</si>
  <si>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</si>
  <si>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</si>
  <si>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</si>
  <si>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</si>
  <si>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</si>
  <si>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</si>
  <si>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</si>
  <si>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</si>
  <si>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</si>
  <si>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</si>
  <si>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</si>
  <si>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</si>
  <si>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</si>
  <si>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</si>
  <si>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</si>
  <si>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</si>
  <si>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</si>
  <si>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</si>
  <si>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</si>
  <si>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</si>
  <si>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</si>
  <si>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</si>
  <si>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</si>
  <si>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</si>
  <si>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</si>
  <si>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</si>
  <si>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</si>
  <si>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</si>
  <si>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</si>
  <si>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</si>
  <si>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</si>
  <si>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</si>
  <si>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</si>
  <si>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</si>
  <si>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</si>
  <si>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</si>
  <si>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</si>
  <si>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</si>
  <si>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</si>
  <si>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</si>
  <si>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</si>
  <si>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</si>
  <si>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</si>
  <si>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</si>
  <si>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</si>
  <si>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</si>
  <si>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</si>
  <si>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</si>
  <si>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</si>
  <si>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</si>
  <si>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</si>
  <si>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</si>
  <si>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</si>
  <si>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</si>
  <si>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</si>
  <si>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</si>
  <si>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</si>
  <si>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</si>
  <si>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</si>
  <si>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</si>
  <si>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</si>
  <si>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</si>
  <si>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</si>
  <si>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</si>
  <si>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</si>
  <si>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</si>
  <si>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</si>
  <si>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</si>
  <si>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</si>
  <si>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</si>
  <si>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</si>
  <si>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</si>
  <si>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</si>
  <si>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</si>
  <si>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</si>
  <si>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</si>
  <si>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</si>
  <si>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</si>
  <si>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</si>
  <si>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</si>
  <si>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</si>
  <si>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</si>
  <si>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</si>
  <si>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</si>
  <si>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</si>
  <si>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</si>
  <si>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</si>
  <si>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</si>
  <si>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</si>
  <si>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</si>
  <si>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</si>
  <si>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</si>
  <si>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</si>
  <si>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</si>
  <si>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</si>
  <si>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</si>
  <si>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</si>
  <si>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</si>
  <si>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</si>
  <si>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</si>
  <si>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</si>
  <si>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</si>
  <si>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</si>
  <si>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</si>
  <si>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</si>
  <si>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</si>
  <si>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</si>
  <si>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</si>
  <si>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</si>
  <si>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</si>
  <si>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</si>
  <si>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</si>
  <si>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</si>
  <si>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</si>
  <si>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</si>
  <si>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</si>
  <si>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</si>
  <si>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</si>
  <si>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</si>
  <si>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</si>
  <si>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</si>
  <si>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</si>
  <si>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</si>
  <si>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</si>
  <si>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</si>
  <si>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</si>
  <si>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</si>
  <si>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</si>
  <si>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</si>
  <si>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</si>
  <si>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</si>
  <si>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</si>
  <si>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</si>
  <si>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</si>
  <si>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</si>
  <si>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</si>
  <si>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</si>
  <si>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</si>
  <si>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</si>
  <si>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</si>
  <si>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</si>
  <si>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</si>
  <si>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</si>
  <si>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</si>
  <si>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</si>
  <si>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</si>
  <si>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</si>
  <si>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</si>
  <si>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</si>
  <si>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</si>
  <si>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</si>
  <si>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</si>
  <si>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</si>
  <si>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</si>
  <si>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</si>
  <si>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</si>
  <si>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</si>
  <si>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</si>
  <si>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</si>
  <si>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</si>
  <si>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</si>
  <si>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</si>
  <si>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</si>
  <si>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</si>
  <si>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</si>
  <si>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</si>
  <si>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</si>
  <si>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</si>
  <si>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</si>
  <si>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</si>
  <si>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</si>
  <si>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</si>
  <si>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</si>
  <si>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</si>
  <si>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</si>
  <si>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</si>
  <si>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</si>
  <si>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</si>
  <si>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</si>
  <si>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</si>
  <si>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</si>
  <si>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</si>
  <si>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</si>
  <si>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</si>
  <si>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</si>
  <si>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</si>
  <si>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</si>
  <si>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</si>
  <si>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</si>
  <si>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</si>
  <si>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</si>
  <si>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</si>
  <si>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</si>
  <si>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</si>
  <si>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</si>
  <si>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</si>
  <si>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</si>
  <si>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</si>
  <si>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</si>
  <si>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</si>
  <si>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</si>
  <si>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</si>
  <si>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</si>
  <si>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</si>
  <si>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</si>
  <si>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</si>
  <si>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</si>
  <si>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</si>
  <si>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</si>
  <si>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</si>
  <si>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</si>
  <si>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</si>
  <si>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</si>
  <si>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</si>
  <si>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</si>
  <si>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</si>
  <si>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</si>
  <si>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</si>
  <si>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</si>
  <si>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</si>
  <si>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</si>
  <si>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</si>
  <si>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</si>
  <si>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</si>
  <si>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</si>
  <si>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</si>
  <si>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</si>
  <si>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</si>
  <si>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</si>
  <si>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</si>
  <si>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</si>
  <si>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</si>
  <si>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</si>
  <si>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</si>
  <si>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</si>
  <si>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</si>
  <si>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</si>
  <si>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</si>
  <si>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</si>
  <si>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</si>
  <si>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</si>
  <si>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</si>
  <si>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</si>
  <si>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</si>
  <si>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</si>
  <si>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</si>
  <si>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</si>
  <si>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</si>
  <si>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</si>
  <si>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</si>
  <si>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</si>
  <si>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</si>
  <si>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</si>
  <si>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</si>
  <si>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</si>
  <si>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</si>
  <si>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</si>
  <si>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</si>
  <si>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</si>
  <si>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</si>
  <si>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</si>
  <si>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</si>
  <si>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</si>
  <si>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</si>
  <si>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</si>
  <si>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</si>
  <si>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</si>
  <si>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</si>
  <si>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</si>
  <si>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</si>
  <si>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</si>
  <si>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</si>
  <si>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</si>
  <si>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</si>
  <si>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</si>
  <si>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</si>
  <si>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</si>
  <si>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</si>
  <si>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</si>
  <si>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</si>
  <si>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</si>
  <si>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</si>
  <si>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</si>
  <si>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</si>
  <si>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</si>
  <si>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</si>
  <si>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</si>
  <si>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</si>
  <si>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</si>
  <si>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</si>
  <si>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</si>
  <si>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</si>
  <si>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</si>
  <si>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</si>
  <si>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</si>
  <si>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</si>
  <si>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</si>
  <si>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</si>
  <si>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</si>
  <si>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</si>
  <si>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</si>
  <si>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</si>
  <si>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</si>
  <si>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</si>
  <si>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</si>
  <si>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</si>
  <si>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</si>
  <si>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</si>
  <si>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</si>
  <si>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</si>
  <si>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</si>
  <si>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</si>
  <si>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</si>
  <si>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</si>
  <si>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</si>
  <si>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</si>
  <si>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</si>
  <si>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</si>
  <si>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</si>
  <si>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</si>
  <si>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</si>
  <si>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</si>
  <si>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</si>
  <si>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</si>
  <si>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</si>
  <si>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</si>
  <si>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</si>
  <si>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</si>
  <si>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</si>
  <si>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</si>
  <si>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</si>
  <si>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</si>
  <si>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</si>
  <si>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</si>
  <si>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</si>
  <si>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</si>
  <si>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</si>
  <si>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</si>
  <si>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</si>
  <si>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</si>
  <si>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</si>
  <si>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</si>
  <si>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</si>
  <si>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</si>
  <si>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</si>
  <si>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</si>
  <si>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</si>
  <si>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</si>
  <si>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</si>
  <si>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</si>
  <si>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</si>
  <si>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</si>
  <si>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</si>
  <si>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</si>
  <si>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</si>
  <si>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</si>
  <si>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</si>
  <si>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</si>
  <si>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</si>
  <si>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</si>
  <si>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</si>
  <si>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</si>
  <si>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</si>
  <si>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</si>
  <si>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</si>
  <si>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</si>
  <si>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</si>
  <si>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</si>
  <si>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</si>
  <si>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</si>
  <si>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</si>
  <si>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</si>
  <si>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</si>
  <si>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</si>
  <si>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</si>
  <si>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</si>
  <si>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</si>
  <si>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</si>
  <si>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</si>
  <si>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</si>
  <si>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</si>
  <si>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</si>
  <si>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</si>
  <si>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</si>
  <si>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</si>
  <si>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</si>
  <si>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</si>
  <si>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</si>
  <si>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</si>
  <si>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</si>
  <si>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</si>
  <si>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</si>
  <si>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</si>
  <si>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</si>
  <si>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</si>
  <si>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</si>
  <si>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</si>
  <si>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</si>
  <si>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</si>
  <si>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</si>
  <si>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</si>
  <si>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</si>
  <si>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</si>
  <si>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</si>
  <si>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</si>
  <si>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</si>
  <si>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</si>
  <si>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</si>
  <si>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</si>
  <si>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</si>
  <si>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</si>
  <si>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</si>
  <si>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</si>
  <si>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</si>
  <si>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</si>
  <si>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</si>
  <si>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</si>
  <si>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</si>
  <si>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</si>
  <si>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</si>
  <si>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</si>
  <si>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</si>
  <si>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</si>
  <si>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</si>
  <si>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</si>
  <si>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</si>
  <si>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</si>
  <si>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</si>
  <si>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</si>
  <si>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</si>
  <si>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</si>
  <si>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</si>
  <si>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</si>
  <si>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</si>
  <si>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</si>
  <si>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</si>
  <si>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</si>
  <si>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</si>
  <si>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</si>
  <si>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</si>
  <si>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</si>
  <si>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</si>
  <si>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</si>
  <si>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</si>
  <si>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</si>
  <si>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</si>
  <si>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</si>
  <si>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</si>
  <si>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</si>
  <si>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</si>
  <si>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</si>
  <si>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</si>
  <si>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</si>
  <si>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</si>
  <si>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</si>
  <si>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</si>
  <si>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</si>
  <si>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</si>
  <si>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</si>
  <si>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</si>
  <si>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</si>
  <si>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</si>
  <si>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</si>
  <si>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</si>
  <si>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</si>
  <si>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</si>
  <si>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</si>
  <si>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</si>
  <si>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</si>
  <si>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</si>
  <si>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</si>
  <si>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</si>
  <si>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</si>
  <si>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</si>
  <si>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</si>
  <si>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</si>
  <si>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</si>
  <si>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</si>
  <si>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</si>
  <si>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</si>
  <si>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</si>
  <si>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</si>
  <si>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</si>
  <si>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</si>
  <si>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</si>
  <si>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</si>
  <si>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</si>
  <si>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</si>
  <si>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</si>
  <si>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</si>
  <si>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</si>
  <si>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</si>
  <si>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</si>
  <si>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</si>
  <si>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</si>
  <si>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</si>
  <si>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</si>
  <si>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</si>
  <si>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</si>
  <si>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</si>
  <si>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</si>
  <si>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</si>
  <si>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</si>
  <si>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</si>
  <si>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</si>
  <si>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</si>
  <si>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</si>
  <si>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</si>
  <si>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</si>
  <si>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</si>
  <si>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</si>
  <si>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</si>
  <si>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</si>
  <si>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</si>
  <si>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</si>
  <si>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</si>
  <si>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</si>
  <si>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</si>
  <si>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</si>
  <si>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</si>
  <si>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</si>
  <si>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</si>
  <si>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</si>
  <si>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</si>
  <si>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</si>
  <si>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</si>
  <si>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</si>
  <si>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</si>
  <si>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</si>
  <si>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</si>
  <si>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</si>
  <si>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</si>
  <si>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</si>
  <si>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</si>
  <si>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</si>
  <si>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</si>
  <si>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</si>
  <si>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</si>
  <si>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</si>
  <si>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</si>
  <si>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</si>
  <si>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</si>
  <si>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</si>
  <si>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</si>
  <si>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</si>
  <si>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</si>
  <si>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</si>
  <si>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</si>
  <si>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</si>
  <si>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</si>
  <si>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</si>
  <si>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</si>
  <si>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</si>
  <si>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</si>
  <si>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</si>
  <si>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</si>
  <si>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</si>
  <si>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</si>
  <si>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</si>
  <si>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</si>
  <si>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</si>
  <si>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</si>
  <si>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</si>
  <si>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</si>
  <si>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</si>
  <si>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</si>
  <si>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</si>
  <si>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</si>
  <si>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</si>
  <si>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</si>
  <si>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</si>
  <si>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</si>
  <si>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</si>
  <si>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</si>
  <si>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</si>
  <si>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</si>
  <si>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</si>
  <si>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</si>
  <si>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</si>
  <si>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</si>
  <si>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</si>
  <si>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</si>
  <si>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</si>
  <si>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</si>
  <si>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</si>
  <si>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</si>
  <si>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</si>
  <si>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</si>
  <si>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</si>
  <si>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</si>
  <si>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</si>
  <si>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</si>
  <si>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</si>
  <si>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</si>
  <si>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</si>
  <si>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</si>
  <si>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</si>
  <si>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</si>
  <si>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</si>
  <si>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</si>
  <si>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</si>
  <si>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</si>
  <si>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</si>
  <si>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</si>
  <si>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</si>
  <si>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</si>
  <si>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</si>
  <si>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</si>
  <si>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</si>
  <si>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</si>
  <si>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</si>
  <si>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</si>
  <si>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</si>
  <si>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</si>
  <si>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</si>
  <si>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</si>
  <si>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</si>
  <si>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</si>
  <si>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</si>
  <si>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</si>
  <si>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</si>
  <si>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</si>
  <si>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</si>
  <si>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</si>
  <si>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</si>
  <si>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</si>
  <si>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</si>
  <si>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</si>
  <si>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</si>
  <si>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</si>
  <si>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</si>
  <si>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</si>
  <si>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</si>
  <si>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</si>
  <si>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</si>
  <si>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</si>
  <si>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</si>
  <si>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</si>
  <si>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</si>
  <si>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</si>
  <si>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</si>
  <si>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</si>
  <si>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</si>
  <si>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</si>
  <si>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</si>
  <si>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</si>
  <si>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</si>
  <si>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</si>
  <si>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</si>
  <si>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</si>
  <si>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</si>
  <si>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</si>
  <si>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</si>
  <si>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</si>
  <si>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</si>
  <si>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</si>
  <si>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</si>
  <si>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</si>
  <si>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</si>
  <si>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</si>
  <si>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</si>
  <si>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</si>
  <si>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</si>
  <si>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</si>
  <si>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</si>
  <si>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</si>
  <si>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</si>
  <si>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</si>
  <si>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</si>
  <si>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</si>
  <si>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</si>
  <si>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</si>
  <si>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</si>
  <si>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</si>
  <si>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</si>
  <si>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</si>
  <si>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</si>
  <si>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</si>
  <si>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</si>
  <si>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</si>
  <si>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</si>
  <si>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</si>
  <si>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</si>
  <si>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</si>
  <si>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</si>
  <si>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</si>
  <si>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</si>
  <si>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</si>
  <si>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</si>
  <si>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</si>
  <si>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</si>
  <si>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</si>
  <si>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</si>
  <si>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</si>
  <si>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</si>
  <si>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</si>
  <si>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</si>
  <si>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</si>
  <si>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</si>
  <si>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</si>
  <si>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</si>
  <si>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</si>
  <si>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</si>
  <si>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</si>
  <si>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</si>
  <si>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</si>
  <si>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</si>
  <si>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</si>
  <si>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</si>
  <si>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</si>
  <si>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</si>
  <si>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</si>
  <si>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</si>
  <si>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</si>
  <si>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</si>
  <si>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</si>
  <si>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</si>
  <si>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</si>
  <si>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</si>
  <si>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</si>
  <si>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</si>
  <si>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</si>
  <si>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</si>
  <si>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</si>
  <si>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</si>
  <si>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</si>
  <si>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</si>
  <si>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</si>
  <si>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</si>
  <si>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</si>
  <si>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</si>
  <si>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</si>
  <si>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</si>
  <si>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</si>
  <si>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</si>
  <si>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</si>
  <si>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</si>
  <si>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</si>
  <si>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</si>
  <si>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</si>
  <si>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</si>
  <si>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</si>
  <si>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</si>
  <si>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</si>
  <si>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</si>
  <si>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</si>
  <si>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</si>
  <si>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</si>
  <si>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</si>
  <si>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</si>
  <si>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</si>
  <si>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</si>
  <si>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</si>
  <si>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</si>
  <si>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</si>
  <si>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</si>
  <si>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</si>
  <si>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</si>
  <si>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</si>
  <si>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</si>
  <si>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</si>
  <si>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</si>
  <si>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</si>
  <si>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</si>
  <si>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</si>
  <si>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</si>
  <si>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</si>
  <si>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</si>
  <si>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</si>
  <si>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</si>
  <si>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</si>
  <si>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</si>
  <si>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</si>
  <si>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</si>
  <si>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</si>
  <si>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</si>
  <si>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</si>
  <si>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</si>
  <si>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</si>
  <si>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</si>
  <si>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</si>
  <si>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</si>
  <si>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</si>
  <si>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</si>
  <si>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</si>
  <si>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</si>
  <si>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</si>
  <si>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</si>
  <si>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</si>
  <si>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</si>
  <si>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</si>
  <si>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</si>
  <si>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</si>
  <si>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</si>
  <si>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</si>
  <si>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</si>
  <si>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</si>
  <si>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</si>
  <si>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</si>
  <si>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</si>
  <si>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</si>
  <si>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</si>
  <si>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</si>
  <si>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</si>
  <si>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</si>
  <si>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</si>
  <si>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</si>
  <si>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</si>
  <si>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</si>
  <si>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</si>
  <si>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</si>
  <si>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</si>
  <si>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</si>
  <si>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</si>
  <si>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</si>
  <si>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</si>
  <si>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</si>
  <si>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</si>
  <si>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</si>
  <si>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</si>
  <si>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</si>
  <si>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</si>
  <si>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</si>
  <si>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</si>
  <si>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</si>
  <si>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</si>
  <si>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</si>
  <si>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</si>
  <si>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</si>
  <si>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</si>
  <si>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</si>
  <si>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</si>
  <si>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</si>
  <si>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</si>
  <si>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</si>
  <si>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</si>
  <si>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</si>
  <si>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</si>
  <si>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</si>
  <si>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</si>
  <si>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</si>
  <si>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</si>
  <si>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</si>
  <si>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</si>
  <si>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</si>
  <si>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</si>
  <si>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</si>
  <si>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</si>
  <si>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</si>
  <si>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</si>
  <si>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</si>
  <si>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</si>
  <si>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</si>
  <si>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</si>
  <si>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</si>
  <si>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</si>
  <si>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</si>
  <si>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</si>
  <si>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</si>
  <si>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</si>
  <si>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</si>
  <si>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</si>
  <si>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</si>
  <si>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</si>
  <si>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</si>
  <si>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</si>
  <si>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</si>
  <si>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</si>
  <si>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</si>
  <si>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</si>
  <si>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</si>
  <si>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</si>
  <si>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</si>
  <si>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</si>
  <si>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</si>
  <si>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</si>
  <si>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</si>
  <si>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</si>
  <si>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</si>
  <si>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</si>
  <si>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</si>
  <si>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</si>
  <si>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</si>
  <si>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</si>
  <si>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</si>
  <si>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</si>
  <si>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</si>
  <si>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</si>
  <si>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</si>
  <si>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</si>
  <si>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</si>
  <si>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</si>
  <si>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</si>
  <si>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</si>
  <si>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</si>
  <si>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</si>
  <si>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</si>
  <si>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</si>
  <si>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</si>
  <si>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</si>
  <si>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</si>
  <si>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</si>
  <si>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</si>
  <si>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</si>
  <si>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</si>
  <si>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</si>
  <si>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</si>
  <si>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</si>
  <si>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</si>
  <si>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</si>
  <si>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</si>
  <si>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</si>
  <si>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</si>
  <si>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</si>
  <si>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</si>
  <si>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</si>
  <si>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</si>
  <si>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</si>
  <si>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</si>
  <si>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</si>
  <si>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</si>
  <si>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</si>
  <si>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</si>
  <si>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</si>
  <si>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</si>
  <si>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</si>
  <si>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</si>
  <si>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</si>
  <si>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</si>
  <si>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</si>
  <si>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</si>
  <si>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</si>
  <si>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</si>
  <si>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</si>
  <si>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</si>
  <si>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</si>
  <si>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</si>
  <si>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</si>
  <si>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</si>
  <si>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</si>
  <si>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</si>
  <si>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</si>
  <si>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</si>
  <si>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</si>
  <si>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</si>
  <si>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</si>
  <si>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</si>
  <si>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</si>
  <si>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</si>
  <si>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</si>
  <si>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</si>
  <si>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</si>
  <si>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</si>
  <si>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</si>
  <si>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</si>
  <si>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</si>
  <si>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</si>
  <si>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</si>
  <si>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</si>
  <si>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</si>
  <si>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</si>
  <si>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</si>
  <si>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</si>
  <si>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</si>
  <si>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</si>
  <si>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</si>
  <si>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</si>
  <si>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</si>
  <si>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</si>
  <si>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</si>
  <si>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</si>
  <si>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</si>
  <si>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</si>
  <si>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</si>
  <si>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</si>
  <si>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</si>
  <si>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</si>
  <si>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</si>
  <si>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</si>
  <si>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</si>
  <si>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</si>
  <si>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</si>
  <si>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</si>
  <si>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</si>
  <si>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</si>
  <si>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</si>
  <si>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</si>
  <si>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</si>
  <si>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</si>
  <si>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</si>
  <si>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</si>
  <si>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</si>
  <si>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</si>
  <si>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</si>
  <si>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</si>
  <si>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</si>
  <si>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</si>
  <si>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</si>
  <si>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</si>
  <si>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</si>
  <si>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</si>
  <si>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</si>
  <si>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</si>
  <si>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</si>
  <si>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</si>
  <si>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</si>
  <si>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</si>
  <si>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</si>
  <si>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</si>
  <si>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</si>
  <si>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</si>
  <si>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</si>
  <si>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</si>
  <si>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</si>
  <si>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</si>
  <si>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</si>
  <si>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</si>
  <si>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</si>
  <si>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</si>
  <si>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</si>
  <si>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</si>
  <si>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</si>
  <si>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</si>
  <si>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</si>
  <si>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</si>
  <si>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</si>
  <si>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</si>
  <si>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</si>
  <si>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</si>
  <si>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</si>
  <si>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</si>
  <si>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</si>
  <si>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</si>
  <si>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</si>
  <si>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</si>
  <si>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</si>
  <si>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</si>
  <si>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</si>
  <si>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</si>
  <si>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</si>
  <si>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</si>
  <si>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</si>
  <si>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</si>
  <si>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</si>
  <si>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</si>
  <si>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</si>
  <si>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</si>
  <si>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</si>
  <si>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</si>
  <si>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</si>
  <si>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</si>
  <si>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</si>
  <si>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</si>
  <si>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</si>
  <si>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</si>
  <si>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</si>
  <si>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</si>
  <si>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</si>
  <si>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</si>
  <si>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</si>
  <si>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</si>
  <si>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</si>
  <si>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</si>
  <si>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</si>
  <si>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</si>
  <si>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</si>
  <si>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</si>
  <si>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</si>
  <si>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</si>
  <si>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</si>
  <si>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</si>
  <si>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</si>
  <si>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</si>
  <si>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</si>
  <si>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</si>
  <si>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</si>
  <si>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</si>
  <si>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</si>
  <si>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</si>
  <si>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</si>
  <si>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</si>
  <si>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</si>
  <si>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</si>
  <si>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</si>
  <si>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</si>
  <si>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</si>
  <si>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</si>
  <si>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</si>
  <si>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</si>
  <si>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</si>
  <si>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</si>
  <si>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</si>
  <si>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</si>
  <si>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</si>
  <si>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</si>
  <si>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</si>
  <si>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</si>
  <si>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</si>
  <si>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</si>
  <si>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</si>
  <si>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</si>
  <si>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</si>
  <si>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</si>
  <si>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</si>
  <si>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</si>
  <si>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</si>
  <si>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</si>
  <si>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</si>
  <si>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</si>
  <si>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</si>
  <si>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</si>
  <si>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</si>
  <si>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</si>
  <si>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</si>
  <si>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</si>
  <si>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</si>
  <si>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</si>
  <si>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</si>
  <si>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</si>
  <si>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</si>
  <si>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</si>
  <si>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</si>
  <si>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</si>
  <si>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</si>
  <si>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</si>
  <si>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</si>
  <si>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</si>
  <si>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</si>
  <si>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</si>
  <si>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</si>
  <si>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</si>
  <si>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</si>
  <si>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</si>
  <si>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</si>
  <si>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</si>
  <si>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</si>
  <si>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</si>
  <si>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</si>
  <si>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</si>
  <si>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</si>
  <si>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</si>
  <si>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</si>
  <si>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</si>
  <si>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</si>
  <si>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</si>
  <si>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</si>
  <si>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</si>
  <si>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</si>
  <si>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</si>
  <si>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</si>
  <si>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</si>
  <si>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</si>
  <si>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</si>
  <si>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</si>
  <si>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</si>
  <si>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</si>
  <si>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</si>
  <si>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</si>
  <si>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</si>
  <si>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</si>
  <si>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</si>
  <si>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</si>
  <si>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</si>
  <si>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</si>
  <si>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</si>
  <si>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</si>
  <si>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</si>
  <si>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</si>
  <si>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</si>
  <si>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</si>
  <si>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</si>
  <si>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</si>
  <si>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</si>
  <si>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</si>
  <si>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</si>
  <si>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</si>
  <si>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</si>
  <si>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</si>
  <si>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</si>
  <si>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</si>
  <si>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</si>
  <si>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</si>
  <si>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</si>
  <si>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</si>
  <si>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</si>
  <si>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</si>
  <si>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</si>
  <si>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</si>
  <si>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</si>
  <si>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</si>
  <si>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</si>
  <si>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</si>
  <si>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</si>
  <si>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</si>
  <si>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</si>
  <si>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</si>
  <si>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</si>
  <si>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</si>
  <si>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</si>
  <si>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</si>
  <si>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</si>
  <si>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</si>
  <si>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</si>
  <si>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</si>
  <si>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</si>
  <si>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</si>
  <si>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</si>
  <si>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</si>
  <si>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</si>
  <si>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</si>
  <si>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</si>
  <si>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</si>
  <si>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</si>
  <si>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</si>
  <si>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</si>
  <si>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</si>
  <si>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</si>
  <si>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</si>
  <si>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</si>
  <si>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</si>
  <si>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</si>
  <si>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</si>
  <si>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</si>
  <si>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</si>
  <si>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</si>
  <si>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</si>
  <si>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</si>
  <si>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</si>
  <si>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</si>
  <si>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</si>
  <si>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</si>
  <si>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</si>
  <si>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</si>
  <si>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</si>
  <si>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</si>
  <si>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</si>
  <si>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</si>
  <si>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</si>
  <si>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</si>
  <si>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</si>
  <si>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</si>
  <si>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</si>
  <si>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</si>
  <si>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</si>
  <si>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</si>
  <si>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</si>
  <si>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</si>
  <si>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</si>
  <si>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</si>
  <si>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</si>
  <si>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</si>
  <si>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</si>
  <si>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</si>
  <si>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</si>
  <si>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</si>
  <si>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</si>
  <si>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</si>
  <si>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</si>
  <si>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</si>
  <si>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</si>
  <si>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</si>
  <si>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</si>
  <si>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</si>
  <si>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</si>
  <si>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</si>
  <si>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</si>
  <si>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</si>
  <si>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</si>
  <si>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</si>
  <si>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</si>
  <si>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</si>
  <si>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</si>
  <si>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</si>
  <si>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</si>
  <si>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</si>
  <si>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</si>
  <si>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</si>
  <si>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</si>
  <si>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</si>
  <si>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</si>
  <si>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</si>
  <si>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</si>
  <si>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</si>
  <si>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</si>
  <si>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</si>
  <si>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</si>
  <si>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</si>
  <si>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</si>
  <si>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</si>
  <si>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</si>
  <si>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</si>
  <si>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</si>
  <si>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</si>
  <si>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</si>
  <si>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</si>
  <si>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</si>
  <si>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</si>
  <si>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</si>
  <si>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</si>
  <si>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</si>
  <si>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</si>
  <si>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</si>
  <si>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</si>
  <si>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</si>
  <si>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</si>
  <si>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</si>
  <si>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</si>
  <si>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</si>
  <si>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</si>
  <si>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</si>
  <si>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</si>
  <si>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</si>
  <si>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</si>
  <si>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</si>
  <si>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</si>
  <si>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</si>
  <si>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</si>
  <si>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</si>
  <si>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</si>
  <si>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</si>
  <si>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</si>
  <si>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</si>
  <si>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</si>
  <si>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</si>
  <si>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</si>
  <si>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</si>
  <si>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</si>
  <si>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</si>
  <si>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</si>
  <si>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</si>
  <si>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</si>
  <si>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</si>
  <si>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</si>
  <si>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</si>
  <si>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</si>
  <si>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</si>
  <si>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</si>
  <si>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</si>
  <si>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</si>
  <si>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</si>
  <si>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</si>
  <si>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</si>
  <si>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</si>
  <si>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</si>
  <si>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</si>
  <si>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</si>
  <si>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</si>
  <si>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</si>
  <si>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</si>
  <si>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</si>
  <si>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</si>
  <si>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</si>
  <si>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</si>
  <si>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</si>
  <si>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</si>
  <si>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</si>
  <si>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</si>
  <si>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</si>
  <si>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</si>
  <si>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</si>
  <si>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</si>
  <si>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</si>
  <si>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</si>
  <si>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</si>
  <si>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</si>
  <si>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</si>
  <si>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</si>
  <si>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</si>
  <si>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</si>
  <si>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</si>
  <si>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</si>
  <si>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</si>
  <si>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</si>
  <si>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</si>
  <si>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</si>
  <si>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</si>
  <si>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</si>
  <si>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</si>
  <si>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</si>
  <si>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</si>
  <si>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</si>
  <si>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</si>
  <si>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</si>
  <si>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</si>
  <si>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</si>
  <si>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</si>
  <si>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</si>
  <si>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</si>
  <si>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</si>
  <si>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</si>
  <si>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</si>
  <si>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</si>
  <si>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</si>
  <si>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</si>
  <si>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</si>
  <si>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</si>
  <si>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</si>
  <si>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</si>
  <si>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</si>
  <si>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</si>
  <si>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</si>
  <si>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</si>
  <si>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</si>
  <si>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</si>
  <si>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</si>
  <si>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</si>
  <si>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</si>
  <si>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</si>
  <si>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</si>
  <si>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</si>
  <si>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</si>
  <si>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</si>
  <si>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</si>
  <si>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</si>
  <si>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</si>
  <si>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</si>
  <si>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</si>
  <si>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</si>
  <si>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</si>
  <si>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</si>
  <si>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</si>
  <si>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</si>
  <si>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</si>
  <si>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</si>
  <si>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</si>
  <si>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</si>
  <si>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</si>
  <si>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</si>
  <si>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</si>
  <si>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</si>
  <si>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</si>
  <si>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</si>
  <si>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</si>
  <si>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</si>
  <si>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</si>
  <si>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</si>
  <si>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</si>
  <si>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</si>
  <si>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</si>
  <si>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</si>
  <si>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</si>
  <si>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</si>
  <si>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</si>
  <si>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</si>
  <si>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</si>
  <si>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</si>
  <si>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</si>
  <si>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</si>
  <si>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</si>
  <si>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</si>
  <si>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</si>
  <si>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</si>
  <si>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</si>
  <si>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</si>
  <si>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</si>
  <si>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</si>
  <si>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</si>
  <si>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</si>
  <si>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</si>
  <si>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</si>
  <si>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</si>
  <si>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</si>
  <si>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</si>
  <si>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</si>
  <si>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</si>
  <si>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</si>
  <si>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</si>
  <si>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</si>
  <si>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</si>
  <si>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</si>
  <si>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</si>
  <si>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</si>
  <si>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</si>
  <si>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</si>
  <si>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</si>
  <si>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</si>
  <si>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</si>
  <si>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</si>
  <si>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</si>
  <si>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</si>
  <si>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</si>
  <si>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</si>
  <si>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</si>
  <si>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</si>
  <si>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</si>
  <si>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</si>
  <si>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</si>
  <si>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</si>
  <si>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</si>
  <si>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</si>
  <si>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</si>
  <si>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</si>
  <si>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</si>
  <si>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</si>
  <si>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</si>
  <si>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</si>
  <si>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</si>
  <si>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</si>
  <si>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</si>
  <si>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</si>
  <si>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</si>
  <si>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</si>
  <si>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</si>
  <si>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</si>
  <si>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</si>
  <si>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</si>
  <si>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</si>
  <si>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</si>
  <si>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</si>
  <si>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</si>
  <si>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</si>
  <si>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</si>
  <si>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</si>
  <si>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</si>
  <si>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</si>
  <si>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</si>
  <si>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</si>
  <si>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</si>
  <si>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</si>
  <si>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</si>
  <si>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</si>
  <si>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</si>
  <si>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</si>
  <si>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</si>
  <si>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</si>
  <si>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</si>
  <si>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</si>
  <si>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</si>
  <si>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</si>
  <si>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</si>
  <si>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</si>
  <si>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</si>
  <si>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</si>
  <si>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</si>
  <si>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</si>
  <si>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</si>
  <si>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</si>
  <si>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</si>
  <si>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</si>
  <si>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</si>
  <si>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</si>
  <si>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</si>
  <si>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</si>
  <si>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</si>
  <si>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</si>
  <si>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</si>
  <si>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</si>
  <si>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</si>
  <si>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</si>
  <si>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</si>
  <si>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</si>
  <si>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</si>
  <si>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</si>
  <si>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</si>
  <si>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</si>
  <si>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</si>
  <si>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</si>
  <si>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</si>
  <si>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</si>
  <si>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</si>
  <si>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</si>
  <si>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</si>
  <si>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</si>
  <si>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</si>
  <si>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</si>
  <si>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</si>
  <si>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</si>
  <si>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</si>
  <si>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</si>
  <si>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</si>
  <si>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</si>
  <si>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</si>
  <si>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</si>
  <si>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</si>
  <si>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</si>
  <si>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</si>
  <si>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</si>
  <si>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</si>
  <si>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</si>
  <si>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</si>
  <si>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</si>
  <si>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</si>
  <si>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</si>
  <si>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</si>
  <si>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</si>
  <si>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</si>
  <si>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</si>
  <si>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</si>
  <si>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</si>
  <si>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</si>
  <si>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</si>
  <si>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</si>
  <si>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</si>
  <si>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</si>
  <si>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</si>
  <si>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</si>
  <si>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</si>
  <si>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</si>
  <si>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</si>
  <si>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</si>
  <si>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</si>
  <si>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</si>
  <si>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</si>
  <si>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</si>
  <si>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</si>
  <si>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</si>
  <si>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</si>
  <si>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</si>
  <si>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</si>
  <si>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</si>
  <si>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</si>
  <si>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</si>
  <si>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</si>
  <si>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</si>
  <si>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</si>
  <si>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</si>
  <si>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</si>
  <si>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</si>
  <si>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</si>
  <si>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</si>
  <si>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</si>
  <si>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</si>
  <si>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</si>
  <si>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</si>
  <si>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</si>
  <si>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</si>
  <si>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</si>
  <si>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</si>
  <si>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</si>
  <si>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</si>
  <si>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</si>
  <si>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</si>
  <si>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</si>
  <si>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</si>
  <si>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</si>
  <si>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</si>
  <si>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</si>
  <si>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</si>
  <si>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</si>
  <si>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</si>
  <si>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</si>
  <si>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</si>
  <si>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</si>
  <si>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</si>
  <si>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</si>
  <si>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</si>
  <si>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</si>
  <si>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</si>
  <si>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</si>
  <si>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</si>
  <si>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</si>
  <si>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</si>
  <si>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</si>
  <si>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</si>
  <si>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</si>
  <si>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</si>
  <si>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</si>
  <si>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</si>
  <si>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</si>
  <si>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</si>
  <si>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</si>
  <si>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</si>
  <si>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</si>
  <si>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</si>
  <si>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</si>
  <si>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</si>
  <si>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</si>
  <si>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</si>
  <si>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</si>
  <si>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</si>
  <si>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</si>
  <si>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</si>
  <si>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</si>
  <si>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</si>
  <si>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</si>
  <si>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</si>
  <si>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</si>
  <si>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</si>
  <si>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</si>
  <si>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</si>
  <si>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</si>
  <si>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</si>
  <si>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</si>
  <si>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</si>
  <si>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</si>
  <si>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</si>
  <si>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</si>
  <si>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</si>
  <si>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</si>
  <si>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</si>
  <si>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</si>
  <si>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</si>
  <si>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</si>
  <si>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</si>
  <si>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</si>
  <si>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</si>
  <si>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</si>
  <si>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</si>
  <si>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</si>
  <si>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</si>
  <si>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</si>
  <si>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</si>
  <si>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</si>
  <si>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</si>
  <si>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</si>
  <si>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</si>
  <si>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</si>
  <si>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</si>
  <si>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</si>
  <si>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</si>
  <si>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</si>
  <si>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</si>
  <si>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</si>
  <si>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</si>
  <si>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</si>
  <si>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</si>
  <si>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</si>
  <si>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</si>
  <si>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</si>
  <si>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</si>
  <si>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</si>
  <si>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</si>
  <si>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</si>
  <si>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</si>
  <si>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</si>
  <si>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</si>
  <si>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</si>
  <si>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</si>
  <si>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</si>
  <si>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</si>
  <si>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</si>
  <si>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</si>
  <si>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</si>
  <si>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</si>
  <si>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</si>
  <si>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</si>
  <si>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</si>
  <si>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</si>
  <si>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</si>
  <si>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</si>
  <si>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</si>
  <si>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</si>
  <si>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</si>
  <si>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</si>
  <si>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</si>
  <si>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</si>
  <si>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</si>
  <si>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</si>
  <si>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</si>
  <si>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</si>
  <si>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</si>
  <si>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</si>
  <si>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</si>
  <si>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</si>
  <si>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</si>
  <si>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</si>
  <si>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</si>
  <si>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</si>
  <si>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</si>
  <si>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</si>
  <si>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</si>
  <si>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</si>
  <si>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</si>
  <si>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</si>
  <si>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</si>
  <si>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</si>
  <si>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</si>
  <si>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</si>
  <si>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</si>
  <si>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</si>
  <si>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</si>
  <si>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</si>
  <si>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</si>
  <si>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</si>
  <si>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</si>
  <si>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</si>
  <si>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</si>
  <si>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</si>
  <si>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</si>
  <si>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</si>
  <si>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</si>
  <si>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</si>
  <si>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</si>
  <si>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</si>
  <si>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</si>
  <si>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</si>
  <si>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</si>
  <si>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</si>
  <si>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</si>
  <si>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</si>
  <si>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</si>
  <si>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</si>
  <si>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</si>
  <si>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</si>
  <si>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</si>
  <si>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</si>
  <si>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</si>
  <si>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</si>
  <si>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</si>
  <si>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</si>
  <si>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</si>
  <si>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</si>
  <si>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</si>
  <si>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</si>
  <si>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</si>
  <si>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</si>
  <si>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</si>
  <si>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</si>
  <si>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</si>
  <si>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</si>
  <si>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</si>
  <si>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</si>
  <si>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</si>
  <si>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</si>
  <si>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</si>
  <si>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</si>
  <si>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</si>
  <si>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</si>
  <si>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</si>
  <si>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</si>
  <si>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</si>
  <si>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</si>
  <si>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</si>
  <si>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</si>
  <si>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</si>
  <si>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</si>
  <si>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</si>
  <si>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</si>
  <si>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</si>
  <si>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</si>
  <si>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</si>
  <si>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</si>
  <si>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</si>
  <si>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</si>
  <si>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</si>
  <si>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</si>
  <si>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</si>
  <si>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</si>
  <si>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</si>
  <si>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</si>
  <si>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</si>
  <si>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</si>
  <si>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</si>
  <si>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</si>
  <si>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</si>
  <si>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</si>
  <si>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</si>
  <si>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</si>
  <si>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</si>
  <si>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</si>
  <si>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</si>
  <si>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</si>
  <si>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</si>
  <si>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</si>
  <si>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</si>
  <si>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</si>
  <si>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</si>
  <si>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</si>
  <si>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</si>
  <si>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</si>
  <si>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</si>
  <si>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</si>
  <si>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</si>
  <si>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</si>
  <si>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</si>
  <si>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</si>
  <si>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</si>
  <si>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</si>
  <si>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</si>
  <si>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</si>
  <si>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</si>
  <si>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</si>
  <si>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</si>
  <si>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</si>
  <si>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</si>
  <si>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</si>
  <si>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</si>
  <si>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</si>
  <si>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</si>
  <si>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</si>
  <si>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</si>
  <si>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</si>
  <si>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</si>
  <si>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</si>
  <si>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</si>
  <si>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</si>
  <si>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</si>
  <si>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</si>
  <si>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</si>
  <si>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</si>
  <si>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</si>
  <si>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</si>
  <si>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</si>
  <si>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</si>
  <si>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</si>
  <si>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</si>
  <si>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</si>
  <si>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</si>
  <si>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</si>
  <si>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</si>
  <si>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</si>
  <si>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</si>
  <si>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</si>
  <si>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</si>
  <si>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</si>
  <si>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</si>
  <si>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</si>
  <si>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</si>
  <si>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</si>
  <si>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</si>
  <si>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</si>
  <si>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</si>
  <si>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</si>
  <si>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</si>
  <si>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</si>
  <si>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</si>
  <si>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</si>
  <si>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</si>
  <si>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</si>
  <si>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周边有夏威夷·蓝湾、美丽乡村别墅、金谷iSOHO等居住社区，综合评价居住社区成熟度较好</t>
    <phoneticPr fontId="41" type="noConversion"/>
  </si>
  <si>
    <t>估价对象位于燕郊，周边商业氛围成熟度一般，多集中于住宅底商，人流量较小，商业繁华度较差</t>
    <phoneticPr fontId="25" type="noConversion"/>
  </si>
  <si>
    <t>周边有302、快速直达专线102路等公交线路，交通便捷度一般。</t>
    <phoneticPr fontId="41" type="noConversion"/>
  </si>
  <si>
    <t>估价对象周边无银行、商场、学校、医院，有社区超市等，公共配套设施较差。</t>
    <phoneticPr fontId="41" type="noConversion"/>
  </si>
  <si>
    <t>估价对象所在区域基础设施水平达七通</t>
    <phoneticPr fontId="25" type="noConversion"/>
  </si>
  <si>
    <t>周边绿化均为城市绿化，无高等教育机构等，综合评价环境状况一般</t>
    <phoneticPr fontId="3" type="noConversion"/>
  </si>
  <si>
    <t>城市次干道——迎宾路</t>
    <phoneticPr fontId="3"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</si>
  <si>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</si>
  <si>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</si>
  <si>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</si>
  <si>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</si>
  <si>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</si>
  <si>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</si>
  <si>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</si>
  <si>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</si>
  <si>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</si>
  <si>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</si>
  <si>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</si>
  <si>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</si>
  <si>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</si>
  <si>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</si>
  <si>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</si>
  <si>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</si>
  <si>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</si>
  <si>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</si>
  <si>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</si>
  <si>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</si>
  <si>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</si>
  <si>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</si>
  <si>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</si>
  <si>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</si>
  <si>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</si>
  <si>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</si>
  <si>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</si>
  <si>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</si>
  <si>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</si>
  <si>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</si>
  <si>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</si>
  <si>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</si>
  <si>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成本比率</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</si>
  <si>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</si>
  <si>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</si>
  <si>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</si>
  <si>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</si>
  <si>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</si>
  <si>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</si>
  <si>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2017-1-1008-F02DYGJ1</t>
    <phoneticPr fontId="6" type="noConversion"/>
  </si>
  <si>
    <t>三河天洋城房地产开发有限公司</t>
    <phoneticPr fontId="6" type="noConversion"/>
  </si>
  <si>
    <t>商业</t>
    <phoneticPr fontId="6" type="noConversion"/>
  </si>
  <si>
    <t>35.47年</t>
    <phoneticPr fontId="6" type="noConversion"/>
  </si>
  <si>
    <t>《房屋所有权证》</t>
  </si>
  <si>
    <t>《房屋所有权证》[三河市房权证燕字第225601号]</t>
    <phoneticPr fontId="6" type="noConversion"/>
  </si>
  <si>
    <t>《国有土地使用权》</t>
  </si>
  <si>
    <t>《国有土地使用权》[三国用（2013）第083号]</t>
    <phoneticPr fontId="6" type="noConversion"/>
  </si>
  <si>
    <t>复印件</t>
  </si>
  <si>
    <t>有</t>
    <phoneticPr fontId="6" type="noConversion"/>
  </si>
  <si>
    <t>商业项目</t>
  </si>
  <si>
    <r>
      <t>S9</t>
    </r>
    <r>
      <rPr>
        <sz val="10"/>
        <color indexed="8"/>
        <rFont val="宋体"/>
        <family val="3"/>
        <charset val="134"/>
      </rPr>
      <t>商业楼</t>
    </r>
    <phoneticPr fontId="3" type="noConversion"/>
  </si>
  <si>
    <t>独栋</t>
  </si>
  <si>
    <t>商业楼</t>
  </si>
  <si>
    <t>商业楼</t>
    <phoneticPr fontId="7" type="noConversion"/>
  </si>
  <si>
    <t>天洋城4代S9商业</t>
    <phoneticPr fontId="3" type="noConversion"/>
  </si>
  <si>
    <t>美林湾</t>
    <phoneticPr fontId="3" type="noConversion"/>
  </si>
  <si>
    <t>较好</t>
    <phoneticPr fontId="31" type="noConversion"/>
  </si>
  <si>
    <t>1-2</t>
  </si>
  <si>
    <t>1-2</t>
    <phoneticPr fontId="31" type="noConversion"/>
  </si>
  <si>
    <t>独栋商业</t>
  </si>
  <si>
    <t>商业街商铺</t>
  </si>
  <si>
    <t>住宅底商</t>
  </si>
  <si>
    <t>钢混</t>
    <phoneticPr fontId="31" type="noConversion"/>
  </si>
  <si>
    <t>精装</t>
    <phoneticPr fontId="31" type="noConversion"/>
  </si>
  <si>
    <t>普通装修</t>
  </si>
  <si>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</si>
  <si>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</si>
  <si>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</si>
  <si>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</si>
  <si>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</si>
  <si>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</si>
  <si>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</si>
  <si>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</si>
  <si>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</si>
  <si>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</si>
  <si>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</si>
  <si>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</si>
  <si>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</si>
  <si>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</si>
  <si>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</si>
  <si>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</si>
  <si>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</si>
  <si>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</si>
  <si>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</si>
  <si>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</si>
  <si>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</si>
  <si>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不临街</t>
    <phoneticPr fontId="31"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</si>
  <si>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</si>
  <si>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</si>
  <si>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</si>
  <si>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</si>
  <si>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</si>
  <si>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</si>
  <si>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</si>
  <si>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</si>
  <si>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</si>
  <si>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</si>
  <si>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</si>
  <si>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</si>
  <si>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</si>
  <si>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</si>
  <si>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廊坊市三河市燕郊开发区迎宾南路东侧、南城大街南侧天洋城4代商业·荷塘月色时尚街区S9号楼</t>
    <phoneticPr fontId="6" type="noConversion"/>
  </si>
  <si>
    <t>好</t>
  </si>
  <si>
    <t>独栋商业</t>
    <phoneticPr fontId="3" type="noConversion"/>
  </si>
  <si>
    <t>商业街商铺</t>
    <phoneticPr fontId="3" type="noConversion"/>
  </si>
  <si>
    <t>写字楼底商</t>
    <phoneticPr fontId="3" type="noConversion"/>
  </si>
  <si>
    <t>住宅底商</t>
    <phoneticPr fontId="3" type="noConversion"/>
  </si>
  <si>
    <t>购物中心</t>
    <phoneticPr fontId="3" type="noConversion"/>
  </si>
  <si>
    <t>单面临街</t>
  </si>
  <si>
    <t>单面临街</t>
    <phoneticPr fontId="31" type="noConversion"/>
  </si>
  <si>
    <t xml:space="preserve"> </t>
    <phoneticPr fontId="31" type="noConversion"/>
  </si>
  <si>
    <t>3-8</t>
    <phoneticPr fontId="3" type="noConversion"/>
  </si>
  <si>
    <t>2</t>
    <phoneticPr fontId="3"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</si>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</sst>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河北省廊坊市三河市燕郊开发区迎宾南路东侧、南城大街南侧天洋城4代商业·荷塘月色时尚街区S9号楼房地产抵押价值预评估</v>
      </c>
    </row>
    <row r="3" spans="1:2" s="1594" customFormat="1">
      <c r="A3" s="1592" t="s">
        <v>1222</v>
      </c>
      <c r="B3" s="1593" t="str">
        <f>'预评函-封皮'!B40</f>
        <v>三河天洋城房地产开发有限公司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康正预评字2017-1-1008-F02DYGJ1号</v>
      </c>
    </row>
    <row r="6" spans="1:2" s="1591" customFormat="1" ht="15" thickTop="1">
      <c r="A6" s="1589" t="s">
        <v>1225</v>
      </c>
      <c r="B6" s="1590" t="str">
        <f>'预评函-1'!A4</f>
        <v>受贵公司委托，我公司对河北省廊坊市三河市燕郊开发区迎宾南路东侧、南城大街南侧天洋城4代商业·荷塘月色时尚街区S9号楼房地产抵押价值进行了预评估。</v>
      </c>
    </row>
    <row r="7" spans="1:2" s="1594" customFormat="1">
      <c r="A7" s="1592" t="s">
        <v>1265</v>
      </c>
      <c r="B7" s="1593" t="str">
        <f>'预评函-1'!A7</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本次评估采用的主估价方法为基准地价系数修正法和收益法。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10149</v>
      </c>
    </row>
    <row r="21" spans="1:2" s="1594" customFormat="1">
      <c r="A21" s="1592" t="s">
        <v>1236</v>
      </c>
      <c r="B21" s="1593">
        <f ca="1">'预评函-2'!D7</f>
        <v>24482</v>
      </c>
    </row>
    <row r="22" spans="1:2" s="1594" customFormat="1">
      <c r="A22" s="1592" t="s">
        <v>1237</v>
      </c>
      <c r="B22" s="1593" t="str">
        <f ca="1">'预评函-2'!D6</f>
        <v>壹亿零壹佰肆拾玖万元整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10149</v>
      </c>
    </row>
    <row r="31" spans="1:2" s="1594" customFormat="1">
      <c r="A31" s="1592" t="s">
        <v>1275</v>
      </c>
      <c r="B31" s="1593">
        <f ca="1">'预评函-2'!D15</f>
        <v>24482</v>
      </c>
    </row>
    <row r="32" spans="1:2" s="1594" customFormat="1">
      <c r="A32" s="1592" t="s">
        <v>1242</v>
      </c>
      <c r="B32" s="1593" t="str">
        <f ca="1">'预评函-2'!D14</f>
        <v>壹亿零壹佰肆拾玖万元整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河北省廊坊市三河市燕郊开发区迎宾南路东侧、南城大街南侧天洋城4代商业·荷塘月色时尚街区S9号楼房地产</v>
      </c>
    </row>
    <row r="42" spans="1:2" s="1594" customFormat="1">
      <c r="A42" s="1592" t="s">
        <v>1289</v>
      </c>
      <c r="B42" s="1593" t="str">
        <f>'预评函-3'!B2</f>
        <v>建筑面积</v>
      </c>
    </row>
    <row r="43" spans="1:2" s="1594" customFormat="1">
      <c r="A43" s="1592" t="s">
        <v>1290</v>
      </c>
      <c r="B43" s="1593">
        <f>'预评函-3'!B4</f>
        <v>4145.53</v>
      </c>
    </row>
    <row r="44" spans="1:2" s="1594" customFormat="1">
      <c r="A44" s="1592" t="s">
        <v>1274</v>
      </c>
      <c r="B44" s="1593" t="str">
        <f>'预评函-3'!C2</f>
        <v>(分摊)土地面积</v>
      </c>
    </row>
    <row r="45" spans="1:2" s="1594" customFormat="1">
      <c r="A45" s="1592" t="s">
        <v>1246</v>
      </c>
      <c r="B45" s="1593">
        <f>'预评函-3'!C4</f>
        <v>6541.77</v>
      </c>
    </row>
    <row r="46" spans="1:2" s="1594" customFormat="1">
      <c r="A46" s="1592" t="s">
        <v>1272</v>
      </c>
      <c r="B46" s="1593" t="str">
        <f>'预评函-3'!D2</f>
        <v>出让国有建设用地使用权价值</v>
      </c>
    </row>
    <row r="47" spans="1:2" s="1594" customFormat="1">
      <c r="A47" s="1592" t="s">
        <v>1247</v>
      </c>
      <c r="B47" s="1593">
        <f ca="1">'预评函-3'!D4</f>
        <v>8414</v>
      </c>
    </row>
    <row r="48" spans="1:2" s="1594" customFormat="1">
      <c r="A48" s="1592" t="s">
        <v>1248</v>
      </c>
      <c r="B48" s="1593">
        <f ca="1">'预评函-3'!E4</f>
        <v>20297</v>
      </c>
    </row>
    <row r="49" spans="1:2" s="1594" customFormat="1">
      <c r="A49" s="1592" t="s">
        <v>1249</v>
      </c>
      <c r="B49" s="1593" t="str">
        <f ca="1">'预评函-3'!D5</f>
        <v>捌仟肆佰壹拾肆万元整</v>
      </c>
    </row>
    <row r="50" spans="1:2" s="1594" customFormat="1">
      <c r="A50" s="1592" t="s">
        <v>1273</v>
      </c>
      <c r="B50" s="1593" t="str">
        <f>'预评函-3'!F2</f>
        <v>建筑物价值</v>
      </c>
    </row>
    <row r="51" spans="1:2" s="1594" customFormat="1">
      <c r="A51" s="1592" t="s">
        <v>1250</v>
      </c>
      <c r="B51" s="1593">
        <f ca="1">'预评函-3'!F4</f>
        <v>1735</v>
      </c>
    </row>
    <row r="52" spans="1:2" s="1594" customFormat="1">
      <c r="A52" s="1592" t="s">
        <v>1251</v>
      </c>
      <c r="B52" s="1593">
        <f ca="1">'预评函-3'!G4</f>
        <v>4185</v>
      </c>
    </row>
    <row r="53" spans="1:2" s="1594" customFormat="1">
      <c r="A53" s="1592" t="s">
        <v>1279</v>
      </c>
      <c r="B53" s="1593" t="str">
        <f ca="1">'预评函-3'!F5</f>
        <v>壹仟柒佰叁拾伍万元整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3152</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天洋城房地产开发有限公司拟使用河北省廊坊市三河市燕郊开发区迎宾南路东侧、南城大街南侧天洋城4代商业·荷塘月色时尚街区S9号楼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9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3"/>
      <c r="B54" s="2023" t="s">
        <v>864</v>
      </c>
      <c r="C54" s="2020" t="s">
        <v>1282</v>
      </c>
    </row>
    <row r="55" spans="1:4">
      <c r="A55" s="2993"/>
      <c r="B55" s="2023" t="s">
        <v>865</v>
      </c>
      <c r="C55" s="2020" t="s">
        <v>1283</v>
      </c>
    </row>
    <row r="56" spans="1:4">
      <c r="A56" s="2993"/>
      <c r="B56" s="2023" t="s">
        <v>866</v>
      </c>
      <c r="C56" s="2020" t="s">
        <v>1287</v>
      </c>
    </row>
    <row r="57" spans="1:4">
      <c r="A57" s="2993"/>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02" t="str">
        <f>IF(B10="北京市","北京市",C10)&amp;F10&amp;IF(结果表!G1="在建","出让国有建设用地使用权及在建建筑物",IF(结果表!G1="土地","出让国有建设用地使用权",))&amp;B9&amp;"预评估"</f>
        <v>河北省廊坊市三河市燕郊开发区迎宾南路东侧、南城大街南侧天洋城4代商业·荷塘月色时尚街区S9号楼房地产抵押价值预评估</v>
      </c>
      <c r="C1" s="3003"/>
      <c r="D1" s="3003"/>
      <c r="E1" s="3003"/>
      <c r="F1" s="3003"/>
      <c r="G1" s="3003"/>
      <c r="H1" s="3003"/>
      <c r="I1" s="300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河北省廊坊市三河市燕郊开发区迎宾南路东侧、南城大街南侧天洋城4代商业·荷塘月色时尚街区S9号楼房地产抵押价值</v>
      </c>
    </row>
    <row r="2" spans="1:19" ht="18" customHeight="1">
      <c r="A2" s="2027" t="s">
        <v>1779</v>
      </c>
      <c r="B2" s="1040" t="s">
        <v>3093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河北省廊坊市三河市燕郊开发区迎宾南路东侧、南城大街南侧天洋城4代商业·荷塘月色时尚街区S9号楼房地产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4" t="s">
        <v>3094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三河天洋城房地产开发有限公司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005" t="s">
        <v>1787</v>
      </c>
      <c r="E8" s="2057" t="s">
        <v>3025</v>
      </c>
      <c r="F8" s="2058"/>
      <c r="G8" s="2027"/>
      <c r="H8" s="2027"/>
      <c r="I8" s="2027"/>
      <c r="J8" s="2043"/>
      <c r="K8" s="2044"/>
      <c r="L8" s="2029"/>
      <c r="M8" s="2029"/>
      <c r="N8" s="2030"/>
      <c r="O8" s="2031"/>
      <c r="P8" s="2030"/>
      <c r="Q8" s="2030"/>
      <c r="R8" s="2030"/>
    </row>
    <row r="9" spans="1:19" ht="18" customHeight="1" thickBot="1">
      <c r="A9" s="2041" t="s">
        <v>1788</v>
      </c>
      <c r="B9" s="2059" t="s">
        <v>3025</v>
      </c>
      <c r="C9" s="2060"/>
      <c r="D9" s="3006"/>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24" t="s">
        <v>3155</v>
      </c>
      <c r="G10" s="2067"/>
      <c r="H10" s="2068"/>
      <c r="I10" s="2047"/>
      <c r="J10" s="2043"/>
      <c r="K10" s="2054"/>
      <c r="L10" s="2029"/>
      <c r="M10" s="2029"/>
      <c r="N10" s="2030"/>
      <c r="O10" s="2031"/>
      <c r="P10" s="2030"/>
      <c r="Q10" s="2030"/>
      <c r="R10" s="2030"/>
    </row>
    <row r="11" spans="1:19" ht="18" customHeight="1">
      <c r="A11" s="2069" t="s">
        <v>1791</v>
      </c>
      <c r="B11" s="2070" t="s">
        <v>3028</v>
      </c>
      <c r="C11" s="2071" t="str">
        <f>B7</f>
        <v>三河天洋城房地产开发有限公司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55999</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35.47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012" t="s">
        <v>3095</v>
      </c>
      <c r="C16" s="3013"/>
      <c r="D16" s="3014"/>
      <c r="E16" s="2085" t="s">
        <v>1804</v>
      </c>
      <c r="F16" s="3015" t="s">
        <v>3096</v>
      </c>
      <c r="G16" s="3016"/>
      <c r="H16" s="3016"/>
      <c r="I16" s="3017"/>
      <c r="J16" s="2030"/>
      <c r="K16" s="2082"/>
      <c r="L16" s="2083"/>
      <c r="M16" s="2083"/>
      <c r="N16" s="2084"/>
      <c r="O16" s="2083"/>
      <c r="P16" s="2084"/>
      <c r="Q16" s="2030"/>
      <c r="R16" s="2030"/>
    </row>
    <row r="17" spans="1:22" ht="18" customHeight="1">
      <c r="A17" s="2086" t="s">
        <v>1805</v>
      </c>
      <c r="B17" s="2036" t="s">
        <v>1806</v>
      </c>
      <c r="C17" s="1055">
        <f>'数据-汇总表'!E3</f>
        <v>4145.53</v>
      </c>
      <c r="D17" s="2087" t="s">
        <v>1807</v>
      </c>
      <c r="E17" s="3018" t="s">
        <v>3098</v>
      </c>
      <c r="F17" s="3019"/>
      <c r="G17" s="3019"/>
      <c r="H17" s="3019"/>
      <c r="I17" s="3020"/>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6541.77</v>
      </c>
      <c r="D18" s="2090" t="s">
        <v>1807</v>
      </c>
      <c r="E18" s="3018" t="s">
        <v>3100</v>
      </c>
      <c r="F18" s="3019"/>
      <c r="G18" s="3019"/>
      <c r="H18" s="3019"/>
      <c r="I18" s="3020"/>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008" t="s">
        <v>1814</v>
      </c>
      <c r="C20" s="3009"/>
      <c r="D20" s="3010" t="s">
        <v>1815</v>
      </c>
      <c r="E20" s="3011"/>
      <c r="F20" s="2097" t="s">
        <v>1816</v>
      </c>
      <c r="G20" s="2043"/>
      <c r="H20" s="2043"/>
      <c r="I20" s="2043"/>
      <c r="J20" s="2043"/>
      <c r="K20" s="3007"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3097</v>
      </c>
      <c r="C21" s="2099" t="s">
        <v>3101</v>
      </c>
      <c r="D21" s="2100" t="s">
        <v>3102</v>
      </c>
      <c r="E21" s="2101" t="s">
        <v>3101</v>
      </c>
      <c r="F21" s="2102"/>
      <c r="G21" s="2043"/>
      <c r="H21" s="2043"/>
      <c r="I21" s="2043"/>
      <c r="J21" s="2043"/>
      <c r="K21" s="30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3099</v>
      </c>
      <c r="C22" s="2099" t="s">
        <v>3031</v>
      </c>
      <c r="D22" s="2027"/>
      <c r="E22" s="2027"/>
      <c r="F22" s="2104"/>
      <c r="G22" s="2043"/>
      <c r="H22" s="2043"/>
      <c r="I22" s="2043"/>
      <c r="J22" s="2043"/>
      <c r="K22" s="30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2995" t="s">
        <v>1824</v>
      </c>
      <c r="B27" s="2063" t="s">
        <v>1825</v>
      </c>
      <c r="C27" s="2119" t="s">
        <v>3103</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2995"/>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2995"/>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2996"/>
      <c r="B30" s="2036" t="s">
        <v>1828</v>
      </c>
      <c r="C30" s="2997"/>
      <c r="D30" s="2998"/>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2999"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00"/>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00"/>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2994" t="s">
        <v>1838</v>
      </c>
      <c r="T34" s="2134" t="str">
        <f>NUMBERSTRING(7-K34,1)&amp;"通"</f>
        <v>七通</v>
      </c>
      <c r="U34" s="2030"/>
      <c r="V34" s="2030"/>
    </row>
    <row r="35" spans="1:22" ht="18" customHeight="1">
      <c r="A35" s="2135"/>
      <c r="B35" s="3001" t="s">
        <v>1839</v>
      </c>
      <c r="C35" s="3001"/>
      <c r="D35" s="3001"/>
      <c r="E35" s="3001"/>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94"/>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5">
        <f>ROUND(B3/B17*50541,2)</f>
        <v>6541.77</v>
      </c>
      <c r="B3" s="13">
        <f>IF(C3="否",G5-AT5,G5)</f>
        <v>4145.53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4145.53</v>
      </c>
      <c r="H5" s="15">
        <f t="shared" ref="H5:AT5" si="0">SUM(H13:H656)</f>
        <v>4145.53</v>
      </c>
      <c r="I5" s="15">
        <f t="shared" si="0"/>
        <v>4145.53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4145.53</v>
      </c>
      <c r="BA5" s="17">
        <f t="shared" si="1"/>
        <v>4145.53</v>
      </c>
      <c r="BB5" s="17">
        <f t="shared" si="1"/>
        <v>4145.53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6541.77</v>
      </c>
      <c r="F6" s="15" t="s">
        <v>1</v>
      </c>
      <c r="G6" s="15" t="s">
        <v>2</v>
      </c>
      <c r="H6" s="19">
        <f>SUMIF(I$12:AB$12,"总值",I6:AB6)</f>
        <v>6541.77</v>
      </c>
      <c r="I6" s="15">
        <f t="shared" ref="I6:AB6" si="2">ROUND($A$3*I5/$B$3,2)</f>
        <v>6541.77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6541.77</v>
      </c>
      <c r="AZ6" s="15" t="s">
        <v>3</v>
      </c>
      <c r="BA6" s="15">
        <f>ROUND($AY$6*BA5/$AZ$5,2)</f>
        <v>6541.77</v>
      </c>
      <c r="BB6" s="15">
        <f>ROUND($AY$6*BB5/$AZ$5,2)</f>
        <v>6541.77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3105</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v>1</v>
      </c>
      <c r="B13" s="1272">
        <v>6120</v>
      </c>
      <c r="C13" s="1272" t="s">
        <v>3104</v>
      </c>
      <c r="D13" s="2213" t="s">
        <v>3041</v>
      </c>
      <c r="E13" s="15">
        <f>IF($C$3="是",ROUND($A$3*G13/$B$3,2),ROUND($A$3*(G13-AT13)/$B$3,2))</f>
        <v>6541.77</v>
      </c>
      <c r="F13" s="31"/>
      <c r="G13" s="32">
        <f>H13+AC13+AT13</f>
        <v>4145.53</v>
      </c>
      <c r="H13" s="19">
        <f>SUMIF(I$12:AB$12,"总值",I13:AB13)</f>
        <v>4145.53</v>
      </c>
      <c r="I13" s="2214">
        <v>4145.53</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1</v>
      </c>
      <c r="AW13" s="11">
        <f t="shared" si="6"/>
        <v>6120</v>
      </c>
      <c r="AX13" s="11" t="str">
        <f t="shared" si="6"/>
        <v>S9商业楼</v>
      </c>
      <c r="AY13" s="1807">
        <f>ROUND($AY$6*AZ13/$AZ$5,2)</f>
        <v>6541.77</v>
      </c>
      <c r="AZ13" s="15">
        <f>BA13+BL13</f>
        <v>4145.53</v>
      </c>
      <c r="BA13" s="15">
        <f>SUM(BB13:BK13)</f>
        <v>4145.53</v>
      </c>
      <c r="BB13" s="15">
        <f>IF($D13="是",I13-J13,0)</f>
        <v>4145.53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3276" t="s">
        <v>3166</v>
      </c>
      <c r="B14" s="1272">
        <v>6562.4</v>
      </c>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t="str">
        <f t="shared" si="6"/>
        <v>2</v>
      </c>
      <c r="AW14" s="11">
        <f t="shared" si="6"/>
        <v>6562.4</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3276" t="s">
        <v>3165</v>
      </c>
      <c r="B15" s="1272">
        <v>15200</v>
      </c>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t="str">
        <f t="shared" si="6"/>
        <v>3-8</v>
      </c>
      <c r="AW15" s="11">
        <f t="shared" si="6"/>
        <v>15200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v>9</v>
      </c>
      <c r="B16" s="3277">
        <f>B3</f>
        <v>4145.53</v>
      </c>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9</v>
      </c>
      <c r="AW16" s="11">
        <f t="shared" si="6"/>
        <v>4145.53</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t="s">
        <v>3167</v>
      </c>
      <c r="B17" s="3277">
        <f>B16+B15+B14+B13</f>
        <v>32027.93</v>
      </c>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t="str">
        <f t="shared" si="6"/>
        <v xml:space="preserve"> </v>
      </c>
      <c r="AW17" s="11">
        <f t="shared" si="6"/>
        <v>32027.93</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5"/>
      <c r="D249" s="2213"/>
      <c r="E249" s="34">
        <f t="shared" si="123"/>
        <v>0</v>
      </c>
      <c r="F249" s="35"/>
      <c r="G249" s="36">
        <f t="shared" si="124"/>
        <v>0</v>
      </c>
      <c r="H249" s="37">
        <f t="shared" si="125"/>
        <v>0</v>
      </c>
      <c r="I249" s="2926"/>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28.5">
      <c r="A3" s="3021"/>
      <c r="B3" s="3021"/>
      <c r="C3" s="3021"/>
      <c r="D3" s="3022"/>
      <c r="E3" s="30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2" t="s">
        <v>1935</v>
      </c>
      <c r="B2" s="3032"/>
      <c r="C2" s="3032"/>
      <c r="D2" s="968" t="s">
        <v>1911</v>
      </c>
      <c r="E2" s="2227" t="s">
        <v>1912</v>
      </c>
      <c r="F2" s="1392"/>
      <c r="G2" s="2228"/>
      <c r="H2" s="2229"/>
      <c r="I2" s="2230" t="s">
        <v>1936</v>
      </c>
      <c r="J2" s="1392"/>
      <c r="K2" s="1392"/>
      <c r="L2" s="1392"/>
      <c r="M2" s="1392"/>
      <c r="N2" s="1427"/>
      <c r="O2" s="1392"/>
      <c r="P2" s="1392"/>
    </row>
    <row r="3" spans="1:16" ht="15.75" thickBot="1">
      <c r="A3" s="3033" t="s">
        <v>1909</v>
      </c>
      <c r="B3" s="3033"/>
      <c r="C3" s="3033"/>
      <c r="D3" s="2942">
        <f>'数据-基础表'!AY6</f>
        <v>6541.77</v>
      </c>
      <c r="E3" s="45">
        <f>'数据-基础表'!AZ5</f>
        <v>4145.53</v>
      </c>
      <c r="F3" s="1392"/>
      <c r="G3" s="1399"/>
      <c r="H3" s="1247" t="s">
        <v>1910</v>
      </c>
      <c r="I3" s="54">
        <f>ROUND('数据-基础表'!B3/'数据-基础表'!A3,2)</f>
        <v>0.63</v>
      </c>
      <c r="J3" s="1392"/>
      <c r="K3" s="1392"/>
      <c r="L3" s="1392"/>
      <c r="M3" s="1392"/>
      <c r="N3" s="1427"/>
      <c r="O3" s="1392"/>
      <c r="P3" s="1392"/>
    </row>
    <row r="4" spans="1:16" ht="15">
      <c r="A4" s="3034"/>
      <c r="B4" s="3035"/>
      <c r="C4" s="3036"/>
      <c r="D4" s="2231" t="s">
        <v>1911</v>
      </c>
      <c r="E4" s="2232" t="s">
        <v>1912</v>
      </c>
      <c r="F4" s="1392"/>
      <c r="G4" s="2233" t="s">
        <v>1937</v>
      </c>
      <c r="H4" s="1247" t="s">
        <v>1917</v>
      </c>
      <c r="I4" s="54">
        <f>ROUND(SUMIF('数据-基础表'!I9:AS9,"地上",'数据-基础表'!I5:AS5)/'数据-基础表'!A3,2)</f>
        <v>0.63</v>
      </c>
      <c r="J4" s="1392"/>
      <c r="K4" s="1392"/>
      <c r="L4" s="1392"/>
      <c r="M4" s="1392"/>
      <c r="N4" s="1427"/>
      <c r="O4" s="1392"/>
      <c r="P4" s="1392"/>
    </row>
    <row r="5" spans="1:16">
      <c r="A5" s="46" t="s">
        <v>1913</v>
      </c>
      <c r="B5" s="3037" t="s">
        <v>1914</v>
      </c>
      <c r="C5" s="3037"/>
      <c r="D5" s="47">
        <f>ROUND($D$3*E5/$E$3,2)</f>
        <v>0</v>
      </c>
      <c r="E5" s="48">
        <f>SUMIF('数据-基础表'!$11:$11,"住宅",'数据-基础表'!$5:$5)</f>
        <v>0</v>
      </c>
      <c r="F5" s="1392"/>
      <c r="G5" s="1399"/>
      <c r="H5" s="1247" t="s">
        <v>1910</v>
      </c>
      <c r="I5" s="54">
        <f>ROUND(E31/D31,2)</f>
        <v>0.63</v>
      </c>
      <c r="J5" s="1392"/>
      <c r="K5" s="1392"/>
      <c r="L5" s="1392"/>
      <c r="M5" s="1392"/>
      <c r="N5" s="1392"/>
      <c r="O5" s="1392"/>
      <c r="P5" s="1392"/>
    </row>
    <row r="6" spans="1:16" ht="15" thickBot="1">
      <c r="A6" s="2234"/>
      <c r="B6" s="3037" t="s">
        <v>1915</v>
      </c>
      <c r="C6" s="3037"/>
      <c r="D6" s="47">
        <f>ROUND($D$3*E6/$E$3,2)</f>
        <v>6541.77</v>
      </c>
      <c r="E6" s="48">
        <f>E3-E5</f>
        <v>4145.53</v>
      </c>
      <c r="F6" s="1392"/>
      <c r="G6" s="2235" t="s">
        <v>1916</v>
      </c>
      <c r="H6" s="1399" t="s">
        <v>1917</v>
      </c>
      <c r="I6" s="940">
        <f>ROUND(F31/D31,2)</f>
        <v>0.63</v>
      </c>
      <c r="J6" s="1392"/>
      <c r="K6" s="1392"/>
      <c r="L6" s="1392"/>
      <c r="M6" s="1392"/>
      <c r="N6" s="1392"/>
      <c r="O6" s="1392"/>
      <c r="P6" s="1392"/>
    </row>
    <row r="7" spans="1:16" ht="15">
      <c r="A7" s="3029"/>
      <c r="B7" s="3030"/>
      <c r="C7" s="3031"/>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6541.77</v>
      </c>
      <c r="E8" s="50">
        <f>SUMIF('数据-基础表'!BB10:BK10,"地上",'数据-基础表'!BB5:BK5)</f>
        <v>4145.53</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6541.77</v>
      </c>
      <c r="E16" s="52">
        <f>SUM(E8:E15)</f>
        <v>4145.53</v>
      </c>
      <c r="F16" s="1392"/>
      <c r="G16" s="2237"/>
      <c r="H16" s="2240" t="s">
        <v>1939</v>
      </c>
      <c r="I16" s="2241"/>
      <c r="J16" s="1392"/>
      <c r="K16" s="3026" t="s">
        <v>1939</v>
      </c>
      <c r="L16" s="3027"/>
      <c r="M16" s="3027"/>
      <c r="N16" s="3027"/>
      <c r="O16" s="3027"/>
      <c r="P16" s="3028"/>
    </row>
    <row r="17" spans="1:19" ht="15">
      <c r="A17" s="2242" t="s">
        <v>1940</v>
      </c>
      <c r="B17" s="2243" t="s">
        <v>1941</v>
      </c>
      <c r="C17" s="2244" t="s">
        <v>1942</v>
      </c>
      <c r="D17" s="2245" t="s">
        <v>1930</v>
      </c>
      <c r="E17" s="2246" t="s">
        <v>1931</v>
      </c>
      <c r="F17" s="2247"/>
      <c r="G17" s="2248"/>
      <c r="H17" s="2249" t="s">
        <v>1943</v>
      </c>
      <c r="I17" s="2250" t="s">
        <v>1928</v>
      </c>
      <c r="J17" s="1392"/>
      <c r="K17" s="3023" t="s">
        <v>1944</v>
      </c>
      <c r="L17" s="3024"/>
      <c r="M17" s="3025"/>
      <c r="N17" s="3023" t="s">
        <v>1945</v>
      </c>
      <c r="O17" s="3024"/>
      <c r="P17" s="3025"/>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3107</v>
      </c>
      <c r="D19" s="47">
        <f>ROUND($D$3*E19/$E$3,2)</f>
        <v>6541.77</v>
      </c>
      <c r="E19" s="55">
        <f t="shared" ref="E19:E26" si="1">SUM(F19:G19)</f>
        <v>4145.53</v>
      </c>
      <c r="F19" s="56">
        <f>'数据-基础表'!I5</f>
        <v>4145.53</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6541.77</v>
      </c>
      <c r="S19" s="1248">
        <f t="shared" si="5"/>
        <v>4145.53</v>
      </c>
    </row>
    <row r="20" spans="1:19">
      <c r="A20" s="2263"/>
      <c r="B20" s="49" t="s">
        <v>1957</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6541.77</v>
      </c>
      <c r="E27" s="1394">
        <f>IF(SUM(E19:E26)='数据-基础表'!BA5,SUM(E19:E26),IF(F27="地上面积有误","面积有误","地下面积有误"))</f>
        <v>4145.53</v>
      </c>
      <c r="F27" s="1393">
        <f>IF(SUM(F19:F26)=E8,SUM(F19:F26),"地上面积有误")</f>
        <v>4145.53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6541.77</v>
      </c>
      <c r="S27" s="1247">
        <f>IF(SUM(S19:S26)=$E$3,SUM(S19:S26),SUM(S19:S26)&amp;"误差"&amp;ROUND(SUM(S19:S26)-E3,2))</f>
        <v>4145.53</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6541.77</v>
      </c>
      <c r="E31" s="727">
        <f>E27+E30</f>
        <v>4145.53</v>
      </c>
      <c r="F31" s="728">
        <f>F27+F30</f>
        <v>4145.53</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商业楼</v>
      </c>
      <c r="B6" s="2307" t="str">
        <f>IF(A6=0,"","经营性")</f>
        <v>经营性</v>
      </c>
      <c r="C6" s="2308" t="s">
        <v>1378</v>
      </c>
      <c r="D6" s="1052">
        <f>SUMIF(项目基本情况!D$12:I$12,C6,项目基本情况!D$14:I$14)</f>
        <v>40</v>
      </c>
      <c r="E6" s="1049">
        <f>IF(B6="","",SUMIF(项目基本情况!D$12:I$12,C6,项目基本情况!D$13:I$13))</f>
        <v>55999</v>
      </c>
      <c r="F6" s="71">
        <f>SUMIF(项目基本情况!D$12:I$12,C6,项目基本情况!D$15:I$15)</f>
        <v>35.47</v>
      </c>
      <c r="G6" s="72">
        <f>IF(ISERROR(ROUND(POWER(1+H6,D6-F6)*(POWER(1+H6,F6)-1)/(POWER(1+H6,D6)-1),3)),0,ROUND(POWER(1+H6,D6-F6)*(POWER(1+H6,F6)-1)/(POWER(1+H6,D6)-1),3))</f>
        <v>0.94899999999999995</v>
      </c>
      <c r="H6" s="800">
        <v>0.04</v>
      </c>
      <c r="I6" s="800">
        <v>0.06</v>
      </c>
      <c r="J6" s="73">
        <v>8.5000000000000006E-2</v>
      </c>
      <c r="K6" s="1251">
        <f>SUMIF('数据-汇总表'!C$19:C$33,A6,'数据-汇总表'!E$19:E$33)</f>
        <v>4145.53</v>
      </c>
      <c r="L6" s="801">
        <v>2000</v>
      </c>
      <c r="M6" s="74">
        <f t="shared" ref="M6:M14" si="0">ROUND(K6*L6/10000,0)</f>
        <v>829</v>
      </c>
      <c r="N6" s="2941">
        <f>ROUND(1-(1-0%)*(2017-2014)/60,2)</f>
        <v>0.95</v>
      </c>
      <c r="O6" s="74" t="str">
        <f>IF($N$5="成新度","——",ROUND(M6*N6,0))</f>
        <v>——</v>
      </c>
      <c r="P6" s="75" t="str">
        <f>IF($N$5="成新度","——",M6-O6)</f>
        <v>——</v>
      </c>
      <c r="Q6" s="802">
        <v>0.2</v>
      </c>
      <c r="R6" s="76">
        <f ca="1">SUMIF('数据-汇总表'!C$19:C$33,A6,'数据-汇总表'!R$19:R$27)</f>
        <v>6541.77</v>
      </c>
      <c r="S6" s="53">
        <f>IF('数据-汇总表'!$I$17="按面积比例",SUMIF('数据-汇总表'!C$19:C$33,A6,'数据-汇总表'!K$19:K$33),SUMIF('数据-汇总表'!C$19:C$33,A6,'数据-汇总表'!N$19:N$33))</f>
        <v>0</v>
      </c>
      <c r="T6" s="1443">
        <f>ROUND($L$14*S6/10000,0)</f>
        <v>0</v>
      </c>
      <c r="U6" s="2927">
        <v>2.8</v>
      </c>
      <c r="V6" s="78">
        <v>0.03</v>
      </c>
      <c r="W6" s="78">
        <v>0.1</v>
      </c>
      <c r="X6" s="1261"/>
      <c r="Y6" s="79">
        <f>N6</f>
        <v>0.95</v>
      </c>
      <c r="Z6" s="80"/>
      <c r="AA6" s="73"/>
      <c r="AB6" s="73"/>
      <c r="AC6" s="1261"/>
      <c r="AD6" s="81"/>
      <c r="AE6" s="1262">
        <f ca="1">IF(AN6="",0,SUMIF(INDIRECT("'"&amp;AN6&amp;"'"&amp;"!E:E"),$AE$5,INDIRECT("'"&amp;AN6&amp;"'"&amp;"!F:F")))</f>
        <v>35.47</v>
      </c>
      <c r="AF6" s="1805"/>
      <c r="AG6" s="146">
        <f>IF(AF6="",0,AE6-AF6)</f>
        <v>0</v>
      </c>
      <c r="AH6" s="82"/>
      <c r="AI6" s="84">
        <v>365</v>
      </c>
      <c r="AJ6" s="85"/>
      <c r="AK6" s="86">
        <v>5.0000000000000001E-3</v>
      </c>
      <c r="AL6" s="87">
        <v>1E-3</v>
      </c>
      <c r="AM6" s="88">
        <v>0.01</v>
      </c>
      <c r="AN6" s="2309" t="s">
        <v>3046</v>
      </c>
      <c r="AO6" s="54">
        <f ca="1">SUMIF(INDIRECT("'"&amp;AN6&amp;"'"&amp;"!A:A"),"总价",INDIRECT("'"&amp;AN6&amp;"'"&amp;"!B:B"))</f>
        <v>7133</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0.94899999999999995</v>
      </c>
      <c r="H16" s="98">
        <f>ROUND(SUMPRODUCT(H6:H13,K6:K13)/SUMPRODUCT((H6:H13&gt;0)*(K6:K13)),3)</f>
        <v>0.04</v>
      </c>
      <c r="I16" s="99"/>
      <c r="J16" s="99"/>
      <c r="K16" s="100">
        <f>SUM(K6:K15)</f>
        <v>4145.53</v>
      </c>
      <c r="L16" s="101">
        <f>ROUND(M16*10000/SUM(K6:K14),0)</f>
        <v>2000</v>
      </c>
      <c r="M16" s="101">
        <f>SUM(M6:M14)</f>
        <v>829</v>
      </c>
      <c r="N16" s="102">
        <f>ROUND(SUMPRODUCT(M6:M14,N6:N14)/M16,3)</f>
        <v>0.95</v>
      </c>
      <c r="O16" s="101">
        <f>SUM(O6:O14)</f>
        <v>0</v>
      </c>
      <c r="P16" s="101">
        <f>SUM(P6:P14)</f>
        <v>0</v>
      </c>
      <c r="Q16" s="103">
        <f>ROUND(SUMPRODUCT(Q6:Q13,K6:K13)/SUMPRODUCT((Q6:Q13&gt;0)*(K6:K13)),2)</f>
        <v>0.2</v>
      </c>
      <c r="R16" s="1255">
        <f ca="1">SUM(R6:R13)</f>
        <v>6541.77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1</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4.3499999999999997E-2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38" t="s">
        <v>2080</v>
      </c>
      <c r="B1" s="3039"/>
      <c r="C1" s="3039"/>
      <c r="D1" s="3039"/>
      <c r="E1" s="3039"/>
      <c r="F1" s="3039"/>
      <c r="G1" s="303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928" t="s">
        <v>3047</v>
      </c>
      <c r="D3" s="2370"/>
      <c r="E3" s="431" t="s">
        <v>2083</v>
      </c>
      <c r="F3" s="2371" t="s">
        <v>2085</v>
      </c>
      <c r="G3" s="2372"/>
      <c r="H3" s="2368"/>
      <c r="I3" s="2368"/>
      <c r="J3" s="2368"/>
      <c r="K3" s="2368"/>
      <c r="L3" s="2368"/>
      <c r="M3" s="2368"/>
      <c r="N3" s="2368"/>
      <c r="O3" s="2368"/>
      <c r="P3" s="2368"/>
      <c r="Q3" s="2368"/>
      <c r="R3" s="2368"/>
    </row>
    <row r="4" spans="1:29" ht="54">
      <c r="A4" s="431"/>
      <c r="B4" s="1796" t="s">
        <v>2086</v>
      </c>
      <c r="C4" s="2929" t="s">
        <v>3048</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40.5">
      <c r="A6" s="431"/>
      <c r="B6" s="1796" t="s">
        <v>2090</v>
      </c>
      <c r="C6" s="2930" t="s">
        <v>3049</v>
      </c>
      <c r="D6" s="2370"/>
      <c r="E6" s="2374"/>
      <c r="F6" s="1796" t="s">
        <v>2091</v>
      </c>
      <c r="G6" s="2375"/>
      <c r="H6" s="2368"/>
      <c r="I6" s="2368"/>
      <c r="J6" s="2368"/>
      <c r="K6" s="2368"/>
      <c r="L6" s="2368"/>
      <c r="M6" s="2368"/>
      <c r="N6" s="2368"/>
      <c r="O6" s="2368"/>
      <c r="P6" s="2368"/>
      <c r="Q6" s="2368"/>
      <c r="R6" s="2368"/>
    </row>
    <row r="7" spans="1:29" ht="41.25" thickBot="1">
      <c r="A7" s="431"/>
      <c r="B7" s="1796" t="s">
        <v>2089</v>
      </c>
      <c r="C7" s="2930" t="s">
        <v>3050</v>
      </c>
      <c r="D7" s="2376"/>
      <c r="E7" s="2377"/>
      <c r="F7" s="2378" t="s">
        <v>2092</v>
      </c>
      <c r="G7" s="2379"/>
      <c r="H7" s="2368"/>
      <c r="I7" s="2368"/>
      <c r="J7" s="2368"/>
      <c r="K7" s="2368"/>
      <c r="L7" s="2368"/>
      <c r="M7" s="2368"/>
      <c r="N7" s="2368"/>
      <c r="O7" s="2368"/>
      <c r="P7" s="2368"/>
      <c r="Q7" s="2368"/>
      <c r="R7" s="2368"/>
    </row>
    <row r="8" spans="1:29" ht="27">
      <c r="A8" s="431"/>
      <c r="B8" s="1796" t="s">
        <v>2091</v>
      </c>
      <c r="C8" s="2930" t="s">
        <v>3051</v>
      </c>
      <c r="D8" s="2376"/>
      <c r="E8" s="2376"/>
      <c r="F8" s="1133"/>
      <c r="G8" s="1133"/>
      <c r="H8" s="2368"/>
      <c r="I8" s="2368"/>
      <c r="J8" s="2368"/>
      <c r="K8" s="2368"/>
      <c r="L8" s="2368"/>
      <c r="M8" s="2368"/>
      <c r="N8" s="2368"/>
      <c r="O8" s="2368"/>
      <c r="P8" s="2368"/>
      <c r="Q8" s="2368"/>
      <c r="R8" s="2368"/>
    </row>
    <row r="9" spans="1:29" ht="40.5">
      <c r="A9" s="431"/>
      <c r="B9" s="1796" t="s">
        <v>2093</v>
      </c>
      <c r="C9" s="2931" t="s">
        <v>3052</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2" t="s">
        <v>3053</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57">
      <c r="A15" s="67" t="s">
        <v>2098</v>
      </c>
      <c r="B15" s="1267" t="s">
        <v>2084</v>
      </c>
      <c r="C15" s="2401" t="str">
        <f>C3</f>
        <v>周边有夏威夷·蓝湾、美丽乡村别墅、金谷iSOHO等居住社区，综合评价居住社区成熟度较好</v>
      </c>
      <c r="D15" s="2370"/>
      <c r="E15" s="2402" t="s">
        <v>2099</v>
      </c>
      <c r="F15" s="1267" t="s">
        <v>2100</v>
      </c>
      <c r="G15" s="134">
        <f>G3</f>
        <v>0</v>
      </c>
    </row>
    <row r="16" spans="1:29" ht="57">
      <c r="A16" s="643"/>
      <c r="B16" s="2403" t="s">
        <v>2086</v>
      </c>
      <c r="C16" s="2404" t="str">
        <f>C4</f>
        <v>估价对象位于燕郊，周边商业氛围成熟度一般，多集中于住宅底商，人流量较小，商业繁华度较差</v>
      </c>
      <c r="D16" s="2370"/>
      <c r="E16" s="2405"/>
      <c r="F16" s="2406" t="s">
        <v>2087</v>
      </c>
      <c r="G16" s="135">
        <f>G4</f>
        <v>0</v>
      </c>
    </row>
    <row r="17" spans="1:18" ht="15">
      <c r="A17" s="643"/>
      <c r="B17" s="2403" t="s">
        <v>2088</v>
      </c>
      <c r="C17" s="2404">
        <f>C5</f>
        <v>0</v>
      </c>
      <c r="D17" s="2376"/>
      <c r="E17" s="2405"/>
      <c r="F17" s="2406" t="s">
        <v>2101</v>
      </c>
      <c r="G17" s="1570"/>
    </row>
    <row r="18" spans="1:18" ht="42.75">
      <c r="A18" s="643"/>
      <c r="B18" s="2406" t="s">
        <v>2090</v>
      </c>
      <c r="C18" s="135" t="str">
        <f>C6</f>
        <v>周边有302、快速直达专线102路等公交线路，交通便捷度一般。</v>
      </c>
      <c r="D18" s="2376"/>
      <c r="E18" s="2405"/>
      <c r="F18" s="2406" t="s">
        <v>2092</v>
      </c>
      <c r="G18" s="135">
        <f>G7</f>
        <v>0</v>
      </c>
    </row>
    <row r="19" spans="1:18" ht="15">
      <c r="A19" s="643"/>
      <c r="B19" s="2406" t="s">
        <v>2102</v>
      </c>
      <c r="C19" s="1570"/>
      <c r="D19" s="2370"/>
      <c r="E19" s="2405"/>
      <c r="F19" s="1796" t="s">
        <v>2089</v>
      </c>
      <c r="G19" s="135">
        <f>G5</f>
        <v>0</v>
      </c>
    </row>
    <row r="20" spans="1:18" ht="42.75">
      <c r="A20" s="643"/>
      <c r="B20" s="2406" t="s">
        <v>2103</v>
      </c>
      <c r="C20" s="2404" t="str">
        <f>C9</f>
        <v>周边绿化均为城市绿化，无高等教育机构等，综合评价环境状况一般</v>
      </c>
      <c r="D20" s="2376"/>
      <c r="E20" s="2405"/>
      <c r="F20" s="1796" t="s">
        <v>2104</v>
      </c>
      <c r="G20" s="135">
        <f>G6</f>
        <v>0</v>
      </c>
    </row>
    <row r="21" spans="1:18" ht="42.75">
      <c r="A21" s="643"/>
      <c r="B21" s="1796" t="s">
        <v>2089</v>
      </c>
      <c r="C21" s="135" t="str">
        <f>C7</f>
        <v>估价对象周边无银行、商场、学校、医院，有社区超市等，公共配套设施较差。</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城市次干道——迎宾路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4145.53</v>
      </c>
      <c r="C1" s="1743"/>
      <c r="D1" s="1743"/>
      <c r="E1" s="1743"/>
      <c r="F1" s="1743"/>
      <c r="G1" s="1741"/>
    </row>
    <row r="2" spans="1:10" ht="16.5">
      <c r="A2" s="1744" t="s">
        <v>1354</v>
      </c>
      <c r="B2" s="1744">
        <f>SUM(C14:C23)</f>
        <v>6541.77</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10149</v>
      </c>
      <c r="C5" s="1744">
        <f ca="1">ROUND(B5*10000/$B$1,0)</f>
        <v>24482</v>
      </c>
      <c r="D5" s="1744">
        <f ca="1">ROUND(B5*10000/$B$2,0)</f>
        <v>15514</v>
      </c>
      <c r="E5" s="1743"/>
      <c r="F5" s="1741"/>
      <c r="G5" s="1741"/>
    </row>
    <row r="6" spans="1:10" ht="16.5">
      <c r="A6" s="1744" t="s">
        <v>1357</v>
      </c>
      <c r="B6" s="1744">
        <f ca="1">SUM(G14:G23)</f>
        <v>10149</v>
      </c>
      <c r="C6" s="1744">
        <f ca="1">ROUND(B6*10000/$B$1,0)</f>
        <v>24482</v>
      </c>
      <c r="D6" s="1744">
        <f ca="1">ROUND(B6*10000/$B$2,0)</f>
        <v>15514</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4145.53</v>
      </c>
      <c r="C14" s="1742">
        <f>结果表!C118</f>
        <v>6541.77</v>
      </c>
      <c r="D14" s="1742">
        <f ca="1">结果表!H118</f>
        <v>10149</v>
      </c>
      <c r="E14" s="1742">
        <f ca="1">ROUND(D14*10000/B14,0)</f>
        <v>24482</v>
      </c>
      <c r="F14" s="1742">
        <f ca="1">ROUND(D14*10000/C14,0)</f>
        <v>15514</v>
      </c>
      <c r="G14" s="1742">
        <f ca="1">结果表!D122</f>
        <v>10149</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3085</v>
      </c>
    </row>
    <row r="2" spans="1:12" ht="21.75" customHeight="1" thickBot="1">
      <c r="A2" s="3073" t="str">
        <f>项目基本情况!S2</f>
        <v>河北省廊坊市三河市燕郊开发区迎宾南路东侧、南城大街南侧天洋城4代商业·荷塘月色时尚街区S9号楼房地产</v>
      </c>
      <c r="B2" s="3074"/>
      <c r="C2" s="3074"/>
      <c r="D2" s="3074"/>
      <c r="E2" s="3074"/>
      <c r="F2" s="3074"/>
      <c r="G2" s="3074"/>
      <c r="H2" s="3074"/>
      <c r="I2" s="3075"/>
    </row>
    <row r="3" spans="1:12" ht="12.75">
      <c r="A3" s="3077" t="s">
        <v>2110</v>
      </c>
      <c r="B3" s="3078"/>
      <c r="C3" s="3078"/>
      <c r="D3" s="3078"/>
      <c r="E3" s="3078"/>
      <c r="F3" s="3078"/>
      <c r="G3" s="3078"/>
      <c r="H3" s="3078"/>
      <c r="I3" s="3078"/>
    </row>
    <row r="4" spans="1:12" ht="14.25">
      <c r="A4" s="2424" t="s">
        <v>2111</v>
      </c>
      <c r="B4" s="2425" t="s">
        <v>2112</v>
      </c>
      <c r="C4" s="2426" t="s">
        <v>3151</v>
      </c>
      <c r="D4" s="2426" t="s">
        <v>3046</v>
      </c>
      <c r="E4" s="3070" t="s">
        <v>2113</v>
      </c>
      <c r="F4" s="3071"/>
      <c r="G4" s="3071"/>
      <c r="H4" s="3071"/>
      <c r="I4" s="3079"/>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3" t="s">
        <v>2114</v>
      </c>
      <c r="B5" s="2994">
        <v>25</v>
      </c>
      <c r="C5" s="3056"/>
      <c r="D5" s="3076"/>
      <c r="E5" s="139" t="s">
        <v>2115</v>
      </c>
      <c r="F5" s="2428"/>
      <c r="G5" s="2428"/>
      <c r="H5" s="2428"/>
      <c r="I5" s="1832"/>
    </row>
    <row r="6" spans="1:12" ht="12.75">
      <c r="A6" s="3053"/>
      <c r="B6" s="2994"/>
      <c r="C6" s="3057"/>
      <c r="D6" s="3076"/>
      <c r="E6" s="139" t="s">
        <v>2116</v>
      </c>
      <c r="F6" s="2428"/>
      <c r="G6" s="2428"/>
      <c r="H6" s="2428"/>
      <c r="I6" s="1832"/>
    </row>
    <row r="7" spans="1:12" ht="12.75">
      <c r="A7" s="3053"/>
      <c r="B7" s="2994"/>
      <c r="C7" s="3058"/>
      <c r="D7" s="3076"/>
      <c r="E7" s="139" t="s">
        <v>2117</v>
      </c>
      <c r="F7" s="2428"/>
      <c r="G7" s="2428"/>
      <c r="H7" s="2428"/>
      <c r="I7" s="1832"/>
    </row>
    <row r="8" spans="1:12" ht="12.75">
      <c r="A8" s="3053" t="s">
        <v>2118</v>
      </c>
      <c r="B8" s="2994">
        <v>15</v>
      </c>
      <c r="C8" s="3056"/>
      <c r="D8" s="3076"/>
      <c r="E8" s="139" t="s">
        <v>2119</v>
      </c>
      <c r="F8" s="2428"/>
      <c r="G8" s="2428"/>
      <c r="H8" s="2428"/>
      <c r="I8" s="1832"/>
    </row>
    <row r="9" spans="1:12" ht="12.75">
      <c r="A9" s="3053"/>
      <c r="B9" s="2994"/>
      <c r="C9" s="3058"/>
      <c r="D9" s="3076"/>
      <c r="E9" s="139" t="s">
        <v>2120</v>
      </c>
      <c r="F9" s="2428"/>
      <c r="G9" s="2428"/>
      <c r="H9" s="2428"/>
      <c r="I9" s="1832"/>
    </row>
    <row r="10" spans="1:12" ht="12.75">
      <c r="A10" s="3053" t="s">
        <v>2121</v>
      </c>
      <c r="B10" s="2994">
        <v>15</v>
      </c>
      <c r="C10" s="3056"/>
      <c r="D10" s="3076"/>
      <c r="E10" s="139" t="s">
        <v>2122</v>
      </c>
      <c r="F10" s="2428"/>
      <c r="G10" s="2428"/>
      <c r="H10" s="2428"/>
      <c r="I10" s="1832"/>
    </row>
    <row r="11" spans="1:12" ht="12.75">
      <c r="A11" s="3053"/>
      <c r="B11" s="2994"/>
      <c r="C11" s="3058"/>
      <c r="D11" s="3076"/>
      <c r="E11" s="139" t="s">
        <v>2123</v>
      </c>
      <c r="F11" s="2428"/>
      <c r="G11" s="2428"/>
      <c r="H11" s="2428"/>
      <c r="I11" s="1832"/>
    </row>
    <row r="12" spans="1:12" ht="12.75">
      <c r="A12" s="3053" t="s">
        <v>2124</v>
      </c>
      <c r="B12" s="2994">
        <v>15</v>
      </c>
      <c r="C12" s="3056"/>
      <c r="D12" s="3076"/>
      <c r="E12" s="139" t="s">
        <v>2125</v>
      </c>
      <c r="F12" s="2428"/>
      <c r="G12" s="2428"/>
      <c r="H12" s="2428"/>
      <c r="I12" s="1832"/>
    </row>
    <row r="13" spans="1:12" ht="12.75">
      <c r="A13" s="3053"/>
      <c r="B13" s="2994"/>
      <c r="C13" s="3058"/>
      <c r="D13" s="3076"/>
      <c r="E13" s="139" t="s">
        <v>2126</v>
      </c>
      <c r="F13" s="2428"/>
      <c r="G13" s="2428"/>
      <c r="H13" s="2428"/>
      <c r="I13" s="1832"/>
    </row>
    <row r="14" spans="1:12" ht="12.75">
      <c r="A14" s="3053" t="s">
        <v>2127</v>
      </c>
      <c r="B14" s="2994">
        <v>30</v>
      </c>
      <c r="C14" s="3056">
        <v>7</v>
      </c>
      <c r="D14" s="3076">
        <v>3</v>
      </c>
      <c r="E14" s="139" t="s">
        <v>2128</v>
      </c>
      <c r="F14" s="2428"/>
      <c r="G14" s="2428"/>
      <c r="H14" s="2428"/>
      <c r="I14" s="1832"/>
    </row>
    <row r="15" spans="1:12" ht="12.75">
      <c r="A15" s="3053"/>
      <c r="B15" s="2994"/>
      <c r="C15" s="3057"/>
      <c r="D15" s="3076"/>
      <c r="E15" s="139" t="s">
        <v>2129</v>
      </c>
      <c r="F15" s="2428"/>
      <c r="G15" s="2428"/>
      <c r="H15" s="2428"/>
      <c r="I15" s="1832"/>
    </row>
    <row r="16" spans="1:12" ht="12.75">
      <c r="A16" s="3053"/>
      <c r="B16" s="2994"/>
      <c r="C16" s="3058"/>
      <c r="D16" s="3076"/>
      <c r="E16" s="139" t="s">
        <v>2130</v>
      </c>
      <c r="F16" s="2428"/>
      <c r="G16" s="2428"/>
      <c r="H16" s="2428"/>
      <c r="I16" s="1832"/>
    </row>
    <row r="17" spans="1:35" ht="15">
      <c r="A17" s="2429" t="s">
        <v>2131</v>
      </c>
      <c r="B17" s="63"/>
      <c r="C17" s="140">
        <f>SUM(C5:C16)</f>
        <v>7</v>
      </c>
      <c r="D17" s="140">
        <f>SUM(D5:D16)</f>
        <v>3</v>
      </c>
      <c r="E17" s="137"/>
      <c r="F17" s="137"/>
      <c r="G17" s="137"/>
      <c r="H17" s="137"/>
      <c r="I17" s="137"/>
      <c r="K17" s="2427"/>
      <c r="L17" s="2430" t="s">
        <v>2132</v>
      </c>
      <c r="M17" s="2430" t="s">
        <v>2133</v>
      </c>
    </row>
    <row r="18" spans="1:35" ht="15.75" thickBot="1">
      <c r="A18" s="2431" t="s">
        <v>2134</v>
      </c>
      <c r="B18" s="2432"/>
      <c r="C18" s="141">
        <f>ROUND(C17/SUM(C17:D17),2)</f>
        <v>0.7</v>
      </c>
      <c r="D18" s="141">
        <f>1-C18</f>
        <v>0.30000000000000004</v>
      </c>
      <c r="E18" s="137"/>
      <c r="F18" s="137"/>
      <c r="G18" s="137"/>
      <c r="H18" s="137"/>
      <c r="I18" s="137"/>
      <c r="K18" s="2427" t="s">
        <v>2135</v>
      </c>
      <c r="L18" s="2427">
        <f>IF(C1="",'数据-汇总表'!E3,SUMIF(项目类型,C1,'数据-汇总表'!E17:E26)+SUMIF(项目类型,C1,'数据-汇总表'!I17:I26))</f>
        <v>4145.53</v>
      </c>
      <c r="M18" s="2427">
        <f>IF(C1="",'数据-汇总表'!E3,SUMIF(项目类型,C1,'数据-汇总表'!E17:E26))</f>
        <v>4145.53</v>
      </c>
    </row>
    <row r="19" spans="1:35" ht="15">
      <c r="A19" s="2433" t="s">
        <v>2136</v>
      </c>
      <c r="B19" s="2434" t="s">
        <v>2137</v>
      </c>
      <c r="C19" s="142">
        <f ca="1">SUMIF(INDIRECT("'"&amp;C4&amp;"'"&amp;"!A:A"),结果表!B19,INDIRECT("'"&amp;C4&amp;"'"&amp;"!B:B"))</f>
        <v>11441</v>
      </c>
      <c r="D19" s="143">
        <f ca="1">SUMIF(INDIRECT("'"&amp;D4&amp;"'"&amp;"!A:A"),结果表!B19,INDIRECT("'"&amp;D4&amp;"'"&amp;"!B:B"))</f>
        <v>7133</v>
      </c>
      <c r="E19" s="2433" t="s">
        <v>2138</v>
      </c>
      <c r="F19" s="2434" t="s">
        <v>2137</v>
      </c>
      <c r="G19" s="144">
        <f ca="1">ROUND(C19*$C$18+D19*$D$18,0)</f>
        <v>10149</v>
      </c>
      <c r="H19" s="2435" t="s">
        <v>2139</v>
      </c>
      <c r="I19" s="137"/>
      <c r="K19" s="2427" t="s">
        <v>2140</v>
      </c>
      <c r="L19" s="2427">
        <f>IF(C1="",'数据-汇总表'!D3,SUMIF(项目类型,C1,'数据-汇总表'!D17:D26)+SUMIF(项目类型,C1,'数据-汇总表'!H17:H27))</f>
        <v>6541.77</v>
      </c>
      <c r="M19" s="2427">
        <f>IF(C1="",'数据-汇总表'!D3,SUMIF(项目类型,C1,'数据-汇总表'!D17:D26))</f>
        <v>6541.77</v>
      </c>
    </row>
    <row r="20" spans="1:35" ht="15">
      <c r="A20" s="2436"/>
      <c r="B20" s="1247" t="s">
        <v>2141</v>
      </c>
      <c r="C20" s="145">
        <f ca="1">SUMIF(INDIRECT("'"&amp;C4&amp;"'"&amp;"!A:A"),结果表!B20,INDIRECT("'"&amp;C4&amp;"'"&amp;"!B:B"))</f>
        <v>27598</v>
      </c>
      <c r="D20" s="146">
        <f ca="1">SUMIF(INDIRECT("'"&amp;D4&amp;"'"&amp;"!A:A"),结果表!B20,INDIRECT("'"&amp;D4&amp;"'"&amp;"!B:B"))</f>
        <v>17206</v>
      </c>
      <c r="E20" s="2436"/>
      <c r="F20" s="1247" t="s">
        <v>2141</v>
      </c>
      <c r="G20" s="147">
        <f ca="1">ROUND(C20*$C$18+D20*$D$18,0)</f>
        <v>24480</v>
      </c>
      <c r="H20" s="981" t="s">
        <v>2142</v>
      </c>
      <c r="I20" s="137"/>
    </row>
    <row r="21" spans="1:35" ht="15" customHeight="1" thickBot="1">
      <c r="A21" s="1001"/>
      <c r="B21" s="2437" t="s">
        <v>2143</v>
      </c>
      <c r="C21" s="787">
        <f ca="1">ROUND(C19*10000/L19,0)</f>
        <v>17489</v>
      </c>
      <c r="D21" s="788">
        <f ca="1">ROUND(D19*10000/L19,0)</f>
        <v>10904</v>
      </c>
      <c r="E21" s="1001"/>
      <c r="F21" s="2437" t="s">
        <v>2143</v>
      </c>
      <c r="G21" s="148">
        <f ca="1">ROUND(G19*10000/L19,0)</f>
        <v>15514</v>
      </c>
      <c r="H21" s="2438" t="s">
        <v>2142</v>
      </c>
      <c r="I21" s="137"/>
    </row>
    <row r="22" spans="1:35" ht="15" thickBot="1">
      <c r="A22" s="2281" t="s">
        <v>2144</v>
      </c>
      <c r="B22" s="2439"/>
      <c r="C22" s="2440"/>
      <c r="D22" s="789">
        <f ca="1">IF(C19&lt;D19,D19/C19-1,C19/D19-1)</f>
        <v>0.6039534557689612</v>
      </c>
      <c r="E22" s="137"/>
      <c r="F22" s="137"/>
      <c r="G22" s="137"/>
      <c r="H22" s="137"/>
      <c r="I22" s="137"/>
    </row>
    <row r="23" spans="1:35" ht="13.5" thickBot="1">
      <c r="A23" s="2417"/>
      <c r="B23" s="2417"/>
      <c r="C23" s="2417"/>
      <c r="D23" s="2417"/>
      <c r="E23" s="137"/>
      <c r="F23" s="137"/>
      <c r="G23" s="137"/>
      <c r="H23" s="137"/>
      <c r="I23" s="137"/>
    </row>
    <row r="24" spans="1:35" ht="14.25" hidden="1">
      <c r="A24" s="3047" t="s">
        <v>2145</v>
      </c>
      <c r="B24" s="2434" t="s">
        <v>2137</v>
      </c>
      <c r="C24" s="144">
        <f>IF(B30=0,0,D30)</f>
        <v>0</v>
      </c>
      <c r="D24" s="2441"/>
      <c r="E24" s="137"/>
      <c r="F24" s="137"/>
      <c r="G24" s="137"/>
      <c r="H24" s="137"/>
      <c r="I24" s="137"/>
    </row>
    <row r="25" spans="1:35" ht="14.25" hidden="1">
      <c r="A25" s="3048"/>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10149</v>
      </c>
      <c r="D32" s="2448" t="s">
        <v>2152</v>
      </c>
      <c r="E32" s="137"/>
      <c r="F32" s="137"/>
      <c r="G32" s="137"/>
      <c r="H32" s="137"/>
      <c r="I32" s="137"/>
    </row>
    <row r="33" spans="1:15" ht="15">
      <c r="A33" s="958" t="s">
        <v>2153</v>
      </c>
      <c r="B33" s="2449"/>
      <c r="C33" s="2450" t="s">
        <v>3086</v>
      </c>
      <c r="D33" s="2451" t="s">
        <v>3046</v>
      </c>
      <c r="E33" s="2452" t="s">
        <v>2154</v>
      </c>
      <c r="F33" s="2453" t="str">
        <f>IF(D32="楼面单价","取值（单价）","取值（总价）")</f>
        <v>取值（总价）</v>
      </c>
      <c r="G33" s="137"/>
      <c r="H33" s="137"/>
      <c r="I33" s="137"/>
    </row>
    <row r="34" spans="1:15" ht="15">
      <c r="A34" s="2454"/>
      <c r="B34" s="2455" t="s">
        <v>2155</v>
      </c>
      <c r="C34" s="157">
        <f ca="1">IF(C33="自定义",F34,C32-C35)</f>
        <v>8414</v>
      </c>
      <c r="D34" s="1056">
        <f ca="1">IF(C33="自定义",ROUND(C34/C32,3),IF(C33="收益比率",SUMIF(INDIRECT("'"&amp;D33&amp;"'"&amp;"!b:b"),"土地收益比率",INDIRECT("'"&amp;D33&amp;"'"&amp;"!c:c")),SUMIF(INDIRECT("'"&amp;D33&amp;"'"&amp;"!b:b"),"土地成本比率",INDIRECT("'"&amp;D33&amp;"'"&amp;"!c:c"))))</f>
        <v>0.82899999999999996</v>
      </c>
      <c r="E34" s="2456" t="s">
        <v>2156</v>
      </c>
      <c r="F34" s="1737"/>
      <c r="G34" s="137"/>
      <c r="H34" s="137"/>
      <c r="I34" s="137"/>
    </row>
    <row r="35" spans="1:15" ht="15.75" thickBot="1">
      <c r="A35" s="2457"/>
      <c r="B35" s="2458" t="s">
        <v>2157</v>
      </c>
      <c r="C35" s="1441">
        <f ca="1">IF(C33="自定义",F35,ROUND(C32*D35,0))</f>
        <v>1735</v>
      </c>
      <c r="D35" s="1442">
        <f ca="1">IF(C33="自定义",ROUND(C35/C32,3),IF(C33="收益比率",SUMIF(INDIRECT("'"&amp;D33&amp;"'"&amp;"!b:b"),"建筑物收益比率",INDIRECT("'"&amp;D33&amp;"'"&amp;"!c:c")),SUMIF(INDIRECT("'"&amp;D33&amp;"'"&amp;"!b:b"),"建筑物成本比率",INDIRECT("'"&amp;D33&amp;"'"&amp;"!c:c"))))</f>
        <v>0.17100000000000001</v>
      </c>
      <c r="E35" s="2459" t="s">
        <v>2158</v>
      </c>
      <c r="F35" s="163"/>
      <c r="G35" s="137"/>
      <c r="H35" s="137"/>
      <c r="I35" s="137"/>
    </row>
    <row r="36" spans="1:15" ht="15.75" hidden="1" thickBot="1">
      <c r="A36" s="3065" t="s">
        <v>2159</v>
      </c>
      <c r="B36" s="2460" t="s">
        <v>2160</v>
      </c>
      <c r="C36" s="154"/>
      <c r="D36" s="2461"/>
      <c r="E36" s="2462"/>
      <c r="F36" s="2463"/>
      <c r="G36" s="137"/>
      <c r="H36" s="137"/>
      <c r="I36" s="137"/>
    </row>
    <row r="37" spans="1:15" ht="15.75" hidden="1" thickBot="1">
      <c r="A37" s="3066"/>
      <c r="B37" s="2267" t="s">
        <v>2161</v>
      </c>
      <c r="C37" s="156"/>
      <c r="D37" s="1392"/>
      <c r="E37" s="1392"/>
      <c r="F37" s="2463"/>
      <c r="G37" s="137"/>
      <c r="H37" s="137"/>
      <c r="I37" s="137"/>
    </row>
    <row r="38" spans="1:15" ht="15.75" hidden="1" thickBot="1">
      <c r="A38" s="3067"/>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044" t="s">
        <v>2173</v>
      </c>
      <c r="B45" s="3045"/>
      <c r="C45" s="3046"/>
      <c r="D45" s="164">
        <f ca="1">ROUND(H101*F45,0)</f>
        <v>10149</v>
      </c>
      <c r="E45" s="165" t="s">
        <v>2174</v>
      </c>
      <c r="F45" s="166">
        <v>1</v>
      </c>
      <c r="G45" s="167" t="s">
        <v>2175</v>
      </c>
      <c r="H45" s="137"/>
      <c r="I45" s="137"/>
      <c r="J45" s="3104" t="s">
        <v>2176</v>
      </c>
      <c r="K45" s="3104"/>
      <c r="L45" s="3104"/>
      <c r="M45" s="3104"/>
      <c r="N45" s="3104"/>
      <c r="O45" s="3104"/>
    </row>
    <row r="46" spans="1:15" ht="14.25" hidden="1" customHeight="1">
      <c r="A46" s="3041" t="s">
        <v>2177</v>
      </c>
      <c r="B46" s="3042"/>
      <c r="C46" s="3042"/>
      <c r="D46" s="3042"/>
      <c r="E46" s="3042"/>
      <c r="F46" s="3042"/>
      <c r="G46" s="3043"/>
      <c r="H46" s="2479"/>
      <c r="I46" s="168"/>
      <c r="J46" s="1810">
        <v>1</v>
      </c>
      <c r="K46" s="3104" t="s">
        <v>2178</v>
      </c>
      <c r="L46" s="3104"/>
      <c r="M46" s="3124"/>
      <c r="N46" s="3124"/>
      <c r="O46" s="3124"/>
    </row>
    <row r="47" spans="1:15" ht="12" hidden="1" customHeight="1">
      <c r="A47" s="169" t="s">
        <v>2179</v>
      </c>
      <c r="B47" s="170"/>
      <c r="C47" s="171"/>
      <c r="D47" s="172" t="s">
        <v>2180</v>
      </c>
      <c r="E47" s="23" t="s">
        <v>2181</v>
      </c>
      <c r="F47" s="173" t="s">
        <v>2182</v>
      </c>
      <c r="G47" s="174" t="s">
        <v>2183</v>
      </c>
      <c r="H47" s="2479"/>
      <c r="I47" s="168"/>
      <c r="J47" s="1810">
        <v>2</v>
      </c>
      <c r="K47" s="3104" t="s">
        <v>2184</v>
      </c>
      <c r="L47" s="3104"/>
      <c r="M47" s="3125">
        <f>'数据-取费表'!B2</f>
        <v>43052</v>
      </c>
      <c r="N47" s="3125"/>
      <c r="O47" s="3125"/>
    </row>
    <row r="48" spans="1:15" ht="25.5" hidden="1">
      <c r="A48" s="3072" t="s">
        <v>2185</v>
      </c>
      <c r="B48" s="3055"/>
      <c r="C48" s="3055"/>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104" t="s">
        <v>2188</v>
      </c>
      <c r="L48" s="3104"/>
      <c r="M48" s="3126">
        <f ca="1">H101</f>
        <v>10149</v>
      </c>
      <c r="N48" s="3126"/>
      <c r="O48" s="3126"/>
    </row>
    <row r="49" spans="1:35" ht="25.5" hidden="1" customHeight="1">
      <c r="A49" s="176" t="s">
        <v>2189</v>
      </c>
      <c r="B49" s="3040" t="s">
        <v>2190</v>
      </c>
      <c r="C49" s="3040"/>
      <c r="D49" s="177">
        <v>0</v>
      </c>
      <c r="E49" s="22" t="s">
        <v>2191</v>
      </c>
      <c r="F49" s="27" t="s">
        <v>34</v>
      </c>
      <c r="G49" s="3110"/>
      <c r="H49" s="137"/>
      <c r="I49" s="2482"/>
      <c r="J49" s="1810">
        <v>4</v>
      </c>
      <c r="K49" s="3104" t="str">
        <f>IF(项目基本情况!E8="房地产抵押价值","房地产抵押价值","抵押担保权已注销时的房地产抵押价值")</f>
        <v>房地产抵押价值</v>
      </c>
      <c r="L49" s="3104"/>
      <c r="M49" s="3126">
        <f ca="1">IF(项目基本情况!E8="房地产抵押价值",H107,H109)</f>
        <v>10149</v>
      </c>
      <c r="N49" s="3126"/>
      <c r="O49" s="3126"/>
    </row>
    <row r="50" spans="1:35" ht="25.5" hidden="1" customHeight="1">
      <c r="A50" s="178"/>
      <c r="B50" s="3040" t="s">
        <v>2192</v>
      </c>
      <c r="C50" s="3040"/>
      <c r="D50" s="179"/>
      <c r="E50" s="30"/>
      <c r="F50" s="180"/>
      <c r="G50" s="3111"/>
      <c r="H50" s="137"/>
      <c r="I50" s="2482"/>
      <c r="J50" s="3104" t="s">
        <v>2193</v>
      </c>
      <c r="K50" s="3104"/>
      <c r="L50" s="3104"/>
      <c r="M50" s="3104"/>
      <c r="N50" s="3104"/>
      <c r="O50" s="3104"/>
    </row>
    <row r="51" spans="1:35" ht="12" hidden="1" customHeight="1">
      <c r="A51" s="181"/>
      <c r="B51" s="3040" t="s">
        <v>2194</v>
      </c>
      <c r="C51" s="3040"/>
      <c r="D51" s="182"/>
      <c r="E51" s="29"/>
      <c r="F51" s="180"/>
      <c r="G51" s="3112"/>
      <c r="H51" s="137"/>
      <c r="I51" s="2482"/>
      <c r="J51" s="2483" t="s">
        <v>2195</v>
      </c>
      <c r="K51" s="3104" t="s">
        <v>2196</v>
      </c>
      <c r="L51" s="3104"/>
      <c r="M51" s="2483" t="s">
        <v>2197</v>
      </c>
      <c r="N51" s="2483" t="s">
        <v>2198</v>
      </c>
      <c r="O51" s="2483" t="s">
        <v>2199</v>
      </c>
    </row>
    <row r="52" spans="1:35" ht="24" hidden="1" customHeight="1">
      <c r="A52" s="183" t="s">
        <v>2200</v>
      </c>
      <c r="B52" s="3040" t="s">
        <v>2201</v>
      </c>
      <c r="C52" s="3040"/>
      <c r="D52" s="182">
        <f ca="1">ROUND(D45*'数据-取费表'!B41/(1+'数据-取费表'!C42),0)</f>
        <v>541</v>
      </c>
      <c r="E52" s="11" t="s">
        <v>2202</v>
      </c>
      <c r="F52" s="184">
        <f>'数据-取费表'!B41</f>
        <v>5.6000000000000001E-2</v>
      </c>
      <c r="G52" s="2484"/>
      <c r="H52" s="137"/>
      <c r="I52" s="2482"/>
      <c r="J52" s="1810">
        <v>1</v>
      </c>
      <c r="K52" s="3105" t="s">
        <v>2203</v>
      </c>
      <c r="L52" s="3105"/>
      <c r="M52" s="1752">
        <f>D48</f>
        <v>0</v>
      </c>
      <c r="N52" s="1810" t="str">
        <f>E48</f>
        <v>销售额×税（费）率</v>
      </c>
      <c r="O52" s="1753" t="str">
        <f>F48</f>
        <v>免征</v>
      </c>
    </row>
    <row r="53" spans="1:35" ht="12" hidden="1" customHeight="1">
      <c r="A53" s="183" t="s">
        <v>2204</v>
      </c>
      <c r="B53" s="3063" t="s">
        <v>2205</v>
      </c>
      <c r="C53" s="3064"/>
      <c r="D53" s="182">
        <f ca="1">ROUND(D45*'数据-取费表'!B41/(1+'数据-取费表'!C42),0)</f>
        <v>541</v>
      </c>
      <c r="E53" s="11" t="s">
        <v>2202</v>
      </c>
      <c r="F53" s="184">
        <f>'数据-取费表'!B41</f>
        <v>5.6000000000000001E-2</v>
      </c>
      <c r="G53" s="2484"/>
      <c r="H53" s="137"/>
      <c r="I53" s="2482"/>
      <c r="J53" s="1810">
        <v>2</v>
      </c>
      <c r="K53" s="3105" t="s">
        <v>2206</v>
      </c>
      <c r="L53" s="3105"/>
      <c r="M53" s="1752">
        <f t="shared" ref="M53:O54" ca="1" si="0">D55</f>
        <v>5</v>
      </c>
      <c r="N53" s="1810" t="str">
        <f t="shared" si="0"/>
        <v>销售额×税（费）率</v>
      </c>
      <c r="O53" s="1753">
        <f t="shared" si="0"/>
        <v>5.0000000000000001E-4</v>
      </c>
    </row>
    <row r="54" spans="1:35" ht="12" hidden="1" customHeight="1">
      <c r="A54" s="183" t="s">
        <v>2207</v>
      </c>
      <c r="B54" s="3063" t="s">
        <v>2208</v>
      </c>
      <c r="C54" s="3064"/>
      <c r="D54" s="182">
        <f ca="1">C68</f>
        <v>541</v>
      </c>
      <c r="E54" s="29" t="s">
        <v>2209</v>
      </c>
      <c r="F54" s="184">
        <f>'数据-取费表'!B41</f>
        <v>5.6000000000000001E-2</v>
      </c>
      <c r="G54" s="2484"/>
      <c r="H54" s="2485"/>
      <c r="I54" s="2482"/>
      <c r="J54" s="1810">
        <v>3</v>
      </c>
      <c r="K54" s="3105" t="s">
        <v>2210</v>
      </c>
      <c r="L54" s="3105"/>
      <c r="M54" s="1752">
        <f t="shared" ca="1" si="0"/>
        <v>5745</v>
      </c>
      <c r="N54" s="1810" t="str">
        <f t="shared" si="0"/>
        <v>增值额×税（费）率</v>
      </c>
      <c r="O54" s="1754" t="str">
        <f t="shared" si="0"/>
        <v>——</v>
      </c>
    </row>
    <row r="55" spans="1:35" ht="24" hidden="1" customHeight="1">
      <c r="A55" s="3054" t="s">
        <v>2211</v>
      </c>
      <c r="B55" s="3055"/>
      <c r="C55" s="3055"/>
      <c r="D55" s="185">
        <f ca="1">IF(H55="个人住宅",0,ROUND(D45*I55,0))</f>
        <v>5</v>
      </c>
      <c r="E55" s="11" t="s">
        <v>2212</v>
      </c>
      <c r="F55" s="184">
        <f>IF(H55="正常",I55,"免征")</f>
        <v>5.0000000000000001E-4</v>
      </c>
      <c r="G55" s="2484"/>
      <c r="H55" s="2481" t="s">
        <v>2213</v>
      </c>
      <c r="I55" s="186">
        <f>'数据-取费表'!B49</f>
        <v>5.0000000000000001E-4</v>
      </c>
      <c r="J55" s="1810" t="str">
        <f>IF(H59="非个人房产","",4)</f>
        <v/>
      </c>
      <c r="K55" s="3105" t="str">
        <f>IF(H59="非个人房产","——","个人所得税")</f>
        <v>——</v>
      </c>
      <c r="L55" s="3105"/>
      <c r="M55" s="1755" t="str">
        <f>D59</f>
        <v>——</v>
      </c>
      <c r="N55" s="1808" t="str">
        <f>E59</f>
        <v>——</v>
      </c>
      <c r="O55" s="1756" t="str">
        <f>F59</f>
        <v>——</v>
      </c>
    </row>
    <row r="56" spans="1:35" ht="24.75" hidden="1">
      <c r="A56" s="3054" t="s">
        <v>2214</v>
      </c>
      <c r="B56" s="3055"/>
      <c r="C56" s="3055"/>
      <c r="D56" s="185">
        <f ca="1">IF(H56="个人住宅",D57,D58)</f>
        <v>5745</v>
      </c>
      <c r="E56" s="11" t="s">
        <v>2215</v>
      </c>
      <c r="F56" s="184" t="str">
        <f>IF(H56="正常",F58,"免征")</f>
        <v>——</v>
      </c>
      <c r="G56" s="2486" t="s">
        <v>2216</v>
      </c>
      <c r="H56" s="2487" t="s">
        <v>2213</v>
      </c>
      <c r="I56" s="2488"/>
      <c r="J56" s="1810" t="str">
        <f>IF(项目基本情况!K6="上海银行",IF(J55="",4,J55+1),"")</f>
        <v/>
      </c>
      <c r="K56" s="3128" t="str">
        <f>IF(项目基本情况!K6="上海银行","其他处置费用","")</f>
        <v/>
      </c>
      <c r="L56" s="3129"/>
      <c r="M56" s="1752" t="str">
        <f>IF(项目基本情况!K6="上海银行",M69,"")</f>
        <v/>
      </c>
      <c r="N56" s="3131" t="str">
        <f>IF(项目基本情况!K6="上海银行","包含处置中涉及的律师、诉讼、拍卖、评估等费用","")</f>
        <v/>
      </c>
      <c r="O56" s="3132"/>
    </row>
    <row r="57" spans="1:35" ht="12.75" hidden="1">
      <c r="A57" s="183" t="s">
        <v>2189</v>
      </c>
      <c r="B57" s="3070" t="s">
        <v>2217</v>
      </c>
      <c r="C57" s="3079"/>
      <c r="D57" s="187">
        <v>0</v>
      </c>
      <c r="E57" s="22" t="s">
        <v>2191</v>
      </c>
      <c r="F57" s="155"/>
      <c r="G57" s="2484"/>
      <c r="H57" s="2488"/>
      <c r="I57" s="2488"/>
      <c r="J57" s="3105">
        <f>IF(AND(J55="",J56=""),4,IF(项目基本情况!K6="上海银行",结果表!J56+1,结果表!J55+1))</f>
        <v>4</v>
      </c>
      <c r="K57" s="3105" t="s">
        <v>2218</v>
      </c>
      <c r="L57" s="2489" t="s">
        <v>2219</v>
      </c>
      <c r="M57" s="1757"/>
      <c r="N57" s="1758">
        <f ca="1">SUMIF(M52:M56,"&lt;9e307")</f>
        <v>5750</v>
      </c>
      <c r="O57" s="2490"/>
      <c r="P57" s="1751">
        <f ca="1">N57/M49</f>
        <v>0.56655828160409893</v>
      </c>
    </row>
    <row r="58" spans="1:35" ht="24.75" hidden="1">
      <c r="A58" s="183" t="s">
        <v>2200</v>
      </c>
      <c r="B58" s="3070" t="s">
        <v>2220</v>
      </c>
      <c r="C58" s="3071"/>
      <c r="D58" s="185">
        <f ca="1">IF(H58="转让取得",C81,C97)</f>
        <v>5745</v>
      </c>
      <c r="E58" s="11" t="s">
        <v>2215</v>
      </c>
      <c r="F58" s="23" t="s">
        <v>34</v>
      </c>
      <c r="G58" s="2484"/>
      <c r="H58" s="2487" t="s">
        <v>2221</v>
      </c>
      <c r="I58" s="2488"/>
      <c r="J58" s="3105"/>
      <c r="K58" s="3105"/>
      <c r="L58" s="2489" t="s">
        <v>2222</v>
      </c>
      <c r="M58" s="1759"/>
      <c r="N58" s="2491" t="str">
        <f ca="1">NUMBERSTRING(INT(N57*10000),2)&amp;"元整"</f>
        <v>伍仟柒佰伍拾万元整</v>
      </c>
      <c r="O58" s="2492"/>
    </row>
    <row r="59" spans="1:35" ht="24.75" hidden="1" thickBot="1">
      <c r="A59" s="3108" t="s">
        <v>2223</v>
      </c>
      <c r="B59" s="3109"/>
      <c r="C59" s="3109"/>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06">
        <f>J57+1</f>
        <v>5</v>
      </c>
      <c r="K59" s="3105" t="s">
        <v>2225</v>
      </c>
      <c r="L59" s="1810" t="s">
        <v>2219</v>
      </c>
      <c r="M59" s="1760"/>
      <c r="N59" s="1761">
        <f ca="1">M49-N57</f>
        <v>4399</v>
      </c>
      <c r="O59" s="2494"/>
    </row>
    <row r="60" spans="1:35" ht="12" hidden="1" customHeight="1">
      <c r="A60" s="2495"/>
      <c r="B60" s="2417"/>
      <c r="C60" s="2417"/>
      <c r="D60" s="2417"/>
      <c r="E60" s="2166"/>
      <c r="F60" s="2488"/>
      <c r="G60" s="2488"/>
      <c r="H60" s="2496"/>
      <c r="I60" s="137"/>
      <c r="J60" s="3107"/>
      <c r="K60" s="3105"/>
      <c r="L60" s="2489" t="s">
        <v>2222</v>
      </c>
      <c r="M60" s="1759"/>
      <c r="N60" s="2491" t="str">
        <f ca="1">NUMBERSTRING(INT(N59*10000),2)&amp;"元整"</f>
        <v>肆仟叁佰玖拾玖万元整</v>
      </c>
      <c r="O60" s="2492"/>
    </row>
    <row r="61" spans="1:35" ht="13.5" hidden="1" thickBot="1">
      <c r="A61" s="3052" t="s">
        <v>2226</v>
      </c>
      <c r="B61" s="3052"/>
      <c r="C61" s="3052"/>
      <c r="D61" s="3052"/>
      <c r="E61" s="3052"/>
      <c r="F61" s="2488"/>
      <c r="G61" s="2488"/>
      <c r="H61" s="2496"/>
      <c r="I61" s="137"/>
      <c r="J61" s="1810">
        <f>J59+1</f>
        <v>6</v>
      </c>
      <c r="K61" s="3105" t="s">
        <v>2227</v>
      </c>
      <c r="L61" s="3105"/>
      <c r="M61" s="1762"/>
      <c r="N61" s="1763">
        <f ca="1">ROUND(N59*10000/'数据-汇总表'!E3,0)</f>
        <v>10611</v>
      </c>
      <c r="O61" s="2497"/>
    </row>
    <row r="62" spans="1:35" ht="12.75" hidden="1">
      <c r="A62" s="3068" t="s">
        <v>2228</v>
      </c>
      <c r="B62" s="3069"/>
      <c r="C62" s="1802"/>
      <c r="D62" s="1802" t="s">
        <v>2229</v>
      </c>
      <c r="E62" s="192" t="s">
        <v>2230</v>
      </c>
      <c r="F62" s="2488"/>
      <c r="G62" s="2488"/>
      <c r="H62" s="2496"/>
      <c r="I62" s="137"/>
    </row>
    <row r="63" spans="1:35" ht="12.75" hidden="1">
      <c r="A63" s="203" t="s">
        <v>775</v>
      </c>
      <c r="B63" s="193" t="s">
        <v>2231</v>
      </c>
      <c r="C63" s="194">
        <f ca="1">ROUND((C64+C65)/(1+'数据-取费表'!C42),0)</f>
        <v>9666</v>
      </c>
      <c r="D63" s="195"/>
      <c r="E63" s="196"/>
      <c r="F63" s="2488"/>
      <c r="G63" s="2488"/>
      <c r="H63" s="2496"/>
      <c r="I63" s="137"/>
      <c r="J63" s="3130" t="s">
        <v>2232</v>
      </c>
      <c r="K63" s="2498" t="s">
        <v>2233</v>
      </c>
      <c r="L63" s="1750">
        <f ca="1">IF(M49&gt;10000,M49*0.5%,IF(AND(M49&gt;1000,M49&lt;=10000),M49*1%,IF(AND(M49&gt;100,M49&lt;=1000),M49*3%,IF(AND(M49&gt;10,M49&lt;=100),M49*5%,M49*8%))))</f>
        <v>50.745000000000005</v>
      </c>
      <c r="M63" s="23">
        <f ca="1">ROUND(L63,1)</f>
        <v>50.7</v>
      </c>
      <c r="Z63" s="2422"/>
      <c r="AI63" s="2423"/>
    </row>
    <row r="64" spans="1:35" ht="14.25" hidden="1" customHeight="1">
      <c r="A64" s="197" t="s">
        <v>770</v>
      </c>
      <c r="B64" s="198" t="s">
        <v>2234</v>
      </c>
      <c r="C64" s="199">
        <f ca="1">D45</f>
        <v>10149</v>
      </c>
      <c r="D64" s="200" t="s">
        <v>32</v>
      </c>
      <c r="E64" s="201"/>
      <c r="F64" s="2488"/>
      <c r="G64" s="2488"/>
      <c r="H64" s="2496"/>
      <c r="I64" s="137"/>
      <c r="J64" s="3130"/>
      <c r="K64" s="2498" t="s">
        <v>2235</v>
      </c>
      <c r="L64" s="1750">
        <f ca="1">IF(M49&gt;2000,M49*0.5%,IF(AND(M49&gt;1000,M49&lt;=2000),M49*0.6%,IF(AND(M49&gt;500,M49&lt;=1000),M49*0.7%,IF(AND(M49&gt;200,M49&lt;=500),M49*0.8%,IF(AND(M49&gt;100,M49&lt;=200),M49*0.9%,IF(AND(M49&gt;50,M49&lt;=100),M49*1%,IF(AND(M49&gt;20,M49&lt;=50),M49*1.5%,IF(AND(M49&gt;10,M49&lt;=20),M49*2%,IF(AND(M49&gt;1,M49&lt;=10),M49*2.5%)))))))))</f>
        <v>50.745000000000005</v>
      </c>
      <c r="M64" s="23">
        <f t="shared" ref="M64:M65" ca="1" si="1">ROUND(L64,1)</f>
        <v>50.7</v>
      </c>
      <c r="N64" s="137" t="s">
        <v>2236</v>
      </c>
      <c r="Z64" s="2422"/>
      <c r="AI64" s="2423"/>
    </row>
    <row r="65" spans="1:35" ht="14.25" hidden="1" customHeight="1">
      <c r="A65" s="197" t="s">
        <v>771</v>
      </c>
      <c r="B65" s="198" t="s">
        <v>2237</v>
      </c>
      <c r="C65" s="202"/>
      <c r="D65" s="200"/>
      <c r="E65" s="201"/>
      <c r="F65" s="2488"/>
      <c r="G65" s="2488"/>
      <c r="H65" s="2496"/>
      <c r="I65" s="137"/>
      <c r="J65" s="3130"/>
      <c r="K65" s="2498" t="s">
        <v>2238</v>
      </c>
      <c r="L65" s="1750">
        <f ca="1">IF(M49&gt;1000,M49*0.1%,IF(AND(M49&gt;500,M49&lt;=1000),M49*0.5%,IF(AND(M49&gt;50,M49&lt;=500),M49*1%,IF(AND(M49&gt;1,M49&lt;=50),M49*1.5%))))</f>
        <v>10.149000000000001</v>
      </c>
      <c r="M65" s="23">
        <f t="shared" ca="1" si="1"/>
        <v>10.1</v>
      </c>
      <c r="N65" s="137" t="s">
        <v>2236</v>
      </c>
      <c r="Z65" s="2422"/>
      <c r="AI65" s="2423"/>
    </row>
    <row r="66" spans="1:35" ht="14.25" hidden="1" customHeight="1">
      <c r="A66" s="203" t="s">
        <v>772</v>
      </c>
      <c r="B66" s="204" t="s">
        <v>2239</v>
      </c>
      <c r="C66" s="205"/>
      <c r="D66" s="206" t="s">
        <v>32</v>
      </c>
      <c r="E66" s="1774" t="s">
        <v>1372</v>
      </c>
      <c r="F66" s="2488"/>
      <c r="G66" s="2488"/>
      <c r="H66" s="2496"/>
      <c r="I66" s="137"/>
      <c r="J66" s="3130"/>
      <c r="K66" s="2498" t="s">
        <v>2240</v>
      </c>
      <c r="L66" s="1750">
        <f ca="1">M49*0.5%</f>
        <v>50.745000000000005</v>
      </c>
      <c r="M66" s="23">
        <f ca="1">IF(L66&gt;0.5,0.5,ROUND(L66,0))</f>
        <v>0.5</v>
      </c>
      <c r="N66" s="137" t="s">
        <v>2241</v>
      </c>
      <c r="Z66" s="2422"/>
      <c r="AI66" s="2423"/>
    </row>
    <row r="67" spans="1:35" ht="14.25" hidden="1" customHeight="1">
      <c r="A67" s="203" t="s">
        <v>773</v>
      </c>
      <c r="B67" s="204" t="s">
        <v>2242</v>
      </c>
      <c r="C67" s="207">
        <f ca="1">C63-C66</f>
        <v>9666</v>
      </c>
      <c r="D67" s="200" t="s">
        <v>32</v>
      </c>
      <c r="E67" s="201"/>
      <c r="F67" s="2488"/>
      <c r="G67" s="2488"/>
      <c r="H67" s="2496"/>
      <c r="I67" s="137"/>
      <c r="J67" s="3130"/>
      <c r="K67" s="2498" t="s">
        <v>2243</v>
      </c>
      <c r="L67" s="1750">
        <f ca="1">IF(M49&gt;=10000,(8.25+(M49-10000)*0.01%),IF(AND(M49&gt;=8000,M49&lt;10000),(7.85+(M49-8000)*0.02%),IF(AND(M49&gt;=5000,M49&lt;8000),(6.65+(M49-5000)*0.04%),IF(AND(M49&gt;=2000,M49&lt;5000),(4.25+(PM49-2000)*0.08%),IF(AND(M49&gt;=1000,M49&lt;2000),(2.75+(M49-1000)*0.15%),IF(AND(M49&gt;=100,M49&lt;1000),(0.5+(M49-100)*0.25%),IF(AND(M49&gt;0,M49&lt;100),M49*0.5%)))))))</f>
        <v>8.2649000000000008</v>
      </c>
      <c r="M67" s="23">
        <f ca="1">ROUND(L67*0.9,1)</f>
        <v>7.4</v>
      </c>
      <c r="Z67" s="2422"/>
      <c r="AI67" s="2423"/>
    </row>
    <row r="68" spans="1:35" ht="14.25" hidden="1" customHeight="1" thickBot="1">
      <c r="A68" s="208" t="s">
        <v>774</v>
      </c>
      <c r="B68" s="209" t="s">
        <v>2244</v>
      </c>
      <c r="C68" s="210">
        <f ca="1">IF(C67&lt;=0,0,ROUND(C67*D68,0))</f>
        <v>541</v>
      </c>
      <c r="D68" s="211">
        <f>'数据-取费表'!B41</f>
        <v>5.6000000000000001E-2</v>
      </c>
      <c r="E68" s="212"/>
      <c r="F68" s="2488"/>
      <c r="G68" s="2488"/>
      <c r="H68" s="2496"/>
      <c r="I68" s="137"/>
      <c r="J68" s="3130"/>
      <c r="K68" s="2498" t="s">
        <v>2245</v>
      </c>
      <c r="L68" s="1750">
        <f ca="1">IF(M49&gt;10000,M49*0.5%,IF(AND(M49&gt;5000,M49&lt;=10000),M49*1%,IF(AND(M49&gt;1000,M49&lt;=5000),M49*2%,IF(AND(M49&gt;200,M49&lt;=1000),M49*3%,M49*5%))))</f>
        <v>50.745000000000005</v>
      </c>
      <c r="M68" s="23">
        <f ca="1">ROUND(L68,1)</f>
        <v>50.7</v>
      </c>
      <c r="Z68" s="2422"/>
      <c r="AI68" s="2423"/>
    </row>
    <row r="69" spans="1:35" s="2445" customFormat="1" ht="16.5" hidden="1" customHeight="1">
      <c r="A69" s="2499"/>
      <c r="B69" s="2500"/>
      <c r="C69" s="2501"/>
      <c r="D69" s="2502"/>
      <c r="E69" s="2503"/>
      <c r="F69" s="2166"/>
      <c r="G69" s="2166"/>
      <c r="H69" s="2165"/>
      <c r="I69" s="2417"/>
      <c r="J69" s="3130"/>
      <c r="K69" s="2498" t="s">
        <v>2246</v>
      </c>
      <c r="L69" s="2504"/>
      <c r="M69" s="23">
        <f ca="1">ROUND(SUM(M63:M68),0)</f>
        <v>170</v>
      </c>
      <c r="N69" s="1751">
        <f ca="1">M69/M49</f>
        <v>1.675041876046901E-2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089" t="s">
        <v>2247</v>
      </c>
      <c r="B70" s="3090"/>
      <c r="C70" s="3090"/>
      <c r="D70" s="3090"/>
      <c r="E70" s="3090"/>
      <c r="F70" s="3090"/>
      <c r="G70" s="3090"/>
      <c r="H70" s="309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68" t="s">
        <v>2228</v>
      </c>
      <c r="B71" s="3069"/>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9666</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58</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063" t="s">
        <v>2256</v>
      </c>
      <c r="F76" s="3040"/>
      <c r="G76" s="3040"/>
      <c r="H76" s="308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58</v>
      </c>
      <c r="D78" s="226">
        <f>'数据-取费表'!B43</f>
        <v>6.000000000000001E-3</v>
      </c>
      <c r="E78" s="3049" t="s">
        <v>2261</v>
      </c>
      <c r="F78" s="3050"/>
      <c r="G78" s="3050"/>
      <c r="H78" s="305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9608</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165.65517241379311</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5745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89" t="s">
        <v>2265</v>
      </c>
      <c r="B83" s="3090"/>
      <c r="C83" s="3090"/>
      <c r="D83" s="3090"/>
      <c r="E83" s="3090"/>
      <c r="F83" s="3090"/>
      <c r="G83" s="3090"/>
      <c r="H83" s="309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68" t="s">
        <v>2228</v>
      </c>
      <c r="B84" s="3069"/>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9666</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58</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49" t="s">
        <v>2274</v>
      </c>
      <c r="F91" s="3050"/>
      <c r="G91" s="3050"/>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49" t="s">
        <v>2278</v>
      </c>
      <c r="F92" s="3050"/>
      <c r="G92" s="3050"/>
      <c r="H92" s="305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58</v>
      </c>
      <c r="D93" s="226">
        <f>'数据-取费表'!B43</f>
        <v>6.000000000000001E-3</v>
      </c>
      <c r="E93" s="3049" t="s">
        <v>2261</v>
      </c>
      <c r="F93" s="3050"/>
      <c r="G93" s="3050"/>
      <c r="H93" s="305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060" t="s">
        <v>2282</v>
      </c>
      <c r="F94" s="3061"/>
      <c r="G94" s="3061"/>
      <c r="H94" s="306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9608</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165.65517241379311</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5745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034" t="s">
        <v>2284</v>
      </c>
      <c r="B100" s="3035"/>
      <c r="C100" s="3035"/>
      <c r="D100" s="3051"/>
      <c r="E100" s="3035" t="s">
        <v>2285</v>
      </c>
      <c r="F100" s="3035"/>
      <c r="G100" s="3035"/>
      <c r="H100" s="3051"/>
      <c r="I100" s="137"/>
    </row>
    <row r="101" spans="1:35" ht="18.75" customHeight="1">
      <c r="A101" s="3113" t="s">
        <v>2286</v>
      </c>
      <c r="B101" s="3114"/>
      <c r="C101" s="734" t="str">
        <f>C4</f>
        <v>典型户型修正</v>
      </c>
      <c r="D101" s="735" t="str">
        <f>D4</f>
        <v>收益法</v>
      </c>
      <c r="E101" s="3127" t="s">
        <v>2287</v>
      </c>
      <c r="F101" s="3081"/>
      <c r="G101" s="2519" t="s">
        <v>2288</v>
      </c>
      <c r="H101" s="1046">
        <f ca="1">H118</f>
        <v>10149</v>
      </c>
      <c r="I101" s="137"/>
    </row>
    <row r="102" spans="1:35" ht="18.75" customHeight="1">
      <c r="A102" s="3083" t="s">
        <v>2289</v>
      </c>
      <c r="B102" s="2519" t="s">
        <v>2288</v>
      </c>
      <c r="C102" s="734">
        <f ca="1">C19</f>
        <v>11441</v>
      </c>
      <c r="D102" s="735">
        <f ca="1">D19</f>
        <v>7133</v>
      </c>
      <c r="E102" s="3127"/>
      <c r="F102" s="3081"/>
      <c r="G102" s="2519" t="s">
        <v>2290</v>
      </c>
      <c r="H102" s="371">
        <f ca="1">I118</f>
        <v>24482</v>
      </c>
      <c r="I102" s="137"/>
    </row>
    <row r="103" spans="1:35" ht="42.75" customHeight="1">
      <c r="A103" s="3083"/>
      <c r="B103" s="2519" t="s">
        <v>2290</v>
      </c>
      <c r="C103" s="736">
        <f ca="1">C20</f>
        <v>27598</v>
      </c>
      <c r="D103" s="737">
        <f ca="1">D20</f>
        <v>17206</v>
      </c>
      <c r="E103" s="3122" t="s">
        <v>2291</v>
      </c>
      <c r="F103" s="3123"/>
      <c r="G103" s="2520" t="s">
        <v>2292</v>
      </c>
      <c r="H103" s="1046">
        <f>IF(D36="正常操作",H104+H105+H106,H105+H106)</f>
        <v>0</v>
      </c>
      <c r="I103" s="137"/>
    </row>
    <row r="104" spans="1:35" ht="18.75" customHeight="1">
      <c r="A104" s="3083" t="s">
        <v>2293</v>
      </c>
      <c r="B104" s="2521" t="s">
        <v>2288</v>
      </c>
      <c r="C104" s="738">
        <f ca="1">H118</f>
        <v>10149</v>
      </c>
      <c r="D104" s="739"/>
      <c r="E104" s="2267" t="s">
        <v>2294</v>
      </c>
      <c r="F104" s="2258"/>
      <c r="G104" s="2520" t="s">
        <v>2292</v>
      </c>
      <c r="H104" s="1047">
        <f>IF(D36="同一抵押权人同一抵押物续贷",C36&amp;"（未扣减，详见特别提示）",C36)</f>
        <v>0</v>
      </c>
      <c r="I104" s="137"/>
    </row>
    <row r="105" spans="1:35" ht="18.75" customHeight="1" thickBot="1">
      <c r="A105" s="3084"/>
      <c r="B105" s="2522" t="s">
        <v>2290</v>
      </c>
      <c r="C105" s="740">
        <f ca="1">I118</f>
        <v>24482</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customHeight="1">
      <c r="A107" s="137"/>
      <c r="B107" s="137"/>
      <c r="C107" s="137"/>
      <c r="D107" s="137"/>
      <c r="E107" s="3080" t="str">
        <f>IF(项目基本情况!E8="已注销","——","3.房地产抵押价值")</f>
        <v>3.房地产抵押价值</v>
      </c>
      <c r="F107" s="3081"/>
      <c r="G107" s="2519" t="s">
        <v>2288</v>
      </c>
      <c r="H107" s="1046">
        <f ca="1">IF(E107="——","——",H101-H103)</f>
        <v>10149</v>
      </c>
      <c r="I107" s="137"/>
    </row>
    <row r="108" spans="1:35" ht="18.75" customHeight="1" thickBot="1">
      <c r="A108" s="137"/>
      <c r="B108" s="137"/>
      <c r="C108" s="137"/>
      <c r="D108" s="137"/>
      <c r="E108" s="3080"/>
      <c r="F108" s="3081"/>
      <c r="G108" s="2519" t="s">
        <v>2290</v>
      </c>
      <c r="H108" s="371">
        <f ca="1">ROUND(H107*10000/'数据-汇总表'!E3,0)</f>
        <v>24482</v>
      </c>
      <c r="I108" s="137"/>
    </row>
    <row r="109" spans="1:35" ht="18.75" hidden="1" customHeight="1">
      <c r="A109" s="137"/>
      <c r="B109" s="137"/>
      <c r="C109" s="137"/>
      <c r="D109" s="137"/>
      <c r="E109" s="3080" t="str">
        <f>IF(项目基本情况!E8="已注销及未注销","4.抵押担保权已注销时的房地产抵押价值",IF(项目基本情况!E8="已注销","3.抵押担保权已注销时的房地产抵押价值","——"))</f>
        <v>——</v>
      </c>
      <c r="F109" s="3081"/>
      <c r="G109" s="2519" t="s">
        <v>2288</v>
      </c>
      <c r="H109" s="348" t="str">
        <f>IF(E109="——","——",H101-H105-H106)</f>
        <v>——</v>
      </c>
      <c r="I109" s="137"/>
    </row>
    <row r="110" spans="1:35" ht="18.75" hidden="1" customHeight="1">
      <c r="A110" s="137"/>
      <c r="B110" s="137"/>
      <c r="C110" s="137"/>
      <c r="D110" s="137"/>
      <c r="E110" s="3080"/>
      <c r="F110" s="3081"/>
      <c r="G110" s="2519" t="s">
        <v>2290</v>
      </c>
      <c r="H110" s="371" t="str">
        <f>IF(H109="——","——",ROUND(H109*10000/'数据-汇总表'!E3,0))</f>
        <v>——</v>
      </c>
      <c r="I110" s="137"/>
    </row>
    <row r="111" spans="1:35" ht="18.75" hidden="1" customHeight="1">
      <c r="A111" s="137"/>
      <c r="B111" s="137"/>
      <c r="C111" s="137"/>
      <c r="D111" s="137"/>
      <c r="E111" s="3115" t="str">
        <f>IF(项目基本情况!E9="抵押净值",IF(OR(项目基本情况!E8="已注销",项目基本情况!E8="房地产抵押价值"),"4.抵押净值","5.抵押净值"),"——")</f>
        <v>——</v>
      </c>
      <c r="F111" s="3116"/>
      <c r="G111" s="2519" t="s">
        <v>2288</v>
      </c>
      <c r="H111" s="1046" t="str">
        <f>IF(E111="——","——",N59)</f>
        <v>——</v>
      </c>
      <c r="I111" s="137"/>
    </row>
    <row r="112" spans="1:35" ht="18.75" hidden="1" customHeight="1" thickBot="1">
      <c r="A112" s="137"/>
      <c r="B112" s="137"/>
      <c r="C112" s="137"/>
      <c r="D112" s="137"/>
      <c r="E112" s="3117"/>
      <c r="F112" s="3118"/>
      <c r="G112" s="2524" t="s">
        <v>2290</v>
      </c>
      <c r="H112" s="788" t="str">
        <f>IF(E111="——","——",N61)</f>
        <v>——</v>
      </c>
      <c r="I112" s="137"/>
    </row>
    <row r="113" spans="1:11" ht="18.75" customHeight="1">
      <c r="A113" s="137"/>
      <c r="B113" s="137"/>
      <c r="C113" s="137"/>
      <c r="D113" s="137"/>
      <c r="E113" s="3085" t="s">
        <v>2296</v>
      </c>
      <c r="F113" s="3085"/>
      <c r="G113" s="3085"/>
      <c r="H113" s="3085"/>
      <c r="I113" s="137"/>
    </row>
    <row r="114" spans="1:11" ht="3.75" customHeight="1">
      <c r="A114" s="2417"/>
      <c r="B114" s="2417"/>
      <c r="C114" s="2417"/>
      <c r="D114" s="2417"/>
      <c r="E114" s="2495"/>
      <c r="F114" s="2495"/>
      <c r="G114" s="2495"/>
      <c r="H114" s="2495"/>
      <c r="I114" s="2417"/>
    </row>
    <row r="115" spans="1:11" ht="18.75" customHeight="1">
      <c r="A115" s="3098" t="s">
        <v>2298</v>
      </c>
      <c r="B115" s="3099"/>
      <c r="C115" s="3099"/>
      <c r="D115" s="3099"/>
      <c r="E115" s="3099"/>
      <c r="F115" s="3099"/>
      <c r="G115" s="3099"/>
      <c r="H115" s="3099"/>
      <c r="I115" s="3100"/>
    </row>
    <row r="116" spans="1:11" ht="27" customHeight="1">
      <c r="A116" s="2994" t="s">
        <v>2299</v>
      </c>
      <c r="B116" s="3086" t="s">
        <v>3087</v>
      </c>
      <c r="C116" s="3086" t="s">
        <v>3088</v>
      </c>
      <c r="D116" s="3102" t="s">
        <v>2300</v>
      </c>
      <c r="E116" s="3103"/>
      <c r="F116" s="3094" t="s">
        <v>3089</v>
      </c>
      <c r="G116" s="3094"/>
      <c r="H116" s="2994" t="s">
        <v>2301</v>
      </c>
      <c r="I116" s="2994"/>
    </row>
    <row r="117" spans="1:11" ht="18.75" customHeight="1">
      <c r="A117" s="2994"/>
      <c r="B117" s="3087"/>
      <c r="C117" s="3087"/>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河北省廊坊市三河市燕郊开发区迎宾南路东侧、南城大街南侧天洋城4代商业·荷塘月色时尚街区S9号楼房地产</v>
      </c>
      <c r="B118" s="1796">
        <f>M18</f>
        <v>4145.53</v>
      </c>
      <c r="C118" s="1796">
        <f>M19</f>
        <v>6541.77</v>
      </c>
      <c r="D118" s="1796">
        <f ca="1">ROUND(IF(D32="总价",C34,E118*B118/10000),0)</f>
        <v>8414</v>
      </c>
      <c r="E118" s="1796">
        <f ca="1">ROUND(IF(C33="自定义",IF(D32="楼面单价",C34,D118*10000/B118),I118-G118),0)</f>
        <v>20297</v>
      </c>
      <c r="F118" s="1796">
        <f ca="1">ROUND(IF(D32="总价",C35,G118*B118/10000),0)</f>
        <v>1735</v>
      </c>
      <c r="G118" s="1796">
        <f ca="1">ROUND(IF(D32="楼面单价",C35,F118*10000/B118),0)</f>
        <v>4185</v>
      </c>
      <c r="H118" s="1796">
        <f ca="1">ROUND(IF(D32="总价",C32,I118*B118/10000),0)</f>
        <v>10149</v>
      </c>
      <c r="I118" s="1796">
        <f ca="1">ROUND(IF(D32="楼面单价",C32,H118*10000/B118),0)</f>
        <v>24482</v>
      </c>
    </row>
    <row r="119" spans="1:11" ht="18.75" customHeight="1">
      <c r="A119" s="2994" t="s">
        <v>2305</v>
      </c>
      <c r="B119" s="2994"/>
      <c r="C119" s="2994"/>
      <c r="D119" s="3091" t="str">
        <f ca="1">NUMBERSTRING(INT(D118*10000),2)&amp;"元整"</f>
        <v>捌仟肆佰壹拾肆万元整</v>
      </c>
      <c r="E119" s="3093"/>
      <c r="F119" s="3091" t="str">
        <f ca="1">NUMBERSTRING(INT(F118*10000),2)&amp;"元整"</f>
        <v>壹仟柒佰叁拾伍万元整</v>
      </c>
      <c r="G119" s="3093"/>
      <c r="H119" s="3091" t="str">
        <f ca="1">NUMBERSTRING(INT(H118*10000),2)&amp;"元整"</f>
        <v>壹亿零壹佰肆拾玖万元整</v>
      </c>
      <c r="I119" s="3093"/>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22" t="str">
        <f>IF(D120=0,"故，本次评估不存在"&amp;A120,"故，本次评估"&amp;A120&amp;"为人民币"&amp;D120&amp;"万元整。")</f>
        <v>故，本次评估不存在估价师知悉的法定优先受偿款</v>
      </c>
    </row>
    <row r="121" spans="1:11" ht="18.75" customHeight="1">
      <c r="A121" s="3095" t="s">
        <v>2305</v>
      </c>
      <c r="B121" s="3096"/>
      <c r="C121" s="3097"/>
      <c r="D121" s="3091" t="str">
        <f>IF(D120=0,"零元整",NUMBERSTRING(INT(D120*10000),2)&amp;"元整")</f>
        <v>零元整</v>
      </c>
      <c r="E121" s="3092"/>
      <c r="F121" s="3092"/>
      <c r="G121" s="3092"/>
      <c r="H121" s="3092"/>
      <c r="I121" s="3093"/>
    </row>
    <row r="122" spans="1:11" ht="18.75" customHeight="1">
      <c r="A122" s="3082" t="str">
        <f>IF(项目基本情况!B9="房地产市场价值","",MID(E107,3,LEN(E107)-2))</f>
        <v>房地产抵押价值</v>
      </c>
      <c r="B122" s="3082"/>
      <c r="C122" s="3082"/>
      <c r="D122" s="3119">
        <f ca="1">H107</f>
        <v>10149</v>
      </c>
      <c r="E122" s="3120"/>
      <c r="F122" s="3120"/>
      <c r="G122" s="3120"/>
      <c r="H122" s="3120"/>
      <c r="I122" s="3121"/>
    </row>
    <row r="123" spans="1:11" ht="18.75" customHeight="1">
      <c r="A123" s="2994" t="s">
        <v>2305</v>
      </c>
      <c r="B123" s="2994"/>
      <c r="C123" s="2994"/>
      <c r="D123" s="3091" t="str">
        <f ca="1">NUMBERSTRING(INT(D122*10000),2)&amp;"元整"</f>
        <v>壹亿零壹佰肆拾玖万元整</v>
      </c>
      <c r="E123" s="3092"/>
      <c r="F123" s="3092"/>
      <c r="G123" s="3092"/>
      <c r="H123" s="3092"/>
      <c r="I123" s="3093"/>
    </row>
    <row r="124" spans="1:11" ht="18.75" hidden="1" customHeight="1">
      <c r="A124" s="3082" t="str">
        <f>IF(项目基本情况!B9="房地产市场价值","",MID(E109,3,LEN(E109)-2))</f>
        <v/>
      </c>
      <c r="B124" s="3082"/>
      <c r="C124" s="3082"/>
      <c r="D124" s="3119" t="str">
        <f>H109</f>
        <v>——</v>
      </c>
      <c r="E124" s="3120"/>
      <c r="F124" s="3120"/>
      <c r="G124" s="3120"/>
      <c r="H124" s="3120"/>
      <c r="I124" s="3121"/>
    </row>
    <row r="125" spans="1:11" ht="18.75" hidden="1" customHeight="1">
      <c r="A125" s="2994" t="s">
        <v>2305</v>
      </c>
      <c r="B125" s="2994"/>
      <c r="C125" s="2994"/>
      <c r="D125" s="3091" t="e">
        <f>NUMBERSTRING(INT(D124*10000),2)&amp;"元整"</f>
        <v>#VALUE!</v>
      </c>
      <c r="E125" s="3092"/>
      <c r="F125" s="3092"/>
      <c r="G125" s="3092"/>
      <c r="H125" s="3092"/>
      <c r="I125" s="3093"/>
    </row>
    <row r="126" spans="1:11" ht="18.75" hidden="1" customHeight="1">
      <c r="A126" s="3082" t="str">
        <f>IF(项目基本情况!B9="房地产市场价值","",MID(E111,3,LEN(E111)-2))</f>
        <v/>
      </c>
      <c r="B126" s="3082"/>
      <c r="C126" s="3082"/>
      <c r="D126" s="3119" t="str">
        <f>H111</f>
        <v>——</v>
      </c>
      <c r="E126" s="3120"/>
      <c r="F126" s="3120"/>
      <c r="G126" s="3120"/>
      <c r="H126" s="3120"/>
      <c r="I126" s="3121"/>
    </row>
    <row r="127" spans="1:11" ht="18.75" hidden="1" customHeight="1">
      <c r="A127" s="2994" t="s">
        <v>2305</v>
      </c>
      <c r="B127" s="2994"/>
      <c r="C127" s="2994"/>
      <c r="D127" s="3091" t="e">
        <f>NUMBERSTRING(INT(D126*10000),2)&amp;"元整"</f>
        <v>#VALUE!</v>
      </c>
      <c r="E127" s="3092"/>
      <c r="F127" s="3092"/>
      <c r="G127" s="3092"/>
      <c r="H127" s="3092"/>
      <c r="I127" s="3093"/>
    </row>
    <row r="128" spans="1:11" ht="21.75" customHeight="1">
      <c r="A128" s="3101" t="s">
        <v>2306</v>
      </c>
      <c r="B128" s="3101"/>
      <c r="C128" s="3101"/>
      <c r="D128" s="3101"/>
      <c r="E128" s="3101"/>
      <c r="F128" s="3101"/>
      <c r="G128" s="3101"/>
      <c r="H128" s="3101"/>
      <c r="I128" s="3101"/>
    </row>
    <row r="129" spans="1:35" ht="21.75" customHeight="1">
      <c r="A129" s="2526" t="s">
        <v>2307</v>
      </c>
      <c r="B129" s="2527"/>
      <c r="C129" s="2528" t="s">
        <v>3090</v>
      </c>
      <c r="D129" s="2529"/>
      <c r="E129" s="2529"/>
      <c r="F129" s="2529"/>
      <c r="G129" s="2529"/>
      <c r="H129" s="2530"/>
      <c r="I129" s="2531"/>
    </row>
    <row r="130" spans="1:35" ht="21.75" customHeight="1">
      <c r="A130" s="2532" t="s">
        <v>3153</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3091</v>
      </c>
      <c r="H135" s="2543"/>
      <c r="I135" s="2544" t="s">
        <v>3154</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3092</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3092</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7</v>
      </c>
    </row>
    <row r="2" spans="1:9" s="244" customFormat="1" ht="18" customHeight="1">
      <c r="A2" s="245" t="s">
        <v>2312</v>
      </c>
      <c r="B2" s="246">
        <f ca="1">IF(D2="——",C52,C52-E2)</f>
        <v>1334</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3218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4145.53</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83</v>
      </c>
      <c r="D19" s="1037">
        <f ca="1">D9+D10</f>
        <v>4145.53</v>
      </c>
      <c r="E19" s="255">
        <f>'数据-取费表'!B31</f>
        <v>200</v>
      </c>
      <c r="F19" s="275"/>
      <c r="G19" s="2551"/>
    </row>
    <row r="20" spans="1:7" s="258" customFormat="1" ht="13.5" customHeight="1">
      <c r="A20" s="299" t="s">
        <v>2343</v>
      </c>
      <c r="B20" s="254" t="s">
        <v>2344</v>
      </c>
      <c r="C20" s="276">
        <f ca="1">ROUND((C5+C19)*F20,0)</f>
        <v>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4</v>
      </c>
      <c r="D22" s="279">
        <f ca="1">C26</f>
        <v>4.0000000000000002E-4</v>
      </c>
      <c r="E22" s="280" t="s">
        <v>2348</v>
      </c>
      <c r="F22" s="281">
        <f ca="1">'数据-取费表'!B40</f>
        <v>4.3499999999999997E-2</v>
      </c>
      <c r="G22" s="278" t="str">
        <f>IF('数据-取费表'!B22&lt;=1,"单利计息","复利计息")</f>
        <v>单利计息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4</v>
      </c>
      <c r="D24" s="282"/>
      <c r="E24" s="282"/>
      <c r="F24" s="283"/>
      <c r="G24" s="284" t="s">
        <v>2357</v>
      </c>
    </row>
    <row r="25" spans="1:7" s="258" customFormat="1" ht="24">
      <c r="A25" s="952" t="s">
        <v>2358</v>
      </c>
      <c r="B25" s="259" t="s">
        <v>2359</v>
      </c>
      <c r="C25" s="1355">
        <f ca="1">ROUND(IF('数据-取费表'!B22&lt;=1,C20*F22*'数据-取费表'!B23/2,C20*(POWER((1+F22),'数据-取费表'!B23/2)-1)),0)</f>
        <v>0</v>
      </c>
      <c r="D25" s="282"/>
      <c r="E25" s="285"/>
      <c r="F25" s="283"/>
      <c r="G25" s="286" t="s">
        <v>2360</v>
      </c>
    </row>
    <row r="26" spans="1:7" s="258" customFormat="1">
      <c r="A26" s="952" t="s">
        <v>795</v>
      </c>
      <c r="B26" s="259" t="s">
        <v>2361</v>
      </c>
      <c r="C26" s="282">
        <f ca="1">ROUND(IF('数据-取费表'!B22&lt;=1,F21*F22*'数据-取费表'!B23/2,F21*(POWER((1+F22),'数据-取费表'!B23/2)-1)),4)</f>
        <v>4.0000000000000002E-4</v>
      </c>
      <c r="D26" s="282"/>
      <c r="E26" s="285"/>
      <c r="F26" s="283"/>
      <c r="G26" s="287"/>
    </row>
    <row r="27" spans="1:7" s="258" customFormat="1" ht="24.75">
      <c r="A27" s="299" t="s">
        <v>2362</v>
      </c>
      <c r="B27" s="288" t="s">
        <v>2363</v>
      </c>
      <c r="C27" s="289">
        <f ca="1">C28</f>
        <v>17</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ROUND((C5+C19+C20)*F27*'数据-取费表'!B21/'数据-取费表'!B20,0)</f>
        <v>17</v>
      </c>
      <c r="D28" s="279"/>
      <c r="E28" s="280"/>
      <c r="F28" s="290"/>
      <c r="G28" s="291"/>
    </row>
    <row r="29" spans="1:7" s="258" customFormat="1" ht="13.5" customHeight="1">
      <c r="A29" s="952" t="s">
        <v>792</v>
      </c>
      <c r="B29" s="292" t="s">
        <v>2367</v>
      </c>
      <c r="C29" s="282">
        <f ca="1">ROUND(C21*F27*'数据-取费表'!B21/'数据-取费表'!B20,4)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115</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949</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829</v>
      </c>
      <c r="D34" s="261"/>
      <c r="E34" s="264"/>
      <c r="F34" s="301">
        <f ca="1">IF('数据-取费表'!B24=0,1,IF(B1="",'数据-取费表'!N16,INDIRECT("'数据-取费表'!n"&amp;$G$1)))</f>
        <v>1</v>
      </c>
      <c r="G34" s="263" t="s">
        <v>2376</v>
      </c>
    </row>
    <row r="35" spans="1:7" ht="13.5" customHeight="1">
      <c r="A35" s="952" t="s">
        <v>796</v>
      </c>
      <c r="B35" s="259" t="s">
        <v>2377</v>
      </c>
      <c r="C35" s="264">
        <f ca="1">ROUND(C34*F35,0)</f>
        <v>25</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83</v>
      </c>
      <c r="D37" s="261">
        <f ca="1">D19</f>
        <v>4145.53</v>
      </c>
      <c r="E37" s="293">
        <f>'数据-取费表'!B35</f>
        <v>200</v>
      </c>
      <c r="F37" s="303"/>
      <c r="G37" s="305" t="s">
        <v>2382</v>
      </c>
    </row>
    <row r="38" spans="1:7" ht="13.5" customHeight="1">
      <c r="A38" s="952" t="s">
        <v>799</v>
      </c>
      <c r="B38" s="259" t="s">
        <v>2383</v>
      </c>
      <c r="C38" s="264">
        <f ca="1">ROUND(C34*F38,0)</f>
        <v>12</v>
      </c>
      <c r="D38" s="264"/>
      <c r="E38" s="264"/>
      <c r="F38" s="303">
        <f>'数据-取费表'!B36</f>
        <v>1.4999999999999999E-2</v>
      </c>
      <c r="G38" s="263" t="s">
        <v>2378</v>
      </c>
    </row>
    <row r="39" spans="1:7" s="258" customFormat="1" ht="13.5" customHeight="1">
      <c r="A39" s="299" t="s">
        <v>2384</v>
      </c>
      <c r="B39" s="254" t="s">
        <v>2385</v>
      </c>
      <c r="C39" s="276">
        <f ca="1">ROUND(C33*F20,0)</f>
        <v>19</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21</v>
      </c>
      <c r="D41" s="279">
        <f ca="1">C44</f>
        <v>4.0000000000000002E-4</v>
      </c>
      <c r="E41" s="280" t="s">
        <v>2389</v>
      </c>
      <c r="F41" s="281"/>
      <c r="G41" s="278" t="str">
        <f>IF('数据-取费表'!B22&lt;=1,"单利计息","复利计息")</f>
        <v>单利计息</v>
      </c>
    </row>
    <row r="42" spans="1:7" ht="13.5" customHeight="1">
      <c r="A42" s="952" t="s">
        <v>791</v>
      </c>
      <c r="B42" s="259" t="s">
        <v>2393</v>
      </c>
      <c r="C42" s="282">
        <f ca="1">ROUND(IF('数据-取费表'!B22&lt;=1,C33*F22*'数据-取费表'!B21/2,C33*(POWER((1+F22),'数据-取费表'!B21/2)-1)),0)</f>
        <v>21</v>
      </c>
      <c r="D42" s="282"/>
      <c r="E42" s="282"/>
      <c r="F42" s="283"/>
      <c r="G42" s="3133" t="s">
        <v>2394</v>
      </c>
    </row>
    <row r="43" spans="1:7" ht="13.5" customHeight="1">
      <c r="A43" s="952" t="s">
        <v>792</v>
      </c>
      <c r="B43" s="259" t="s">
        <v>2395</v>
      </c>
      <c r="C43" s="282">
        <f ca="1">ROUND(IF('数据-取费表'!B22&lt;=1,C39*F22*'数据-取费表'!B21/2,C39*(POWER((1+F22),'数据-取费表'!B21/2)-1)),0)</f>
        <v>0</v>
      </c>
      <c r="D43" s="282"/>
      <c r="E43" s="282"/>
      <c r="F43" s="283"/>
      <c r="G43" s="3134"/>
    </row>
    <row r="44" spans="1:7" ht="13.5" customHeight="1">
      <c r="A44" s="952" t="s">
        <v>793</v>
      </c>
      <c r="B44" s="259" t="s">
        <v>2396</v>
      </c>
      <c r="C44" s="282">
        <f ca="1">ROUND(IF('数据-取费表'!B22&lt;=1,C40*F22*'数据-取费表'!B21/2,C40*(POWER((1+F22),'数据-取费表'!B21/2)-1)),4)</f>
        <v>4.0000000000000002E-4</v>
      </c>
      <c r="D44" s="282"/>
      <c r="E44" s="282"/>
      <c r="F44" s="283"/>
      <c r="G44" s="3135"/>
    </row>
    <row r="45" spans="1:7" s="258" customFormat="1" ht="13.5" customHeight="1">
      <c r="A45" s="299" t="s">
        <v>2397</v>
      </c>
      <c r="B45" s="288" t="s">
        <v>2363</v>
      </c>
      <c r="C45" s="289">
        <f ca="1">C46</f>
        <v>194</v>
      </c>
      <c r="D45" s="279">
        <f ca="1">C47</f>
        <v>4.0000000000000001E-3</v>
      </c>
      <c r="E45" s="280" t="s">
        <v>2389</v>
      </c>
      <c r="F45" s="290"/>
      <c r="G45" s="291" t="s">
        <v>2398</v>
      </c>
    </row>
    <row r="46" spans="1:7" s="258" customFormat="1" ht="13.5" customHeight="1">
      <c r="A46" s="952" t="s">
        <v>791</v>
      </c>
      <c r="B46" s="292" t="s">
        <v>2399</v>
      </c>
      <c r="C46" s="293">
        <f ca="1">ROUND((C33+C39)*F27,0)</f>
        <v>194</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1283</v>
      </c>
      <c r="D49" s="276"/>
      <c r="E49" s="276"/>
      <c r="F49" s="308"/>
      <c r="G49" s="278" t="s">
        <v>2404</v>
      </c>
    </row>
    <row r="50" spans="1:7" s="302" customFormat="1" ht="24">
      <c r="A50" s="299" t="s">
        <v>2405</v>
      </c>
      <c r="B50" s="254" t="s">
        <v>2406</v>
      </c>
      <c r="C50" s="276"/>
      <c r="D50" s="276"/>
      <c r="E50" s="276"/>
      <c r="F50" s="308">
        <f>IF('数据-取费表'!B24=0,'数据-取费表'!N16,1)</f>
        <v>0.95</v>
      </c>
      <c r="G50" s="291" t="s">
        <v>2407</v>
      </c>
    </row>
    <row r="51" spans="1:7" ht="16.5" customHeight="1">
      <c r="A51" s="299" t="s">
        <v>2408</v>
      </c>
      <c r="B51" s="254" t="s">
        <v>2409</v>
      </c>
      <c r="C51" s="276">
        <f ca="1">ROUND(C49*F50,0)</f>
        <v>1219</v>
      </c>
      <c r="D51" s="276"/>
      <c r="E51" s="276"/>
      <c r="F51" s="308"/>
      <c r="G51" s="278" t="s">
        <v>2410</v>
      </c>
    </row>
    <row r="52" spans="1:7" s="252" customFormat="1" ht="16.5" thickBot="1">
      <c r="A52" s="309" t="s">
        <v>2411</v>
      </c>
      <c r="B52" s="310"/>
      <c r="C52" s="311">
        <f ca="1">C31+C51</f>
        <v>1334</v>
      </c>
      <c r="D52" s="310"/>
      <c r="E52" s="310"/>
      <c r="F52" s="310"/>
      <c r="G52" s="312"/>
    </row>
    <row r="55" spans="1:7" ht="15">
      <c r="B55" s="314" t="s">
        <v>2412</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0" t="str">
        <f>项目基本情况!B1</f>
        <v>河北省廊坊市三河市燕郊开发区迎宾南路东侧、南城大街南侧天洋城4代商业·荷塘月色时尚街区S9号楼房地产抵押价值预评估</v>
      </c>
      <c r="C37" s="2950"/>
      <c r="D37" s="2950"/>
      <c r="E37" s="2950"/>
      <c r="F37" s="2950"/>
      <c r="G37" s="2950"/>
      <c r="H37" s="2950"/>
      <c r="I37" s="2950"/>
    </row>
    <row r="38" spans="1:9">
      <c r="A38" s="1017"/>
      <c r="B38" s="1017"/>
    </row>
    <row r="39" spans="1:9">
      <c r="A39" s="1015" t="s">
        <v>818</v>
      </c>
      <c r="B39" s="1015" t="s">
        <v>820</v>
      </c>
    </row>
    <row r="40" spans="1:9">
      <c r="A40" s="1015"/>
      <c r="B40" s="1943" t="str">
        <f>项目基本情况!B5</f>
        <v>三河天洋城房地产开发有限公司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1333</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3216</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4145.53</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829106</v>
      </c>
      <c r="D19" s="1037">
        <f ca="1">D9+D10</f>
        <v>4145.53</v>
      </c>
      <c r="E19" s="255">
        <f>'数据-取费表'!B31</f>
        <v>200</v>
      </c>
      <c r="F19" s="275"/>
      <c r="G19" s="2551"/>
    </row>
    <row r="20" spans="1:7" s="258" customFormat="1" ht="13.5" customHeight="1">
      <c r="A20" s="299" t="s">
        <v>2424</v>
      </c>
      <c r="B20" s="254" t="s">
        <v>2425</v>
      </c>
      <c r="C20" s="276">
        <f ca="1">ROUND((C5+C19)*F20,0)</f>
        <v>16582</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36427</v>
      </c>
      <c r="D22" s="279">
        <f ca="1">C26</f>
        <v>4.0000000000000002E-4</v>
      </c>
      <c r="E22" s="280" t="s">
        <v>2429</v>
      </c>
      <c r="F22" s="281">
        <f ca="1">'数据-取费表'!B40</f>
        <v>4.3499999999999997E-2</v>
      </c>
      <c r="G22" s="278" t="str">
        <f>IF('数据-取费表'!B22&lt;=1,"单利计息","复利计息")</f>
        <v>单利计息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36066</v>
      </c>
      <c r="D24" s="282"/>
      <c r="E24" s="282"/>
      <c r="F24" s="283"/>
      <c r="G24" s="284" t="s">
        <v>2436</v>
      </c>
    </row>
    <row r="25" spans="1:7" s="258" customFormat="1" ht="24">
      <c r="A25" s="952" t="s">
        <v>2326</v>
      </c>
      <c r="B25" s="259" t="s">
        <v>2437</v>
      </c>
      <c r="C25" s="1381">
        <f ca="1">ROUND(IF('数据-取费表'!B22&lt;=1,C20*F22*'数据-取费表'!B22/2,C20*(POWER((1+F22),'数据-取费表'!B22/2)-1)),0)</f>
        <v>361</v>
      </c>
      <c r="D25" s="282"/>
      <c r="E25" s="285"/>
      <c r="F25" s="283"/>
      <c r="G25" s="286" t="s">
        <v>2438</v>
      </c>
    </row>
    <row r="26" spans="1:7" s="258" customFormat="1">
      <c r="A26" s="952" t="s">
        <v>795</v>
      </c>
      <c r="B26" s="259" t="s">
        <v>2361</v>
      </c>
      <c r="C26" s="282">
        <f ca="1">ROUND(IF('数据-取费表'!B22&lt;=1,F21*F22*'数据-取费表'!B22/2,F21*(POWER((1+F22),'数据-取费表'!B22/2)-1)),4)</f>
        <v>4.0000000000000002E-4</v>
      </c>
      <c r="D26" s="282"/>
      <c r="E26" s="285"/>
      <c r="F26" s="283"/>
      <c r="G26" s="287"/>
    </row>
    <row r="27" spans="1:7" s="258" customFormat="1" ht="24.75">
      <c r="A27" s="299" t="s">
        <v>2362</v>
      </c>
      <c r="B27" s="288" t="s">
        <v>2363</v>
      </c>
      <c r="C27" s="289">
        <f ca="1">C28</f>
        <v>169138</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ROUND((C5+C19+C20)*F27,0)</f>
        <v>169138</v>
      </c>
      <c r="D28" s="279"/>
      <c r="E28" s="280"/>
      <c r="F28" s="290"/>
      <c r="G28" s="291"/>
    </row>
    <row r="29" spans="1:7" s="258" customFormat="1" ht="13.5" customHeight="1">
      <c r="A29" s="952" t="s">
        <v>792</v>
      </c>
      <c r="B29" s="292" t="s">
        <v>2367</v>
      </c>
      <c r="C29" s="282">
        <f ca="1">ROUND(C21*F27,4)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1139817</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9493264</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8291060</v>
      </c>
      <c r="D34" s="261"/>
      <c r="E34" s="264"/>
      <c r="F34" s="301"/>
      <c r="G34" s="263"/>
    </row>
    <row r="35" spans="1:7" ht="13.5" customHeight="1">
      <c r="A35" s="952" t="s">
        <v>796</v>
      </c>
      <c r="B35" s="259" t="s">
        <v>2377</v>
      </c>
      <c r="C35" s="264">
        <f ca="1">ROUND(C34*F35,0)</f>
        <v>248732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829106</v>
      </c>
      <c r="D37" s="261">
        <f ca="1">D19</f>
        <v>4145.53</v>
      </c>
      <c r="E37" s="293">
        <f>'数据-取费表'!B35</f>
        <v>200</v>
      </c>
      <c r="F37" s="303"/>
      <c r="G37" s="305"/>
    </row>
    <row r="38" spans="1:7" ht="13.5" customHeight="1">
      <c r="A38" s="952" t="s">
        <v>799</v>
      </c>
      <c r="B38" s="259" t="s">
        <v>2383</v>
      </c>
      <c r="C38" s="264">
        <f ca="1">ROUND(C34*F38,0)</f>
        <v>124366</v>
      </c>
      <c r="D38" s="264"/>
      <c r="E38" s="264"/>
      <c r="F38" s="303">
        <f>'数据-取费表'!B36</f>
        <v>1.4999999999999999E-2</v>
      </c>
      <c r="G38" s="263" t="s">
        <v>2378</v>
      </c>
    </row>
    <row r="39" spans="1:7" s="258" customFormat="1" ht="13.5" customHeight="1">
      <c r="A39" s="299" t="s">
        <v>2384</v>
      </c>
      <c r="B39" s="254" t="s">
        <v>2385</v>
      </c>
      <c r="C39" s="276">
        <f ca="1">ROUND(C33*F20,0)</f>
        <v>189865</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210608</v>
      </c>
      <c r="D41" s="279">
        <f ca="1">C44</f>
        <v>4.0000000000000002E-4</v>
      </c>
      <c r="E41" s="280" t="s">
        <v>2389</v>
      </c>
      <c r="F41" s="281"/>
      <c r="G41" s="278" t="str">
        <f>IF('数据-取费表'!B22&lt;=1,"单利计息","复利计息")</f>
        <v>单利计息</v>
      </c>
    </row>
    <row r="42" spans="1:7" ht="13.5" customHeight="1">
      <c r="A42" s="952" t="s">
        <v>791</v>
      </c>
      <c r="B42" s="259" t="s">
        <v>2393</v>
      </c>
      <c r="C42" s="282">
        <f ca="1">ROUND(IF('数据-取费表'!B22&lt;=1,C33*F22*'数据-取费表'!B20/2,C33*(POWER((1+F22),'数据-取费表'!B20/2)-1)),0)</f>
        <v>206478</v>
      </c>
      <c r="D42" s="282"/>
      <c r="E42" s="282"/>
      <c r="F42" s="283"/>
      <c r="G42" s="3133" t="s">
        <v>2441</v>
      </c>
    </row>
    <row r="43" spans="1:7" ht="13.5" customHeight="1">
      <c r="A43" s="952" t="s">
        <v>792</v>
      </c>
      <c r="B43" s="259" t="s">
        <v>2395</v>
      </c>
      <c r="C43" s="282">
        <f ca="1">ROUND(IF('数据-取费表'!B22&lt;=1,C39*F22*'数据-取费表'!B20/2,C39*(POWER((1+F22),'数据-取费表'!B20/2)-1)),0)</f>
        <v>4130</v>
      </c>
      <c r="D43" s="282"/>
      <c r="E43" s="282"/>
      <c r="F43" s="283"/>
      <c r="G43" s="3134"/>
    </row>
    <row r="44" spans="1:7" ht="13.5" customHeight="1">
      <c r="A44" s="952" t="s">
        <v>793</v>
      </c>
      <c r="B44" s="259" t="s">
        <v>2396</v>
      </c>
      <c r="C44" s="282">
        <f ca="1">ROUND(IF('数据-取费表'!B22&lt;=1,C40*F22*'数据-取费表'!B20/2,C40*(POWER((1+F22),'数据-取费表'!B20/2)-1)),4)</f>
        <v>4.0000000000000002E-4</v>
      </c>
      <c r="D44" s="282"/>
      <c r="E44" s="282"/>
      <c r="F44" s="283"/>
      <c r="G44" s="3135"/>
    </row>
    <row r="45" spans="1:7" s="258" customFormat="1" ht="13.5" customHeight="1">
      <c r="A45" s="299" t="s">
        <v>2397</v>
      </c>
      <c r="B45" s="288" t="s">
        <v>2363</v>
      </c>
      <c r="C45" s="289">
        <f ca="1">C46</f>
        <v>1936626</v>
      </c>
      <c r="D45" s="279">
        <f ca="1">C47</f>
        <v>4.0000000000000001E-3</v>
      </c>
      <c r="E45" s="280" t="s">
        <v>2389</v>
      </c>
      <c r="F45" s="290"/>
      <c r="G45" s="291" t="s">
        <v>2398</v>
      </c>
    </row>
    <row r="46" spans="1:7" s="258" customFormat="1" ht="13.5" customHeight="1">
      <c r="A46" s="952" t="s">
        <v>791</v>
      </c>
      <c r="B46" s="292" t="s">
        <v>2399</v>
      </c>
      <c r="C46" s="293">
        <f ca="1">ROUND((C33+C39)*F27,0)</f>
        <v>1936626</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12827023</v>
      </c>
      <c r="D49" s="276"/>
      <c r="E49" s="276"/>
      <c r="F49" s="308"/>
      <c r="G49" s="278" t="s">
        <v>2404</v>
      </c>
    </row>
    <row r="50" spans="1:7" s="302" customFormat="1">
      <c r="A50" s="299" t="s">
        <v>2405</v>
      </c>
      <c r="B50" s="254" t="s">
        <v>2406</v>
      </c>
      <c r="C50" s="276"/>
      <c r="D50" s="276"/>
      <c r="E50" s="276"/>
      <c r="F50" s="308">
        <f>IF('数据-取费表'!B24=0,'数据-取费表'!N16,1)</f>
        <v>0.95</v>
      </c>
      <c r="G50" s="291"/>
    </row>
    <row r="51" spans="1:7" ht="16.5" customHeight="1">
      <c r="A51" s="299" t="s">
        <v>2408</v>
      </c>
      <c r="B51" s="254" t="s">
        <v>2443</v>
      </c>
      <c r="C51" s="276">
        <f ca="1">ROUND(C49*F50,0)</f>
        <v>12185672</v>
      </c>
      <c r="D51" s="276"/>
      <c r="E51" s="276"/>
      <c r="F51" s="308"/>
      <c r="G51" s="278" t="s">
        <v>2410</v>
      </c>
    </row>
    <row r="52" spans="1:7" s="252" customFormat="1" ht="16.5" thickBot="1">
      <c r="A52" s="309" t="s">
        <v>2411</v>
      </c>
      <c r="B52" s="310"/>
      <c r="C52" s="311">
        <f ca="1">C31+C51</f>
        <v>13325489</v>
      </c>
      <c r="D52" s="310"/>
      <c r="E52" s="310"/>
      <c r="F52" s="310"/>
      <c r="G52" s="312"/>
    </row>
    <row r="55" spans="1:7" ht="15">
      <c r="B55" s="314" t="s">
        <v>2412</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4145.53</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4145.53</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4145.53</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154" t="s">
        <v>2521</v>
      </c>
      <c r="D4" s="3155"/>
      <c r="E4" s="3156" t="s">
        <v>2522</v>
      </c>
      <c r="F4" s="3157"/>
      <c r="G4" s="3154" t="s">
        <v>2523</v>
      </c>
      <c r="H4" s="3155"/>
      <c r="I4" s="3154" t="s">
        <v>2524</v>
      </c>
      <c r="J4" s="3155"/>
      <c r="K4" s="2597" t="s">
        <v>2525</v>
      </c>
      <c r="L4" s="1130"/>
      <c r="M4" s="1131"/>
      <c r="N4" s="1131"/>
      <c r="O4" s="1131"/>
      <c r="P4" s="3158" t="s">
        <v>2526</v>
      </c>
      <c r="Q4" s="3159"/>
      <c r="R4" s="3164" t="s">
        <v>2522</v>
      </c>
      <c r="S4" s="3165"/>
      <c r="T4" s="3164" t="s">
        <v>2523</v>
      </c>
      <c r="U4" s="3165"/>
      <c r="V4" s="3170" t="s">
        <v>2524</v>
      </c>
      <c r="W4" s="3170"/>
      <c r="X4" s="1814"/>
      <c r="Y4" s="3164" t="s">
        <v>2526</v>
      </c>
      <c r="Z4" s="3165"/>
      <c r="AA4" s="3151" t="s">
        <v>2522</v>
      </c>
      <c r="AB4" s="3151" t="s">
        <v>2523</v>
      </c>
      <c r="AC4" s="3151" t="s">
        <v>2524</v>
      </c>
    </row>
    <row r="5" spans="1:29" ht="15">
      <c r="A5" s="404"/>
      <c r="B5" s="405"/>
      <c r="C5" s="3173" t="s">
        <v>3054</v>
      </c>
      <c r="D5" s="3174"/>
      <c r="E5" s="3180" t="s">
        <v>3079</v>
      </c>
      <c r="F5" s="3181"/>
      <c r="G5" s="3173" t="s">
        <v>3081</v>
      </c>
      <c r="H5" s="3174"/>
      <c r="I5" s="3173" t="s">
        <v>3082</v>
      </c>
      <c r="J5" s="3174"/>
      <c r="K5" s="2598"/>
      <c r="L5" s="1130"/>
      <c r="M5" s="1131"/>
      <c r="N5" s="1131"/>
      <c r="O5" s="1131"/>
      <c r="P5" s="3160"/>
      <c r="Q5" s="3161"/>
      <c r="R5" s="3166"/>
      <c r="S5" s="3167"/>
      <c r="T5" s="3166"/>
      <c r="U5" s="3167"/>
      <c r="V5" s="3170"/>
      <c r="W5" s="3170"/>
      <c r="X5" s="1814"/>
      <c r="Y5" s="3166"/>
      <c r="Z5" s="3167"/>
      <c r="AA5" s="3152"/>
      <c r="AB5" s="3152"/>
      <c r="AC5" s="3152"/>
    </row>
    <row r="6" spans="1:29" ht="15.75" thickBot="1">
      <c r="A6" s="406"/>
      <c r="B6" s="407"/>
      <c r="C6" s="3171" t="s">
        <v>2531</v>
      </c>
      <c r="D6" s="3172"/>
      <c r="E6" s="3178" t="s">
        <v>2531</v>
      </c>
      <c r="F6" s="3179"/>
      <c r="G6" s="3171" t="s">
        <v>2531</v>
      </c>
      <c r="H6" s="3172"/>
      <c r="I6" s="3171" t="s">
        <v>2531</v>
      </c>
      <c r="J6" s="3172"/>
      <c r="K6" s="2598" t="s">
        <v>2532</v>
      </c>
      <c r="L6" s="1130"/>
      <c r="M6" s="1131"/>
      <c r="N6" s="1131"/>
      <c r="O6" s="1131"/>
      <c r="P6" s="3162"/>
      <c r="Q6" s="3163"/>
      <c r="R6" s="3166"/>
      <c r="S6" s="3167"/>
      <c r="T6" s="3168"/>
      <c r="U6" s="3169"/>
      <c r="V6" s="3170"/>
      <c r="W6" s="3170"/>
      <c r="X6" s="1814"/>
      <c r="Y6" s="3168"/>
      <c r="Z6" s="3169"/>
      <c r="AA6" s="3153"/>
      <c r="AB6" s="3153"/>
      <c r="AC6" s="3153"/>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175" t="s">
        <v>2534</v>
      </c>
      <c r="Q7" s="3177"/>
      <c r="R7" s="768" t="s">
        <v>23</v>
      </c>
      <c r="S7" s="769">
        <f t="shared" ref="S7:S15" si="0">F7</f>
        <v>100</v>
      </c>
      <c r="T7" s="768" t="s">
        <v>23</v>
      </c>
      <c r="U7" s="769">
        <f t="shared" ref="U7:U15" si="1">H7</f>
        <v>100</v>
      </c>
      <c r="V7" s="768" t="s">
        <v>23</v>
      </c>
      <c r="W7" s="769">
        <f t="shared" ref="W7:W15" si="2">J7</f>
        <v>100</v>
      </c>
      <c r="X7" s="770"/>
      <c r="Y7" s="3175" t="s">
        <v>2534</v>
      </c>
      <c r="Z7" s="3176"/>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175" t="s">
        <v>2537</v>
      </c>
      <c r="Q8" s="3176"/>
      <c r="R8" s="768" t="s">
        <v>23</v>
      </c>
      <c r="S8" s="769">
        <f t="shared" si="0"/>
        <v>100</v>
      </c>
      <c r="T8" s="768" t="s">
        <v>23</v>
      </c>
      <c r="U8" s="769">
        <f t="shared" si="1"/>
        <v>100</v>
      </c>
      <c r="V8" s="768" t="s">
        <v>23</v>
      </c>
      <c r="W8" s="769">
        <f t="shared" si="2"/>
        <v>100</v>
      </c>
      <c r="X8" s="770"/>
      <c r="Y8" s="3175" t="s">
        <v>2537</v>
      </c>
      <c r="Z8" s="3176"/>
      <c r="AA8" s="771">
        <f t="shared" ref="AA8:AA19" si="3">D8/F8</f>
        <v>1</v>
      </c>
      <c r="AB8" s="771">
        <f t="shared" ref="AB8:AB19" si="4">D8/H8</f>
        <v>1</v>
      </c>
      <c r="AC8" s="771">
        <f t="shared" ref="AC8:AC19" si="5">D8/J8</f>
        <v>1</v>
      </c>
    </row>
    <row r="9" spans="1:29" s="116" customFormat="1">
      <c r="A9" s="415" t="s">
        <v>2538</v>
      </c>
      <c r="B9" s="70" t="s">
        <v>2539</v>
      </c>
      <c r="C9" s="416" t="s">
        <v>3055</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150"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771">
        <f t="shared" si="5"/>
        <v>1</v>
      </c>
    </row>
    <row r="10" spans="1:29" s="427" customFormat="1" ht="27">
      <c r="A10" s="421"/>
      <c r="B10" s="422" t="s">
        <v>2542</v>
      </c>
      <c r="C10" s="423" t="s">
        <v>3056</v>
      </c>
      <c r="D10" s="135">
        <v>100</v>
      </c>
      <c r="E10" s="423" t="s">
        <v>3056</v>
      </c>
      <c r="F10" s="425">
        <f>SUMIF(65:65,E10,66:66)-SUMIF(65:65,C10,66:66)+100</f>
        <v>100</v>
      </c>
      <c r="G10" s="423" t="s">
        <v>3056</v>
      </c>
      <c r="H10" s="135">
        <f>SUMIF(65:65,G10,66:66)-SUMIF(65:65,C10,66:66)+100</f>
        <v>100</v>
      </c>
      <c r="I10" s="423" t="s">
        <v>3056</v>
      </c>
      <c r="J10" s="135">
        <f>SUMIF(65:65,I10,66:66)-SUMIF(65:65,C10,66:66)+100</f>
        <v>100</v>
      </c>
      <c r="K10" s="426">
        <v>1</v>
      </c>
      <c r="L10" s="1135"/>
      <c r="M10" s="1136"/>
      <c r="N10" s="1136"/>
      <c r="O10" s="1136"/>
      <c r="P10" s="3150"/>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771">
        <f t="shared" si="5"/>
        <v>1</v>
      </c>
    </row>
    <row r="11" spans="1:29" ht="15.75" thickBot="1">
      <c r="A11" s="428"/>
      <c r="B11" s="422" t="s">
        <v>2543</v>
      </c>
      <c r="C11" s="429">
        <f>'数据-汇总表'!I6</f>
        <v>0.63</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150"/>
      <c r="Q11" s="1796" t="str">
        <f t="shared" si="6"/>
        <v>容积率</v>
      </c>
      <c r="R11" s="768" t="s">
        <v>21</v>
      </c>
      <c r="S11" s="769">
        <f t="shared" si="0"/>
        <v>98</v>
      </c>
      <c r="T11" s="768" t="s">
        <v>21</v>
      </c>
      <c r="U11" s="769">
        <f t="shared" si="1"/>
        <v>98</v>
      </c>
      <c r="V11" s="768" t="s">
        <v>21</v>
      </c>
      <c r="W11" s="769">
        <f t="shared" si="2"/>
        <v>98</v>
      </c>
      <c r="X11" s="770"/>
      <c r="Y11" s="2994"/>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150"/>
      <c r="Q12" s="1796">
        <f t="shared" si="6"/>
        <v>111</v>
      </c>
      <c r="R12" s="768" t="s">
        <v>21</v>
      </c>
      <c r="S12" s="769">
        <f t="shared" si="0"/>
        <v>100</v>
      </c>
      <c r="T12" s="768" t="s">
        <v>21</v>
      </c>
      <c r="U12" s="769">
        <f t="shared" si="1"/>
        <v>100</v>
      </c>
      <c r="V12" s="768" t="s">
        <v>21</v>
      </c>
      <c r="W12" s="769">
        <f t="shared" si="2"/>
        <v>100</v>
      </c>
      <c r="X12" s="770"/>
      <c r="Y12" s="2994"/>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50"/>
      <c r="Q13" s="1796">
        <f t="shared" si="6"/>
        <v>111</v>
      </c>
      <c r="R13" s="768" t="s">
        <v>21</v>
      </c>
      <c r="S13" s="769">
        <f t="shared" si="0"/>
        <v>100</v>
      </c>
      <c r="T13" s="768" t="s">
        <v>21</v>
      </c>
      <c r="U13" s="769">
        <f t="shared" si="1"/>
        <v>100</v>
      </c>
      <c r="V13" s="768" t="s">
        <v>21</v>
      </c>
      <c r="W13" s="769">
        <f t="shared" si="2"/>
        <v>100</v>
      </c>
      <c r="X13" s="770"/>
      <c r="Y13" s="2994"/>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50"/>
      <c r="Q14" s="1796">
        <f t="shared" si="6"/>
        <v>111</v>
      </c>
      <c r="R14" s="768" t="s">
        <v>21</v>
      </c>
      <c r="S14" s="769">
        <f t="shared" si="0"/>
        <v>100</v>
      </c>
      <c r="T14" s="768" t="s">
        <v>21</v>
      </c>
      <c r="U14" s="769">
        <f t="shared" si="1"/>
        <v>100</v>
      </c>
      <c r="V14" s="768" t="s">
        <v>21</v>
      </c>
      <c r="W14" s="769">
        <f t="shared" si="2"/>
        <v>100</v>
      </c>
      <c r="X14" s="770"/>
      <c r="Y14" s="2994"/>
      <c r="Z14" s="54">
        <f t="shared" si="7"/>
        <v>111</v>
      </c>
      <c r="AA14" s="771">
        <f t="shared" si="3"/>
        <v>1</v>
      </c>
      <c r="AB14" s="771">
        <f t="shared" si="4"/>
        <v>1</v>
      </c>
      <c r="AC14" s="771">
        <f t="shared" si="5"/>
        <v>1</v>
      </c>
    </row>
    <row r="15" spans="1:29" ht="57">
      <c r="A15" s="440" t="s">
        <v>2544</v>
      </c>
      <c r="B15" s="68" t="s">
        <v>2084</v>
      </c>
      <c r="C15" s="2603" t="str">
        <f>估价对象房地状况!C3</f>
        <v>周边有夏威夷·蓝湾、美丽乡村别墅、金谷iSOHO等居住社区，综合评价居住社区成熟度较好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48" t="s">
        <v>2545</v>
      </c>
      <c r="Q15" s="1811" t="str">
        <f t="shared" si="6"/>
        <v>居住社区成熟度</v>
      </c>
      <c r="R15" s="772" t="s">
        <v>21</v>
      </c>
      <c r="S15" s="773">
        <f t="shared" si="0"/>
        <v>100</v>
      </c>
      <c r="T15" s="772" t="s">
        <v>21</v>
      </c>
      <c r="U15" s="773">
        <f t="shared" si="1"/>
        <v>100</v>
      </c>
      <c r="V15" s="772" t="s">
        <v>21</v>
      </c>
      <c r="W15" s="773">
        <f t="shared" si="2"/>
        <v>100</v>
      </c>
      <c r="X15" s="1814"/>
      <c r="Y15" s="3141" t="s">
        <v>2545</v>
      </c>
      <c r="Z15" s="1815" t="str">
        <f t="shared" si="7"/>
        <v>居住社区成熟度</v>
      </c>
      <c r="AA15" s="1812">
        <f t="shared" si="3"/>
        <v>1</v>
      </c>
      <c r="AB15" s="1812">
        <f t="shared" si="4"/>
        <v>1</v>
      </c>
      <c r="AC15" s="1812">
        <f t="shared" si="5"/>
        <v>1</v>
      </c>
    </row>
    <row r="16" spans="1:29" ht="15">
      <c r="A16" s="428"/>
      <c r="B16" s="446"/>
      <c r="C16" s="447" t="s">
        <v>3057</v>
      </c>
      <c r="D16" s="448"/>
      <c r="E16" s="447" t="s">
        <v>3057</v>
      </c>
      <c r="F16" s="448"/>
      <c r="G16" s="447" t="s">
        <v>3057</v>
      </c>
      <c r="H16" s="450"/>
      <c r="I16" s="447" t="s">
        <v>3057</v>
      </c>
      <c r="J16" s="448"/>
      <c r="K16" s="2606"/>
      <c r="L16" s="1140"/>
      <c r="M16" s="1131"/>
      <c r="N16" s="1131"/>
      <c r="O16" s="1131"/>
      <c r="P16" s="3149"/>
      <c r="Q16" s="1811"/>
      <c r="R16" s="772"/>
      <c r="S16" s="773"/>
      <c r="T16" s="772"/>
      <c r="U16" s="773"/>
      <c r="V16" s="772"/>
      <c r="W16" s="773"/>
      <c r="X16" s="1814"/>
      <c r="Y16" s="3142"/>
      <c r="Z16" s="1815"/>
      <c r="AA16" s="1812">
        <v>1</v>
      </c>
      <c r="AB16" s="1812">
        <v>1</v>
      </c>
      <c r="AC16" s="1812">
        <v>1</v>
      </c>
    </row>
    <row r="17" spans="1:29" ht="42.75">
      <c r="A17" s="428"/>
      <c r="B17" s="451" t="s">
        <v>2090</v>
      </c>
      <c r="C17" s="2607" t="str">
        <f>估价对象房地状况!C6</f>
        <v>周边有302、快速直达专线102路等公交线路，交通便捷度一般。</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149"/>
      <c r="Q17" s="1811" t="str">
        <f>B17</f>
        <v>交通便捷度</v>
      </c>
      <c r="R17" s="772" t="s">
        <v>21</v>
      </c>
      <c r="S17" s="773">
        <f>F17</f>
        <v>102</v>
      </c>
      <c r="T17" s="772" t="s">
        <v>21</v>
      </c>
      <c r="U17" s="773">
        <f>H17</f>
        <v>100</v>
      </c>
      <c r="V17" s="772" t="s">
        <v>21</v>
      </c>
      <c r="W17" s="773">
        <f>J17</f>
        <v>102</v>
      </c>
      <c r="X17" s="1814"/>
      <c r="Y17" s="3142"/>
      <c r="Z17" s="1815" t="str">
        <f>Q17</f>
        <v>交通便捷度</v>
      </c>
      <c r="AA17" s="1812">
        <f t="shared" si="3"/>
        <v>0.98039215686274506</v>
      </c>
      <c r="AB17" s="1812">
        <f t="shared" si="4"/>
        <v>1</v>
      </c>
      <c r="AC17" s="1812">
        <f t="shared" si="5"/>
        <v>0.98039215686274506</v>
      </c>
    </row>
    <row r="18" spans="1:29" ht="15">
      <c r="A18" s="428"/>
      <c r="B18" s="456"/>
      <c r="C18" s="2608" t="s">
        <v>3058</v>
      </c>
      <c r="D18" s="450"/>
      <c r="E18" s="2608" t="s">
        <v>3057</v>
      </c>
      <c r="F18" s="450"/>
      <c r="G18" s="2608" t="s">
        <v>3058</v>
      </c>
      <c r="H18" s="448"/>
      <c r="I18" s="2608" t="s">
        <v>3057</v>
      </c>
      <c r="J18" s="448"/>
      <c r="K18" s="2606"/>
      <c r="L18" s="1140"/>
      <c r="M18" s="1131"/>
      <c r="N18" s="1131"/>
      <c r="O18" s="1131"/>
      <c r="P18" s="3149"/>
      <c r="Q18" s="1811"/>
      <c r="R18" s="772"/>
      <c r="S18" s="773"/>
      <c r="T18" s="772"/>
      <c r="U18" s="773"/>
      <c r="V18" s="772"/>
      <c r="W18" s="773"/>
      <c r="X18" s="1814"/>
      <c r="Y18" s="3142"/>
      <c r="Z18" s="1815"/>
      <c r="AA18" s="1812">
        <v>1</v>
      </c>
      <c r="AB18" s="1812">
        <v>1</v>
      </c>
      <c r="AC18" s="1812">
        <v>1</v>
      </c>
    </row>
    <row r="19" spans="1:29" ht="56.25" customHeight="1">
      <c r="A19" s="428"/>
      <c r="B19" s="451" t="s">
        <v>2089</v>
      </c>
      <c r="C19" s="2607" t="str">
        <f>估价对象房地状况!C7</f>
        <v>估价对象周边无银行、商场、学校、医院，有社区超市等，公共配套设施较差。</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149"/>
      <c r="Q19" s="1811" t="str">
        <f>B19</f>
        <v>公共配套设施</v>
      </c>
      <c r="R19" s="772" t="s">
        <v>21</v>
      </c>
      <c r="S19" s="773">
        <f>F19</f>
        <v>104</v>
      </c>
      <c r="T19" s="772" t="s">
        <v>21</v>
      </c>
      <c r="U19" s="773">
        <f>H19</f>
        <v>100</v>
      </c>
      <c r="V19" s="772" t="s">
        <v>21</v>
      </c>
      <c r="W19" s="773">
        <f>J19</f>
        <v>104</v>
      </c>
      <c r="X19" s="1814"/>
      <c r="Y19" s="3142"/>
      <c r="Z19" s="1815" t="str">
        <f>Q19</f>
        <v>公共配套设施</v>
      </c>
      <c r="AA19" s="1812">
        <f t="shared" si="3"/>
        <v>0.96153846153846156</v>
      </c>
      <c r="AB19" s="1812">
        <f t="shared" si="4"/>
        <v>1</v>
      </c>
      <c r="AC19" s="1812">
        <f t="shared" si="5"/>
        <v>0.96153846153846156</v>
      </c>
    </row>
    <row r="20" spans="1:29" ht="15">
      <c r="A20" s="428"/>
      <c r="B20" s="456"/>
      <c r="C20" s="447" t="s">
        <v>3059</v>
      </c>
      <c r="D20" s="448"/>
      <c r="E20" s="447" t="s">
        <v>3057</v>
      </c>
      <c r="F20" s="448"/>
      <c r="G20" s="447" t="s">
        <v>3059</v>
      </c>
      <c r="H20" s="448"/>
      <c r="I20" s="447" t="s">
        <v>3057</v>
      </c>
      <c r="J20" s="448"/>
      <c r="K20" s="2606"/>
      <c r="L20" s="1140"/>
      <c r="M20" s="1131"/>
      <c r="N20" s="1131"/>
      <c r="O20" s="1131"/>
      <c r="P20" s="3149"/>
      <c r="Q20" s="1811"/>
      <c r="R20" s="772"/>
      <c r="S20" s="773"/>
      <c r="T20" s="772"/>
      <c r="U20" s="773"/>
      <c r="V20" s="772"/>
      <c r="W20" s="773"/>
      <c r="X20" s="1814"/>
      <c r="Y20" s="3142"/>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49"/>
      <c r="Q21" s="1811" t="str">
        <f>B21</f>
        <v>基础设施水平</v>
      </c>
      <c r="R21" s="772" t="s">
        <v>17</v>
      </c>
      <c r="S21" s="773">
        <f>F21</f>
        <v>100</v>
      </c>
      <c r="T21" s="772" t="s">
        <v>17</v>
      </c>
      <c r="U21" s="773">
        <f>H21</f>
        <v>100</v>
      </c>
      <c r="V21" s="772" t="s">
        <v>17</v>
      </c>
      <c r="W21" s="773">
        <f>J21</f>
        <v>100</v>
      </c>
      <c r="X21" s="1814"/>
      <c r="Y21" s="3142"/>
      <c r="Z21" s="1815" t="str">
        <f>Q21</f>
        <v>基础设施水平</v>
      </c>
      <c r="AA21" s="1812">
        <f t="shared" ref="AA21" si="8">D21/F21</f>
        <v>1</v>
      </c>
      <c r="AB21" s="1812">
        <f t="shared" ref="AB21" si="9">D21/H21</f>
        <v>1</v>
      </c>
      <c r="AC21" s="1812">
        <f t="shared" ref="AC21" si="10">D21/J21</f>
        <v>1</v>
      </c>
    </row>
    <row r="22" spans="1:29" ht="15">
      <c r="A22" s="428"/>
      <c r="B22" s="1384"/>
      <c r="C22" s="2608" t="s">
        <v>3060</v>
      </c>
      <c r="D22" s="448"/>
      <c r="E22" s="2608" t="s">
        <v>3060</v>
      </c>
      <c r="F22" s="448"/>
      <c r="G22" s="2608" t="s">
        <v>3060</v>
      </c>
      <c r="H22" s="448"/>
      <c r="I22" s="2608" t="s">
        <v>3060</v>
      </c>
      <c r="J22" s="448"/>
      <c r="K22" s="2612"/>
      <c r="L22" s="1140"/>
      <c r="M22" s="1131"/>
      <c r="N22" s="1131"/>
      <c r="O22" s="1131"/>
      <c r="P22" s="3149"/>
      <c r="Q22" s="1811"/>
      <c r="R22" s="772"/>
      <c r="S22" s="773"/>
      <c r="T22" s="772"/>
      <c r="U22" s="773"/>
      <c r="V22" s="772"/>
      <c r="W22" s="773"/>
      <c r="X22" s="1814"/>
      <c r="Y22" s="3142"/>
      <c r="Z22" s="1815"/>
      <c r="AA22" s="1812">
        <v>1</v>
      </c>
      <c r="AB22" s="1812">
        <v>1</v>
      </c>
      <c r="AC22" s="1812">
        <v>1</v>
      </c>
    </row>
    <row r="23" spans="1:29" ht="42.75">
      <c r="A23" s="428"/>
      <c r="B23" s="451" t="s">
        <v>2093</v>
      </c>
      <c r="C23" s="2607" t="str">
        <f>估价对象房地状况!C9</f>
        <v>周边绿化均为城市绿化，无高等教育机构等，综合评价环境状况一般</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149"/>
      <c r="Q23" s="1811" t="str">
        <f>B23</f>
        <v>自然及人文环境</v>
      </c>
      <c r="R23" s="772" t="s">
        <v>21</v>
      </c>
      <c r="S23" s="773">
        <f>F23</f>
        <v>102</v>
      </c>
      <c r="T23" s="772" t="s">
        <v>21</v>
      </c>
      <c r="U23" s="773">
        <f>H23</f>
        <v>100</v>
      </c>
      <c r="V23" s="772" t="s">
        <v>21</v>
      </c>
      <c r="W23" s="773">
        <f>J23</f>
        <v>102</v>
      </c>
      <c r="X23" s="1814"/>
      <c r="Y23" s="3142"/>
      <c r="Z23" s="1815" t="str">
        <f>Q23</f>
        <v>自然及人文环境</v>
      </c>
      <c r="AA23" s="1812">
        <f>D23/F23</f>
        <v>0.98039215686274506</v>
      </c>
      <c r="AB23" s="1812">
        <f>D23/H23</f>
        <v>1</v>
      </c>
      <c r="AC23" s="1812">
        <f>D23/J23</f>
        <v>0.98039215686274506</v>
      </c>
    </row>
    <row r="24" spans="1:29" ht="15">
      <c r="A24" s="428"/>
      <c r="B24" s="456"/>
      <c r="C24" s="447" t="s">
        <v>3058</v>
      </c>
      <c r="D24" s="448"/>
      <c r="E24" s="447" t="s">
        <v>3057</v>
      </c>
      <c r="F24" s="448"/>
      <c r="G24" s="447" t="s">
        <v>3058</v>
      </c>
      <c r="H24" s="448"/>
      <c r="I24" s="447" t="s">
        <v>3057</v>
      </c>
      <c r="J24" s="448"/>
      <c r="K24" s="2606"/>
      <c r="L24" s="1140"/>
      <c r="M24" s="1131"/>
      <c r="N24" s="1131"/>
      <c r="O24" s="1131"/>
      <c r="P24" s="3149"/>
      <c r="Q24" s="1811"/>
      <c r="R24" s="772"/>
      <c r="S24" s="773"/>
      <c r="T24" s="772"/>
      <c r="U24" s="773"/>
      <c r="V24" s="772"/>
      <c r="W24" s="773"/>
      <c r="X24" s="1814"/>
      <c r="Y24" s="3142"/>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49"/>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42"/>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49"/>
      <c r="Q26" s="1811" t="str">
        <f t="shared" si="11"/>
        <v>朝向</v>
      </c>
      <c r="R26" s="772" t="s">
        <v>21</v>
      </c>
      <c r="S26" s="773">
        <f t="shared" si="12"/>
        <v>100</v>
      </c>
      <c r="T26" s="772" t="s">
        <v>21</v>
      </c>
      <c r="U26" s="773">
        <f t="shared" si="13"/>
        <v>100</v>
      </c>
      <c r="V26" s="772" t="s">
        <v>21</v>
      </c>
      <c r="W26" s="773">
        <f t="shared" si="14"/>
        <v>100</v>
      </c>
      <c r="X26" s="1814"/>
      <c r="Y26" s="3142"/>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49"/>
      <c r="Q27" s="1796">
        <f t="shared" si="11"/>
        <v>111</v>
      </c>
      <c r="R27" s="768" t="s">
        <v>21</v>
      </c>
      <c r="S27" s="769">
        <f t="shared" si="12"/>
        <v>100</v>
      </c>
      <c r="T27" s="768" t="s">
        <v>21</v>
      </c>
      <c r="U27" s="769">
        <f t="shared" si="13"/>
        <v>100</v>
      </c>
      <c r="V27" s="768" t="s">
        <v>21</v>
      </c>
      <c r="W27" s="769">
        <f t="shared" si="14"/>
        <v>100</v>
      </c>
      <c r="X27" s="770"/>
      <c r="Y27" s="3142"/>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49"/>
      <c r="Q28" s="1811">
        <f t="shared" si="11"/>
        <v>111</v>
      </c>
      <c r="R28" s="772" t="s">
        <v>21</v>
      </c>
      <c r="S28" s="773">
        <f t="shared" si="12"/>
        <v>100</v>
      </c>
      <c r="T28" s="772" t="s">
        <v>21</v>
      </c>
      <c r="U28" s="773">
        <f t="shared" si="13"/>
        <v>100</v>
      </c>
      <c r="V28" s="772" t="s">
        <v>21</v>
      </c>
      <c r="W28" s="773">
        <f t="shared" si="14"/>
        <v>100</v>
      </c>
      <c r="X28" s="1814"/>
      <c r="Y28" s="3142"/>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49"/>
      <c r="Q29" s="1811">
        <f t="shared" si="11"/>
        <v>111</v>
      </c>
      <c r="R29" s="772" t="s">
        <v>21</v>
      </c>
      <c r="S29" s="773">
        <f t="shared" si="12"/>
        <v>100</v>
      </c>
      <c r="T29" s="772" t="s">
        <v>21</v>
      </c>
      <c r="U29" s="773">
        <f t="shared" si="13"/>
        <v>100</v>
      </c>
      <c r="V29" s="772" t="s">
        <v>21</v>
      </c>
      <c r="W29" s="773">
        <f t="shared" si="14"/>
        <v>100</v>
      </c>
      <c r="X29" s="1814"/>
      <c r="Y29" s="3142"/>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49"/>
      <c r="Q30" s="1811">
        <f t="shared" si="11"/>
        <v>111</v>
      </c>
      <c r="R30" s="772" t="s">
        <v>21</v>
      </c>
      <c r="S30" s="773">
        <f t="shared" si="12"/>
        <v>100</v>
      </c>
      <c r="T30" s="772" t="s">
        <v>21</v>
      </c>
      <c r="U30" s="773">
        <f t="shared" si="13"/>
        <v>100</v>
      </c>
      <c r="V30" s="772" t="s">
        <v>21</v>
      </c>
      <c r="W30" s="773">
        <f t="shared" si="14"/>
        <v>100</v>
      </c>
      <c r="X30" s="1814"/>
      <c r="Y30" s="3142"/>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49"/>
      <c r="Q31" s="1811">
        <f t="shared" si="11"/>
        <v>111</v>
      </c>
      <c r="R31" s="772" t="s">
        <v>21</v>
      </c>
      <c r="S31" s="773">
        <f t="shared" si="12"/>
        <v>100</v>
      </c>
      <c r="T31" s="772" t="s">
        <v>21</v>
      </c>
      <c r="U31" s="773">
        <f t="shared" si="13"/>
        <v>100</v>
      </c>
      <c r="V31" s="772" t="s">
        <v>21</v>
      </c>
      <c r="W31" s="773">
        <f t="shared" si="14"/>
        <v>100</v>
      </c>
      <c r="X31" s="1814"/>
      <c r="Y31" s="3142"/>
      <c r="Z31" s="1815">
        <f t="shared" si="18"/>
        <v>111</v>
      </c>
      <c r="AA31" s="1812">
        <f t="shared" si="15"/>
        <v>1</v>
      </c>
      <c r="AB31" s="1812">
        <f t="shared" si="16"/>
        <v>1</v>
      </c>
      <c r="AC31" s="1812">
        <f t="shared" si="17"/>
        <v>1</v>
      </c>
    </row>
    <row r="32" spans="1:29" ht="15">
      <c r="A32" s="440" t="s">
        <v>2548</v>
      </c>
      <c r="B32" s="70" t="s">
        <v>2549</v>
      </c>
      <c r="C32" s="2617" t="s">
        <v>3061</v>
      </c>
      <c r="D32" s="467">
        <v>100</v>
      </c>
      <c r="E32" s="2617" t="s">
        <v>3061</v>
      </c>
      <c r="F32" s="461">
        <f>SUMIF(100:100,E32,101:101)-SUMIF(100:100,C32,101:101)+100</f>
        <v>100</v>
      </c>
      <c r="G32" s="2617" t="s">
        <v>3061</v>
      </c>
      <c r="H32" s="467">
        <f>SUMIF(100:100,G32,101:101)-SUMIF(100:100,C32,101:101)+100</f>
        <v>100</v>
      </c>
      <c r="I32" s="2617" t="s">
        <v>3061</v>
      </c>
      <c r="J32" s="435">
        <f>SUMIF(100:100,I32,101:101)-SUMIF(100:100,C32,101:101)+100</f>
        <v>100</v>
      </c>
      <c r="K32" s="426">
        <v>2</v>
      </c>
      <c r="L32" s="1140"/>
      <c r="M32" s="1131"/>
      <c r="N32" s="1131"/>
      <c r="O32" s="1131"/>
      <c r="P32" s="3143" t="s">
        <v>2550</v>
      </c>
      <c r="Q32" s="1811" t="str">
        <f t="shared" si="11"/>
        <v>建筑类型</v>
      </c>
      <c r="R32" s="772" t="s">
        <v>21</v>
      </c>
      <c r="S32" s="773">
        <f t="shared" si="12"/>
        <v>100</v>
      </c>
      <c r="T32" s="772" t="s">
        <v>21</v>
      </c>
      <c r="U32" s="773">
        <f t="shared" si="13"/>
        <v>100</v>
      </c>
      <c r="V32" s="772" t="s">
        <v>21</v>
      </c>
      <c r="W32" s="773">
        <f t="shared" si="14"/>
        <v>100</v>
      </c>
      <c r="X32" s="1814"/>
      <c r="Y32" s="3146"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144"/>
      <c r="Q33" s="774" t="str">
        <f t="shared" si="11"/>
        <v>项目建筑规模</v>
      </c>
      <c r="R33" s="775" t="s">
        <v>21</v>
      </c>
      <c r="S33" s="776">
        <f t="shared" si="12"/>
        <v>100</v>
      </c>
      <c r="T33" s="775" t="s">
        <v>21</v>
      </c>
      <c r="U33" s="776">
        <f t="shared" si="13"/>
        <v>100</v>
      </c>
      <c r="V33" s="775" t="s">
        <v>21</v>
      </c>
      <c r="W33" s="776">
        <f t="shared" si="14"/>
        <v>100</v>
      </c>
      <c r="X33" s="777"/>
      <c r="Y33" s="3146"/>
      <c r="Z33" s="778" t="str">
        <f t="shared" si="18"/>
        <v>项目建筑规模</v>
      </c>
      <c r="AA33" s="1812">
        <f t="shared" si="15"/>
        <v>1</v>
      </c>
      <c r="AB33" s="1812">
        <f t="shared" si="16"/>
        <v>1</v>
      </c>
      <c r="AC33" s="1812">
        <f t="shared" si="17"/>
        <v>1</v>
      </c>
    </row>
    <row r="34" spans="1:29" ht="15">
      <c r="A34" s="472"/>
      <c r="B34" s="422" t="s">
        <v>2552</v>
      </c>
      <c r="C34" s="2618" t="s">
        <v>3063</v>
      </c>
      <c r="D34" s="435">
        <v>100</v>
      </c>
      <c r="E34" s="2618" t="s">
        <v>3063</v>
      </c>
      <c r="F34" s="461">
        <f>SUMIF(105:105,E34,106:106)-SUMIF(105:105,C34,106:106)+100</f>
        <v>100</v>
      </c>
      <c r="G34" s="2618" t="s">
        <v>3063</v>
      </c>
      <c r="H34" s="435">
        <f>SUMIF(105:105,G34,106:106)-SUMIF(105:105,C34,106:106)+100</f>
        <v>100</v>
      </c>
      <c r="I34" s="2618" t="s">
        <v>3063</v>
      </c>
      <c r="J34" s="435">
        <f>SUMIF(105:105,I34,106:106)-SUMIF(105:105,C34,106:106)+100</f>
        <v>100</v>
      </c>
      <c r="K34" s="426">
        <v>2</v>
      </c>
      <c r="L34" s="1140"/>
      <c r="M34" s="1131"/>
      <c r="N34" s="1131"/>
      <c r="O34" s="1131"/>
      <c r="P34" s="3144"/>
      <c r="Q34" s="1811" t="str">
        <f t="shared" si="11"/>
        <v>建筑结构</v>
      </c>
      <c r="R34" s="772" t="s">
        <v>21</v>
      </c>
      <c r="S34" s="773">
        <f t="shared" si="12"/>
        <v>100</v>
      </c>
      <c r="T34" s="772" t="s">
        <v>21</v>
      </c>
      <c r="U34" s="773">
        <f t="shared" si="13"/>
        <v>100</v>
      </c>
      <c r="V34" s="772" t="s">
        <v>21</v>
      </c>
      <c r="W34" s="773">
        <f t="shared" si="14"/>
        <v>100</v>
      </c>
      <c r="X34" s="1814"/>
      <c r="Y34" s="3146"/>
      <c r="Z34" s="1815" t="str">
        <f t="shared" si="18"/>
        <v>建筑结构</v>
      </c>
      <c r="AA34" s="1812">
        <f t="shared" si="15"/>
        <v>1</v>
      </c>
      <c r="AB34" s="1812">
        <f t="shared" si="16"/>
        <v>1</v>
      </c>
      <c r="AC34" s="1812">
        <f t="shared" si="17"/>
        <v>1</v>
      </c>
    </row>
    <row r="35" spans="1:29" ht="15">
      <c r="A35" s="472"/>
      <c r="B35" s="422" t="s">
        <v>2553</v>
      </c>
      <c r="C35" s="2613" t="s">
        <v>3065</v>
      </c>
      <c r="D35" s="435">
        <v>100</v>
      </c>
      <c r="E35" s="2613" t="s">
        <v>3065</v>
      </c>
      <c r="F35" s="461">
        <f>SUMIF(107:107,E35,108:108)-SUMIF(107:107,C35,108:108)+100</f>
        <v>100</v>
      </c>
      <c r="G35" s="2613" t="s">
        <v>3065</v>
      </c>
      <c r="H35" s="435">
        <f>SUMIF(107:107,G35,108:108)-SUMIF(107:107,C35,108:108)+100</f>
        <v>100</v>
      </c>
      <c r="I35" s="2613" t="s">
        <v>3065</v>
      </c>
      <c r="J35" s="435">
        <f>SUMIF(107:107,I35,108:108)-SUMIF(107:107,C35,108:108)+100</f>
        <v>100</v>
      </c>
      <c r="K35" s="426">
        <v>2</v>
      </c>
      <c r="L35" s="1140"/>
      <c r="M35" s="1131"/>
      <c r="N35" s="1131"/>
      <c r="O35" s="1131"/>
      <c r="P35" s="3144"/>
      <c r="Q35" s="1811" t="str">
        <f t="shared" si="11"/>
        <v>建筑品质</v>
      </c>
      <c r="R35" s="772" t="s">
        <v>21</v>
      </c>
      <c r="S35" s="773">
        <f t="shared" si="12"/>
        <v>100</v>
      </c>
      <c r="T35" s="772" t="s">
        <v>21</v>
      </c>
      <c r="U35" s="773">
        <f t="shared" si="13"/>
        <v>100</v>
      </c>
      <c r="V35" s="772" t="s">
        <v>21</v>
      </c>
      <c r="W35" s="773">
        <f t="shared" si="14"/>
        <v>100</v>
      </c>
      <c r="X35" s="1814"/>
      <c r="Y35" s="3146"/>
      <c r="Z35" s="1815" t="str">
        <f t="shared" si="18"/>
        <v>建筑品质</v>
      </c>
      <c r="AA35" s="1812">
        <f t="shared" si="15"/>
        <v>1</v>
      </c>
      <c r="AB35" s="1812">
        <f t="shared" si="16"/>
        <v>1</v>
      </c>
      <c r="AC35" s="1812">
        <f t="shared" si="17"/>
        <v>1</v>
      </c>
    </row>
    <row r="36" spans="1:29" ht="15">
      <c r="A36" s="472"/>
      <c r="B36" s="422" t="s">
        <v>2554</v>
      </c>
      <c r="C36" s="2613" t="s">
        <v>3071</v>
      </c>
      <c r="D36" s="435">
        <v>100</v>
      </c>
      <c r="E36" s="2613" t="s">
        <v>3071</v>
      </c>
      <c r="F36" s="461">
        <f>SUMIF(109:109,E36,110:110)-SUMIF(109:109,C36,110:110)+100</f>
        <v>100</v>
      </c>
      <c r="G36" s="2613" t="s">
        <v>3071</v>
      </c>
      <c r="H36" s="435">
        <f>SUMIF(109:109,G36,110:110)-SUMIF(109:109,C36,110:110)+100</f>
        <v>100</v>
      </c>
      <c r="I36" s="2613" t="s">
        <v>3071</v>
      </c>
      <c r="J36" s="435">
        <f>SUMIF(109:109,I36,110:110)-SUMIF(109:109,C36,110:110)+100</f>
        <v>100</v>
      </c>
      <c r="K36" s="426">
        <v>2</v>
      </c>
      <c r="L36" s="1140"/>
      <c r="M36" s="1131"/>
      <c r="N36" s="1131"/>
      <c r="O36" s="1131"/>
      <c r="P36" s="3144"/>
      <c r="Q36" s="1811" t="str">
        <f t="shared" si="11"/>
        <v>公共部分装修</v>
      </c>
      <c r="R36" s="772" t="s">
        <v>21</v>
      </c>
      <c r="S36" s="773">
        <f t="shared" si="12"/>
        <v>100</v>
      </c>
      <c r="T36" s="772" t="s">
        <v>21</v>
      </c>
      <c r="U36" s="773">
        <f t="shared" si="13"/>
        <v>100</v>
      </c>
      <c r="V36" s="772" t="s">
        <v>21</v>
      </c>
      <c r="W36" s="773">
        <f t="shared" si="14"/>
        <v>100</v>
      </c>
      <c r="X36" s="1814"/>
      <c r="Y36" s="3146"/>
      <c r="Z36" s="1815" t="str">
        <f t="shared" si="18"/>
        <v>公共部分装修</v>
      </c>
      <c r="AA36" s="1812">
        <f t="shared" si="15"/>
        <v>1</v>
      </c>
      <c r="AB36" s="1812">
        <f t="shared" si="16"/>
        <v>1</v>
      </c>
      <c r="AC36" s="1812">
        <f t="shared" si="17"/>
        <v>1</v>
      </c>
    </row>
    <row r="37" spans="1:29" s="116" customFormat="1" ht="15">
      <c r="A37" s="473"/>
      <c r="B37" s="422" t="s">
        <v>2555</v>
      </c>
      <c r="C37" s="474">
        <f>'数据-取费表'!N6</f>
        <v>0.95</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144"/>
      <c r="Q37" s="1796" t="str">
        <f t="shared" si="11"/>
        <v>成新度</v>
      </c>
      <c r="R37" s="768" t="s">
        <v>21</v>
      </c>
      <c r="S37" s="769">
        <f t="shared" si="12"/>
        <v>100</v>
      </c>
      <c r="T37" s="768" t="s">
        <v>21</v>
      </c>
      <c r="U37" s="769">
        <f t="shared" si="13"/>
        <v>100</v>
      </c>
      <c r="V37" s="768" t="s">
        <v>21</v>
      </c>
      <c r="W37" s="769">
        <f t="shared" si="14"/>
        <v>100</v>
      </c>
      <c r="X37" s="770"/>
      <c r="Y37" s="3146"/>
      <c r="Z37" s="54" t="str">
        <f t="shared" si="18"/>
        <v>成新度</v>
      </c>
      <c r="AA37" s="771">
        <f t="shared" si="15"/>
        <v>1</v>
      </c>
      <c r="AB37" s="771">
        <f t="shared" si="16"/>
        <v>1</v>
      </c>
      <c r="AC37" s="771">
        <f t="shared" si="17"/>
        <v>1</v>
      </c>
    </row>
    <row r="38" spans="1:29" ht="15">
      <c r="A38" s="472"/>
      <c r="B38" s="422" t="s">
        <v>2556</v>
      </c>
      <c r="C38" s="2613" t="s">
        <v>3073</v>
      </c>
      <c r="D38" s="435">
        <v>100</v>
      </c>
      <c r="E38" s="2613" t="s">
        <v>3073</v>
      </c>
      <c r="F38" s="461">
        <f>SUMIF(114:114,E38,115:115)-SUMIF(114:114,C38,115:115)+100</f>
        <v>100</v>
      </c>
      <c r="G38" s="2613" t="s">
        <v>3073</v>
      </c>
      <c r="H38" s="435">
        <f>SUMIF(114:114,G38,115:115)-SUMIF(114:114,C38,115:115)+100</f>
        <v>100</v>
      </c>
      <c r="I38" s="2613" t="s">
        <v>3073</v>
      </c>
      <c r="J38" s="435">
        <f>SUMIF(114:114,I38,115:115)-SUMIF(114:114,C38,115:115)+100</f>
        <v>100</v>
      </c>
      <c r="K38" s="426">
        <v>2</v>
      </c>
      <c r="L38" s="1140"/>
      <c r="M38" s="1131"/>
      <c r="N38" s="1131"/>
      <c r="O38" s="1131"/>
      <c r="P38" s="3144" t="s">
        <v>2550</v>
      </c>
      <c r="Q38" s="1811" t="str">
        <f t="shared" si="11"/>
        <v>物业管理</v>
      </c>
      <c r="R38" s="772" t="s">
        <v>21</v>
      </c>
      <c r="S38" s="773">
        <f t="shared" si="12"/>
        <v>100</v>
      </c>
      <c r="T38" s="772" t="s">
        <v>21</v>
      </c>
      <c r="U38" s="773">
        <f t="shared" si="13"/>
        <v>100</v>
      </c>
      <c r="V38" s="772" t="s">
        <v>21</v>
      </c>
      <c r="W38" s="773">
        <f t="shared" si="14"/>
        <v>100</v>
      </c>
      <c r="X38" s="1814"/>
      <c r="Y38" s="3146" t="s">
        <v>2550</v>
      </c>
      <c r="Z38" s="1815" t="str">
        <f t="shared" si="18"/>
        <v>物业管理</v>
      </c>
      <c r="AA38" s="1812">
        <f t="shared" si="15"/>
        <v>1</v>
      </c>
      <c r="AB38" s="1812">
        <f t="shared" si="16"/>
        <v>1</v>
      </c>
      <c r="AC38" s="1812">
        <f t="shared" si="17"/>
        <v>1</v>
      </c>
    </row>
    <row r="39" spans="1:29" ht="15">
      <c r="A39" s="472"/>
      <c r="B39" s="422" t="s">
        <v>2557</v>
      </c>
      <c r="C39" s="2613" t="s">
        <v>3060</v>
      </c>
      <c r="D39" s="435">
        <v>100</v>
      </c>
      <c r="E39" s="2613" t="s">
        <v>3060</v>
      </c>
      <c r="F39" s="461">
        <f>SUMIF(116:116,E39,117:117)-SUMIF(116:116,C39,117:117)+100</f>
        <v>100</v>
      </c>
      <c r="G39" s="2613" t="s">
        <v>3060</v>
      </c>
      <c r="H39" s="435">
        <f>SUMIF(116:116,G39,117:117)-SUMIF(116:116,C39,117:117)+100</f>
        <v>100</v>
      </c>
      <c r="I39" s="2613" t="s">
        <v>3060</v>
      </c>
      <c r="J39" s="435">
        <f>SUMIF(116:116,I39,117:117)-SUMIF(116:116,C39,117:117)+100</f>
        <v>100</v>
      </c>
      <c r="K39" s="426">
        <v>1</v>
      </c>
      <c r="L39" s="1140"/>
      <c r="M39" s="1131"/>
      <c r="N39" s="1131"/>
      <c r="O39" s="1131"/>
      <c r="P39" s="3144"/>
      <c r="Q39" s="1811" t="str">
        <f t="shared" si="11"/>
        <v>市政基础设施</v>
      </c>
      <c r="R39" s="772" t="s">
        <v>21</v>
      </c>
      <c r="S39" s="773">
        <f t="shared" si="12"/>
        <v>100</v>
      </c>
      <c r="T39" s="772" t="s">
        <v>21</v>
      </c>
      <c r="U39" s="773">
        <f t="shared" si="13"/>
        <v>100</v>
      </c>
      <c r="V39" s="772" t="s">
        <v>21</v>
      </c>
      <c r="W39" s="773">
        <f t="shared" si="14"/>
        <v>100</v>
      </c>
      <c r="X39" s="1814"/>
      <c r="Y39" s="3146"/>
      <c r="Z39" s="1815" t="str">
        <f t="shared" si="18"/>
        <v>市政基础设施</v>
      </c>
      <c r="AA39" s="1812">
        <f t="shared" si="15"/>
        <v>1</v>
      </c>
      <c r="AB39" s="1812">
        <f t="shared" si="16"/>
        <v>1</v>
      </c>
      <c r="AC39" s="1812">
        <f t="shared" si="17"/>
        <v>1</v>
      </c>
    </row>
    <row r="40" spans="1:29" ht="15" hidden="1">
      <c r="A40" s="472"/>
      <c r="B40" s="422" t="s">
        <v>2558</v>
      </c>
      <c r="C40" s="2613" t="s">
        <v>3078</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44"/>
      <c r="Q40" s="1811" t="str">
        <f t="shared" si="11"/>
        <v>房型</v>
      </c>
      <c r="R40" s="772" t="s">
        <v>21</v>
      </c>
      <c r="S40" s="773">
        <f t="shared" si="12"/>
        <v>100</v>
      </c>
      <c r="T40" s="772" t="s">
        <v>21</v>
      </c>
      <c r="U40" s="773">
        <f t="shared" si="13"/>
        <v>100</v>
      </c>
      <c r="V40" s="772" t="s">
        <v>21</v>
      </c>
      <c r="W40" s="773">
        <f t="shared" si="14"/>
        <v>100</v>
      </c>
      <c r="X40" s="1814"/>
      <c r="Y40" s="3146"/>
      <c r="Z40" s="1815" t="str">
        <f t="shared" si="18"/>
        <v>房型</v>
      </c>
      <c r="AA40" s="1812">
        <f t="shared" si="15"/>
        <v>1</v>
      </c>
      <c r="AB40" s="1812">
        <f t="shared" si="16"/>
        <v>1</v>
      </c>
      <c r="AC40" s="1812">
        <f t="shared" si="17"/>
        <v>1</v>
      </c>
    </row>
    <row r="41" spans="1:29" s="471" customFormat="1" ht="28.5">
      <c r="A41" s="468"/>
      <c r="B41" s="422" t="s">
        <v>2559</v>
      </c>
      <c r="C41" s="469" t="s">
        <v>3080</v>
      </c>
      <c r="D41" s="135">
        <v>100</v>
      </c>
      <c r="E41" s="469" t="s">
        <v>3080</v>
      </c>
      <c r="F41" s="425">
        <f>SUMIF(120:120,E41,121:121)-SUMIF(120:120,C41,121:121)+100</f>
        <v>100</v>
      </c>
      <c r="G41" s="469" t="s">
        <v>3080</v>
      </c>
      <c r="H41" s="135">
        <f>SUMIF(120:120,G41,121:121)-SUMIF(120:120,C41,121:121)+100</f>
        <v>100</v>
      </c>
      <c r="I41" s="469" t="s">
        <v>3080</v>
      </c>
      <c r="J41" s="435">
        <f>SUMIF(120:120,I41,121:121)-SUMIF(120:120,C41,121:121)+100</f>
        <v>100</v>
      </c>
      <c r="K41" s="2601"/>
      <c r="L41" s="1138"/>
      <c r="M41" s="1141"/>
      <c r="N41" s="1141"/>
      <c r="O41" s="1141"/>
      <c r="P41" s="3144"/>
      <c r="Q41" s="774" t="str">
        <f t="shared" si="11"/>
        <v>单套/主力户型建筑面积</v>
      </c>
      <c r="R41" s="775" t="s">
        <v>21</v>
      </c>
      <c r="S41" s="776">
        <f t="shared" si="12"/>
        <v>100</v>
      </c>
      <c r="T41" s="775" t="s">
        <v>21</v>
      </c>
      <c r="U41" s="776">
        <f t="shared" si="13"/>
        <v>100</v>
      </c>
      <c r="V41" s="775" t="s">
        <v>21</v>
      </c>
      <c r="W41" s="776">
        <f t="shared" si="14"/>
        <v>100</v>
      </c>
      <c r="X41" s="777"/>
      <c r="Y41" s="3146"/>
      <c r="Z41" s="778" t="str">
        <f t="shared" si="18"/>
        <v>单套/主力户型建筑面积</v>
      </c>
      <c r="AA41" s="1812">
        <f t="shared" si="15"/>
        <v>1</v>
      </c>
      <c r="AB41" s="1812">
        <f t="shared" si="16"/>
        <v>1</v>
      </c>
      <c r="AC41" s="1812">
        <f t="shared" si="17"/>
        <v>1</v>
      </c>
    </row>
    <row r="42" spans="1:29" ht="15">
      <c r="A42" s="472"/>
      <c r="B42" s="422" t="s">
        <v>2560</v>
      </c>
      <c r="C42" s="2613" t="s">
        <v>3071</v>
      </c>
      <c r="D42" s="435">
        <v>100</v>
      </c>
      <c r="E42" s="2613" t="s">
        <v>3071</v>
      </c>
      <c r="F42" s="461">
        <f>SUMIF(122:122,E42,123:123)-SUMIF(122:122,C42,123:123)+100</f>
        <v>100</v>
      </c>
      <c r="G42" s="2613" t="s">
        <v>3071</v>
      </c>
      <c r="H42" s="435">
        <f>SUMIF(122:122,G42,123:123)-SUMIF(122:122,C42,123:123)+100</f>
        <v>100</v>
      </c>
      <c r="I42" s="2613" t="s">
        <v>3071</v>
      </c>
      <c r="J42" s="435">
        <f>SUMIF(122:122,I42,123:123)-SUMIF(122:122,C42,123:123)+100</f>
        <v>100</v>
      </c>
      <c r="K42" s="426">
        <v>2</v>
      </c>
      <c r="L42" s="1140"/>
      <c r="M42" s="1131"/>
      <c r="N42" s="1131"/>
      <c r="O42" s="1131"/>
      <c r="P42" s="3144"/>
      <c r="Q42" s="1811" t="str">
        <f t="shared" si="11"/>
        <v>内部装修</v>
      </c>
      <c r="R42" s="772" t="s">
        <v>21</v>
      </c>
      <c r="S42" s="773">
        <f t="shared" si="12"/>
        <v>100</v>
      </c>
      <c r="T42" s="772" t="s">
        <v>21</v>
      </c>
      <c r="U42" s="773">
        <f t="shared" si="13"/>
        <v>100</v>
      </c>
      <c r="V42" s="772" t="s">
        <v>21</v>
      </c>
      <c r="W42" s="773">
        <f t="shared" si="14"/>
        <v>100</v>
      </c>
      <c r="X42" s="1814"/>
      <c r="Y42" s="3146"/>
      <c r="Z42" s="1815" t="str">
        <f t="shared" si="18"/>
        <v>内部装修</v>
      </c>
      <c r="AA42" s="1812">
        <f t="shared" si="15"/>
        <v>1</v>
      </c>
      <c r="AB42" s="1812">
        <f t="shared" si="16"/>
        <v>1</v>
      </c>
      <c r="AC42" s="1812">
        <f t="shared" si="17"/>
        <v>1</v>
      </c>
    </row>
    <row r="43" spans="1:29" ht="15.75" thickBot="1">
      <c r="A43" s="472"/>
      <c r="B43" s="422" t="s">
        <v>2561</v>
      </c>
      <c r="C43" s="2613" t="s">
        <v>3058</v>
      </c>
      <c r="D43" s="435">
        <v>100</v>
      </c>
      <c r="E43" s="2613" t="s">
        <v>3058</v>
      </c>
      <c r="F43" s="461">
        <f>SUMIF(124:124,E43,125:125)-SUMIF(124:124,C43,125:125)+100</f>
        <v>100</v>
      </c>
      <c r="G43" s="2613" t="s">
        <v>3058</v>
      </c>
      <c r="H43" s="435">
        <f>SUMIF(124:124,G43,125:125)-SUMIF(124:124,C43,125:125)+100</f>
        <v>100</v>
      </c>
      <c r="I43" s="2613" t="s">
        <v>3058</v>
      </c>
      <c r="J43" s="435">
        <f>SUMIF(124:124,I43,125:125)-SUMIF(124:124,C43,125:125)+100</f>
        <v>100</v>
      </c>
      <c r="K43" s="426">
        <v>2</v>
      </c>
      <c r="L43" s="1140"/>
      <c r="M43" s="1131"/>
      <c r="N43" s="1131"/>
      <c r="O43" s="1131"/>
      <c r="P43" s="3144"/>
      <c r="Q43" s="1811" t="str">
        <f t="shared" si="11"/>
        <v>内部装修维护情况</v>
      </c>
      <c r="R43" s="772" t="s">
        <v>21</v>
      </c>
      <c r="S43" s="773">
        <f t="shared" si="12"/>
        <v>100</v>
      </c>
      <c r="T43" s="772" t="s">
        <v>21</v>
      </c>
      <c r="U43" s="773">
        <f t="shared" si="13"/>
        <v>100</v>
      </c>
      <c r="V43" s="772" t="s">
        <v>21</v>
      </c>
      <c r="W43" s="773">
        <f t="shared" si="14"/>
        <v>100</v>
      </c>
      <c r="X43" s="1814"/>
      <c r="Y43" s="3146"/>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144"/>
      <c r="Q44" s="1796">
        <f t="shared" si="11"/>
        <v>111</v>
      </c>
      <c r="R44" s="768" t="s">
        <v>21</v>
      </c>
      <c r="S44" s="769">
        <f t="shared" si="12"/>
        <v>100</v>
      </c>
      <c r="T44" s="768" t="s">
        <v>21</v>
      </c>
      <c r="U44" s="769">
        <f t="shared" si="13"/>
        <v>100</v>
      </c>
      <c r="V44" s="768" t="s">
        <v>21</v>
      </c>
      <c r="W44" s="769">
        <f t="shared" si="14"/>
        <v>100</v>
      </c>
      <c r="X44" s="770"/>
      <c r="Y44" s="3146"/>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44"/>
      <c r="Q45" s="1811">
        <f t="shared" si="11"/>
        <v>111</v>
      </c>
      <c r="R45" s="772" t="s">
        <v>21</v>
      </c>
      <c r="S45" s="773">
        <f t="shared" si="12"/>
        <v>100</v>
      </c>
      <c r="T45" s="772" t="s">
        <v>21</v>
      </c>
      <c r="U45" s="773">
        <f t="shared" si="13"/>
        <v>100</v>
      </c>
      <c r="V45" s="772" t="s">
        <v>21</v>
      </c>
      <c r="W45" s="773">
        <f t="shared" si="14"/>
        <v>100</v>
      </c>
      <c r="X45" s="1814"/>
      <c r="Y45" s="3146"/>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45"/>
      <c r="Q46" s="1811">
        <f t="shared" si="11"/>
        <v>111</v>
      </c>
      <c r="R46" s="772" t="s">
        <v>20</v>
      </c>
      <c r="S46" s="773">
        <f t="shared" si="12"/>
        <v>100</v>
      </c>
      <c r="T46" s="772" t="s">
        <v>20</v>
      </c>
      <c r="U46" s="773">
        <f t="shared" si="13"/>
        <v>100</v>
      </c>
      <c r="V46" s="772" t="s">
        <v>20</v>
      </c>
      <c r="W46" s="773">
        <f t="shared" si="14"/>
        <v>100</v>
      </c>
      <c r="X46" s="1814"/>
      <c r="Y46" s="3147"/>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139" t="str">
        <f>A47</f>
        <v>成交单价（元/平方米）</v>
      </c>
      <c r="Q47" s="3139"/>
      <c r="R47" s="3140">
        <f>E47</f>
        <v>24000</v>
      </c>
      <c r="S47" s="3140"/>
      <c r="T47" s="3140">
        <f>G47</f>
        <v>24000</v>
      </c>
      <c r="U47" s="3140"/>
      <c r="V47" s="3140">
        <f>I47</f>
        <v>25100</v>
      </c>
      <c r="W47" s="3140"/>
      <c r="X47" s="757"/>
      <c r="Y47" s="779"/>
      <c r="Z47" s="757"/>
      <c r="AA47" s="757"/>
      <c r="AB47" s="757"/>
      <c r="AC47" s="757"/>
    </row>
    <row r="48" spans="1:29" ht="15.75" thickBot="1">
      <c r="A48" s="486" t="s">
        <v>2563</v>
      </c>
      <c r="B48" s="487"/>
      <c r="C48" s="1413">
        <f>R49</f>
        <v>23598</v>
      </c>
      <c r="D48" s="1414"/>
      <c r="E48" s="1415">
        <f>R48</f>
        <v>22633</v>
      </c>
      <c r="F48" s="1415"/>
      <c r="G48" s="1413">
        <f>T48</f>
        <v>24490</v>
      </c>
      <c r="H48" s="1414"/>
      <c r="I48" s="1415">
        <f>V48</f>
        <v>23671</v>
      </c>
      <c r="J48" s="1414"/>
      <c r="K48" s="2620"/>
      <c r="L48" s="1143"/>
      <c r="M48" s="1144"/>
      <c r="N48" s="1144"/>
      <c r="O48" s="1144"/>
      <c r="P48" s="3139" t="str">
        <f>A48</f>
        <v>比较价值（元/平方米）</v>
      </c>
      <c r="Q48" s="3139"/>
      <c r="R48" s="3140">
        <f>IF(F1="售价",ROUND(PRODUCT(R47,AA7:AA46),0),ROUND(PRODUCT(R47,AA7:AA46),1))</f>
        <v>22633</v>
      </c>
      <c r="S48" s="3140"/>
      <c r="T48" s="3140">
        <f>IF(F1="售价",ROUND(PRODUCT(T47,AB7:AB46),0),ROUND(PRODUCT(T47,AB7:AB46),1))</f>
        <v>24490</v>
      </c>
      <c r="U48" s="3140"/>
      <c r="V48" s="3140">
        <f>IF(F1="售价",ROUND(PRODUCT(V47,AC7:AC46),0),ROUND(PRODUCT(V47,AC7:AC46),1))</f>
        <v>23671</v>
      </c>
      <c r="W48" s="3140"/>
      <c r="X48" s="757"/>
      <c r="Y48" s="757"/>
      <c r="Z48" s="757"/>
      <c r="AA48" s="757"/>
      <c r="AB48" s="757"/>
      <c r="AC48" s="757"/>
    </row>
    <row r="49" spans="1:29" ht="15.75" thickBot="1">
      <c r="A49" s="492" t="s">
        <v>2564</v>
      </c>
      <c r="B49" s="493"/>
      <c r="C49" s="1416">
        <f>R49</f>
        <v>23598</v>
      </c>
      <c r="D49" s="1417"/>
      <c r="E49" s="1417"/>
      <c r="F49" s="1417"/>
      <c r="G49" s="1417"/>
      <c r="H49" s="1417"/>
      <c r="I49" s="1417"/>
      <c r="J49" s="1417"/>
      <c r="K49" s="2621"/>
      <c r="L49" s="1143"/>
      <c r="M49" s="1144"/>
      <c r="N49" s="1144"/>
      <c r="O49" s="1144"/>
      <c r="P49" s="3136" t="str">
        <f>A49</f>
        <v>估价对象XX用房的比较价值（楼面单价，元/平方米）</v>
      </c>
      <c r="Q49" s="3137"/>
      <c r="R49" s="3138">
        <f>IF(F1="售价",ROUND(AVERAGE(R48:V48),0),ROUND(AVERAGE(R48:V48),1))</f>
        <v>23598</v>
      </c>
      <c r="S49" s="3138"/>
      <c r="T49" s="3138"/>
      <c r="U49" s="3138"/>
      <c r="V49" s="3138"/>
      <c r="W49" s="3138"/>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2566</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3062</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3064</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3" t="s">
        <v>3067</v>
      </c>
      <c r="D107" s="583" t="s">
        <v>3066</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3068</v>
      </c>
      <c r="D109" s="554" t="s">
        <v>3069</v>
      </c>
      <c r="E109" s="554" t="s">
        <v>3070</v>
      </c>
      <c r="F109" s="583" t="s">
        <v>3072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3074</v>
      </c>
      <c r="D114" s="554" t="s">
        <v>3075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3077</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K32" sqref="K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t="s">
        <v>3106</v>
      </c>
      <c r="E1" s="2655"/>
      <c r="F1" s="2585" t="s">
        <v>3137</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IF(C2="——",ROUND(C49*D3/10000,0),ROUND(C49*D3/10000,0)-D2)</f>
        <v>16343</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IF(C2="——",C49,ROUND(B2*10000/D3,0))</f>
        <v>39423</v>
      </c>
      <c r="C3" s="400" t="s">
        <v>2629</v>
      </c>
      <c r="D3" s="399">
        <f>IF(D1="",'数据-汇总表'!E3,SUMIF('数据-汇总表'!$C19:$C33,D1,'数据-汇总表'!$E19:$E33))</f>
        <v>4145.53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70" t="s">
        <v>2633</v>
      </c>
      <c r="AC4" s="3151" t="s">
        <v>2634</v>
      </c>
    </row>
    <row r="5" spans="1:29" ht="15">
      <c r="A5" s="404"/>
      <c r="B5" s="405"/>
      <c r="C5" s="3173" t="s">
        <v>3108</v>
      </c>
      <c r="D5" s="3174"/>
      <c r="E5" s="3180" t="s">
        <v>3109</v>
      </c>
      <c r="F5" s="3181"/>
      <c r="G5" s="3173" t="s">
        <v>3138</v>
      </c>
      <c r="H5" s="3174"/>
      <c r="I5" s="3173" t="s">
        <v>3139</v>
      </c>
      <c r="J5" s="3174"/>
      <c r="K5" s="610"/>
      <c r="L5" s="1130"/>
      <c r="M5" s="1131"/>
      <c r="N5" s="1131"/>
      <c r="O5" s="1131"/>
      <c r="P5" s="3160"/>
      <c r="Q5" s="3161"/>
      <c r="R5" s="3166"/>
      <c r="S5" s="3167"/>
      <c r="T5" s="3166"/>
      <c r="U5" s="3167"/>
      <c r="V5" s="3170"/>
      <c r="W5" s="3170"/>
      <c r="X5" s="1814"/>
      <c r="Y5" s="3166"/>
      <c r="Z5" s="3167"/>
      <c r="AA5" s="3152"/>
      <c r="AB5" s="3170"/>
      <c r="AC5" s="3152"/>
    </row>
    <row r="6" spans="1:29" ht="15.75" thickBot="1">
      <c r="A6" s="406"/>
      <c r="B6" s="407"/>
      <c r="C6" s="3171" t="s">
        <v>2531</v>
      </c>
      <c r="D6" s="3172"/>
      <c r="E6" s="3178" t="s">
        <v>2531</v>
      </c>
      <c r="F6" s="3179"/>
      <c r="G6" s="3171" t="s">
        <v>2531</v>
      </c>
      <c r="H6" s="3172"/>
      <c r="I6" s="3171" t="s">
        <v>2531</v>
      </c>
      <c r="J6" s="3172"/>
      <c r="K6" s="610" t="s">
        <v>2532</v>
      </c>
      <c r="L6" s="1130"/>
      <c r="M6" s="1131"/>
      <c r="N6" s="1131"/>
      <c r="O6" s="1131"/>
      <c r="P6" s="3162"/>
      <c r="Q6" s="3163"/>
      <c r="R6" s="3166"/>
      <c r="S6" s="3167"/>
      <c r="T6" s="3168"/>
      <c r="U6" s="3169"/>
      <c r="V6" s="3170"/>
      <c r="W6" s="3170"/>
      <c r="X6" s="1814"/>
      <c r="Y6" s="3168"/>
      <c r="Z6" s="3169"/>
      <c r="AA6" s="3153"/>
      <c r="AB6" s="3170"/>
      <c r="AC6" s="3153"/>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175" t="s">
        <v>2534</v>
      </c>
      <c r="Q7" s="3177"/>
      <c r="R7" s="768" t="s">
        <v>17</v>
      </c>
      <c r="S7" s="769">
        <f t="shared" ref="S7:S15" si="0">F7</f>
        <v>100</v>
      </c>
      <c r="T7" s="768" t="s">
        <v>17</v>
      </c>
      <c r="U7" s="769">
        <f t="shared" ref="U7:U15" si="1">H7</f>
        <v>100</v>
      </c>
      <c r="V7" s="768" t="s">
        <v>17</v>
      </c>
      <c r="W7" s="769">
        <f t="shared" ref="W7:W15" si="2">J7</f>
        <v>100</v>
      </c>
      <c r="X7" s="770"/>
      <c r="Y7" s="3175" t="s">
        <v>2534</v>
      </c>
      <c r="Z7" s="3176"/>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175" t="s">
        <v>2537</v>
      </c>
      <c r="Q8" s="3176"/>
      <c r="R8" s="768" t="s">
        <v>17</v>
      </c>
      <c r="S8" s="769">
        <f t="shared" si="0"/>
        <v>100</v>
      </c>
      <c r="T8" s="768" t="s">
        <v>17</v>
      </c>
      <c r="U8" s="769">
        <f t="shared" si="1"/>
        <v>100</v>
      </c>
      <c r="V8" s="768" t="s">
        <v>17</v>
      </c>
      <c r="W8" s="769">
        <f t="shared" si="2"/>
        <v>100</v>
      </c>
      <c r="X8" s="770"/>
      <c r="Y8" s="3175" t="s">
        <v>2537</v>
      </c>
      <c r="Z8" s="3176"/>
      <c r="AA8" s="771">
        <f t="shared" ref="AA8:AA46" si="3">D8/F8</f>
        <v>1</v>
      </c>
      <c r="AB8" s="771">
        <f t="shared" ref="AB8:AB46" si="4">D8/H8</f>
        <v>1</v>
      </c>
      <c r="AC8" s="771">
        <f t="shared" ref="AC8:AC46" si="5">D8/J8</f>
        <v>1</v>
      </c>
    </row>
    <row r="9" spans="1:29" s="116" customFormat="1">
      <c r="A9" s="415" t="s">
        <v>2538</v>
      </c>
      <c r="B9" s="70" t="s">
        <v>2539</v>
      </c>
      <c r="C9" s="416" t="s">
        <v>3135</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150"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771">
        <f t="shared" si="5"/>
        <v>1</v>
      </c>
    </row>
    <row r="10" spans="1:29" s="427" customFormat="1" ht="27">
      <c r="A10" s="421"/>
      <c r="B10" s="422" t="s">
        <v>2542</v>
      </c>
      <c r="C10" s="423" t="s">
        <v>3136</v>
      </c>
      <c r="D10" s="135">
        <v>100</v>
      </c>
      <c r="E10" s="424" t="s">
        <v>3136</v>
      </c>
      <c r="F10" s="425">
        <f>SUMIF(65:65,E10,66:66)-SUMIF(65:65,C10,66:66)+100</f>
        <v>100</v>
      </c>
      <c r="G10" s="423" t="s">
        <v>3136</v>
      </c>
      <c r="H10" s="135">
        <f>SUMIF(65:65,G10,66:66)-SUMIF(65:65,C10,66:66)+100</f>
        <v>100</v>
      </c>
      <c r="I10" s="423" t="s">
        <v>3136</v>
      </c>
      <c r="J10" s="135">
        <f>SUMIF(65:65,I10,66:66)-SUMIF(65:65,C10,66:66)+100</f>
        <v>100</v>
      </c>
      <c r="K10" s="612">
        <v>1</v>
      </c>
      <c r="L10" s="1135"/>
      <c r="M10" s="1136"/>
      <c r="N10" s="1136"/>
      <c r="O10" s="1136"/>
      <c r="P10" s="3150"/>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771">
        <f t="shared" si="5"/>
        <v>1</v>
      </c>
    </row>
    <row r="11" spans="1:29" ht="15.75" thickBot="1">
      <c r="A11" s="428"/>
      <c r="B11" s="422" t="s">
        <v>2543</v>
      </c>
      <c r="C11" s="429"/>
      <c r="D11" s="135">
        <v>100</v>
      </c>
      <c r="E11" s="2938"/>
      <c r="F11" s="425">
        <f>LOOKUP(E11,68:68,69:69)-LOOKUP(C11,68:68,69:69)+100</f>
        <v>100</v>
      </c>
      <c r="G11" s="2939"/>
      <c r="H11" s="135">
        <f>LOOKUP(G11,68:68,69:69)-LOOKUP(C11,68:68,69:69)+100</f>
        <v>100</v>
      </c>
      <c r="I11" s="2939"/>
      <c r="J11" s="135">
        <f>LOOKUP(I11,68:68,69:69)-LOOKUP(C11,68:68,69:69)+100</f>
        <v>100</v>
      </c>
      <c r="K11" s="612">
        <v>1</v>
      </c>
      <c r="L11" s="1138"/>
      <c r="M11" s="1131"/>
      <c r="N11" s="1131"/>
      <c r="O11" s="1131"/>
      <c r="P11" s="3150"/>
      <c r="Q11" s="1796" t="str">
        <f t="shared" si="6"/>
        <v>容积率</v>
      </c>
      <c r="R11" s="768" t="s">
        <v>17</v>
      </c>
      <c r="S11" s="769">
        <f t="shared" si="0"/>
        <v>100</v>
      </c>
      <c r="T11" s="768" t="s">
        <v>17</v>
      </c>
      <c r="U11" s="769">
        <f t="shared" si="1"/>
        <v>100</v>
      </c>
      <c r="V11" s="768" t="s">
        <v>17</v>
      </c>
      <c r="W11" s="769">
        <f t="shared" si="2"/>
        <v>100</v>
      </c>
      <c r="X11" s="770"/>
      <c r="Y11" s="2994"/>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50"/>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0"/>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0"/>
      <c r="Q14" s="1796">
        <f t="shared" si="6"/>
        <v>111</v>
      </c>
      <c r="R14" s="768" t="s">
        <v>17</v>
      </c>
      <c r="S14" s="769">
        <f t="shared" si="0"/>
        <v>100</v>
      </c>
      <c r="T14" s="768" t="s">
        <v>17</v>
      </c>
      <c r="U14" s="769">
        <f t="shared" si="1"/>
        <v>100</v>
      </c>
      <c r="V14" s="768" t="s">
        <v>17</v>
      </c>
      <c r="W14" s="769">
        <f t="shared" si="2"/>
        <v>100</v>
      </c>
      <c r="X14" s="770"/>
      <c r="Y14" s="2994"/>
      <c r="Z14" s="54">
        <f t="shared" si="7"/>
        <v>111</v>
      </c>
      <c r="AA14" s="771">
        <f t="shared" si="3"/>
        <v>1</v>
      </c>
      <c r="AB14" s="771">
        <f t="shared" si="4"/>
        <v>1</v>
      </c>
      <c r="AC14" s="771">
        <f t="shared" si="5"/>
        <v>1</v>
      </c>
    </row>
    <row r="15" spans="1:29" ht="99.75">
      <c r="A15" s="440" t="s">
        <v>2544</v>
      </c>
      <c r="B15" s="68" t="s">
        <v>2638</v>
      </c>
      <c r="C15" s="2603" t="str">
        <f>估价对象房地状况!C4</f>
        <v>估价对象位于燕郊，周边商业氛围成熟度一般，多集中于住宅底商，人流量较小，商业繁华度较差</v>
      </c>
      <c r="D15" s="441">
        <v>100</v>
      </c>
      <c r="E15" s="442"/>
      <c r="F15" s="443">
        <f>SUMIF(76:76,E16,77:77)-SUMIF(76:76,C16,77:77)+100</f>
        <v>104</v>
      </c>
      <c r="G15" s="444"/>
      <c r="H15" s="441">
        <f>SUMIF(76:76,G16,77:77)-SUMIF(76:76,C16,77:77)+100</f>
        <v>104</v>
      </c>
      <c r="I15" s="442"/>
      <c r="J15" s="441">
        <f>SUMIF(76:76,I16,77:77)-SUMIF(76:76,C16,77:77)+100</f>
        <v>106</v>
      </c>
      <c r="K15" s="614">
        <v>2</v>
      </c>
      <c r="L15" s="1140"/>
      <c r="M15" s="1131"/>
      <c r="N15" s="1131"/>
      <c r="O15" s="1131"/>
      <c r="P15" s="3148" t="s">
        <v>2545</v>
      </c>
      <c r="Q15" s="1811" t="str">
        <f t="shared" si="6"/>
        <v>商业繁华度</v>
      </c>
      <c r="R15" s="772" t="s">
        <v>17</v>
      </c>
      <c r="S15" s="773">
        <f t="shared" si="0"/>
        <v>104</v>
      </c>
      <c r="T15" s="772" t="s">
        <v>17</v>
      </c>
      <c r="U15" s="773">
        <f t="shared" si="1"/>
        <v>104</v>
      </c>
      <c r="V15" s="772" t="s">
        <v>17</v>
      </c>
      <c r="W15" s="773">
        <f t="shared" si="2"/>
        <v>106</v>
      </c>
      <c r="X15" s="1814"/>
      <c r="Y15" s="3141" t="s">
        <v>2545</v>
      </c>
      <c r="Z15" s="1815" t="str">
        <f t="shared" si="7"/>
        <v>商业繁华度</v>
      </c>
      <c r="AA15" s="1812">
        <f t="shared" si="3"/>
        <v>0.96153846153846156</v>
      </c>
      <c r="AB15" s="1812">
        <f t="shared" si="4"/>
        <v>0.96153846153846156</v>
      </c>
      <c r="AC15" s="1812">
        <f t="shared" si="5"/>
        <v>0.94339622641509435</v>
      </c>
    </row>
    <row r="16" spans="1:29" ht="15">
      <c r="A16" s="428"/>
      <c r="B16" s="446"/>
      <c r="C16" s="447" t="s">
        <v>3059</v>
      </c>
      <c r="D16" s="448"/>
      <c r="E16" s="447" t="s">
        <v>3057</v>
      </c>
      <c r="F16" s="449"/>
      <c r="G16" s="447" t="s">
        <v>3057</v>
      </c>
      <c r="H16" s="450"/>
      <c r="I16" s="447" t="s">
        <v>3156</v>
      </c>
      <c r="J16" s="448"/>
      <c r="K16" s="615"/>
      <c r="L16" s="1140"/>
      <c r="M16" s="1131"/>
      <c r="N16" s="1131"/>
      <c r="O16" s="1131"/>
      <c r="P16" s="3149"/>
      <c r="Q16" s="1811"/>
      <c r="R16" s="772"/>
      <c r="S16" s="773"/>
      <c r="T16" s="772"/>
      <c r="U16" s="773"/>
      <c r="V16" s="772"/>
      <c r="W16" s="773"/>
      <c r="X16" s="1814"/>
      <c r="Y16" s="3142"/>
      <c r="Z16" s="1815"/>
      <c r="AA16" s="1812">
        <v>1</v>
      </c>
      <c r="AB16" s="1812">
        <v>1</v>
      </c>
      <c r="AC16" s="1812">
        <v>1</v>
      </c>
    </row>
    <row r="17" spans="1:29" ht="57">
      <c r="A17" s="428"/>
      <c r="B17" s="451" t="s">
        <v>2090</v>
      </c>
      <c r="C17" s="2607" t="str">
        <f>估价对象房地状况!C6</f>
        <v>周边有302、快速直达专线102路等公交线路，交通便捷度一般。</v>
      </c>
      <c r="D17" s="450">
        <v>100</v>
      </c>
      <c r="E17" s="452"/>
      <c r="F17" s="453">
        <f>SUMIF(78:78,E18,79:79)-SUMIF(78:78,C18,79:79)+100</f>
        <v>100</v>
      </c>
      <c r="G17" s="454"/>
      <c r="H17" s="455">
        <f>SUMIF(78:78,G18,79:79)-SUMIF(78:78,C18,79:79)+100</f>
        <v>102</v>
      </c>
      <c r="I17" s="452"/>
      <c r="J17" s="455">
        <f>SUMIF(78:78,I18,79:79)-SUMIF(78:78,C18,79:79)+100</f>
        <v>102</v>
      </c>
      <c r="K17" s="614">
        <v>2</v>
      </c>
      <c r="L17" s="1140"/>
      <c r="M17" s="1131"/>
      <c r="N17" s="1131"/>
      <c r="O17" s="1131"/>
      <c r="P17" s="3149"/>
      <c r="Q17" s="1811" t="str">
        <f>B17</f>
        <v>交通便捷度</v>
      </c>
      <c r="R17" s="772" t="s">
        <v>17</v>
      </c>
      <c r="S17" s="773">
        <f>F17</f>
        <v>100</v>
      </c>
      <c r="T17" s="772" t="s">
        <v>17</v>
      </c>
      <c r="U17" s="773">
        <f>H17</f>
        <v>102</v>
      </c>
      <c r="V17" s="772" t="s">
        <v>17</v>
      </c>
      <c r="W17" s="773">
        <f>J17</f>
        <v>102</v>
      </c>
      <c r="X17" s="1814"/>
      <c r="Y17" s="3142"/>
      <c r="Z17" s="1815" t="str">
        <f>Q17</f>
        <v>交通便捷度</v>
      </c>
      <c r="AA17" s="1812">
        <f t="shared" si="3"/>
        <v>1</v>
      </c>
      <c r="AB17" s="1812">
        <f t="shared" si="4"/>
        <v>0.98039215686274506</v>
      </c>
      <c r="AC17" s="1812">
        <f t="shared" si="5"/>
        <v>0.98039215686274506</v>
      </c>
    </row>
    <row r="18" spans="1:29" ht="15">
      <c r="A18" s="428"/>
      <c r="B18" s="456"/>
      <c r="C18" s="2608" t="s">
        <v>3058</v>
      </c>
      <c r="D18" s="450"/>
      <c r="E18" s="2610" t="s">
        <v>3058</v>
      </c>
      <c r="F18" s="453"/>
      <c r="G18" s="2610" t="s">
        <v>3057</v>
      </c>
      <c r="H18" s="448"/>
      <c r="I18" s="2610" t="s">
        <v>3057</v>
      </c>
      <c r="J18" s="448"/>
      <c r="K18" s="615"/>
      <c r="L18" s="1140"/>
      <c r="M18" s="1131"/>
      <c r="N18" s="1131"/>
      <c r="O18" s="1131"/>
      <c r="P18" s="3149"/>
      <c r="Q18" s="1811"/>
      <c r="R18" s="772"/>
      <c r="S18" s="773"/>
      <c r="T18" s="772"/>
      <c r="U18" s="773"/>
      <c r="V18" s="772"/>
      <c r="W18" s="773"/>
      <c r="X18" s="1814"/>
      <c r="Y18" s="3142"/>
      <c r="Z18" s="1815"/>
      <c r="AA18" s="1812">
        <v>1</v>
      </c>
      <c r="AB18" s="1812">
        <v>1</v>
      </c>
      <c r="AC18" s="1812">
        <v>1</v>
      </c>
    </row>
    <row r="19" spans="1:29" ht="71.25">
      <c r="A19" s="428"/>
      <c r="B19" s="451" t="s">
        <v>2639</v>
      </c>
      <c r="C19" s="2607" t="str">
        <f>估价对象房地状况!C7</f>
        <v>估价对象周边无银行、商场、学校、医院，有社区超市等，公共配套设施较差。</v>
      </c>
      <c r="D19" s="455">
        <v>100</v>
      </c>
      <c r="E19" s="457"/>
      <c r="F19" s="458">
        <f>SUMIF(80:80,E20,81:81)-SUMIF(80:80,C20,81:81)+100</f>
        <v>104</v>
      </c>
      <c r="G19" s="459"/>
      <c r="H19" s="450">
        <f>SUMIF(80:80,G20,81:81)-SUMIF(80:80,C20,81:81)+100</f>
        <v>104</v>
      </c>
      <c r="I19" s="457"/>
      <c r="J19" s="450">
        <f>SUMIF(80:80,I20,81:81)-SUMIF(80:80,C20,81:81)+100</f>
        <v>104</v>
      </c>
      <c r="K19" s="614">
        <v>2</v>
      </c>
      <c r="L19" s="1140"/>
      <c r="M19" s="1131"/>
      <c r="N19" s="1131"/>
      <c r="O19" s="1131"/>
      <c r="P19" s="3149"/>
      <c r="Q19" s="1811" t="str">
        <f>B19</f>
        <v>公共配套设施</v>
      </c>
      <c r="R19" s="772" t="s">
        <v>17</v>
      </c>
      <c r="S19" s="773">
        <f>F19</f>
        <v>104</v>
      </c>
      <c r="T19" s="772" t="s">
        <v>17</v>
      </c>
      <c r="U19" s="773">
        <f>H19</f>
        <v>104</v>
      </c>
      <c r="V19" s="772" t="s">
        <v>17</v>
      </c>
      <c r="W19" s="773">
        <f>J19</f>
        <v>104</v>
      </c>
      <c r="X19" s="1814"/>
      <c r="Y19" s="3142"/>
      <c r="Z19" s="1815" t="str">
        <f>Q19</f>
        <v>公共配套设施</v>
      </c>
      <c r="AA19" s="1812">
        <f t="shared" si="3"/>
        <v>0.96153846153846156</v>
      </c>
      <c r="AB19" s="1812">
        <f t="shared" si="4"/>
        <v>0.96153846153846156</v>
      </c>
      <c r="AC19" s="1812">
        <f t="shared" si="5"/>
        <v>0.96153846153846156</v>
      </c>
    </row>
    <row r="20" spans="1:29" ht="15">
      <c r="A20" s="428"/>
      <c r="B20" s="456"/>
      <c r="C20" s="447" t="s">
        <v>3059</v>
      </c>
      <c r="D20" s="448"/>
      <c r="E20" s="2605" t="s">
        <v>3057</v>
      </c>
      <c r="F20" s="449"/>
      <c r="G20" s="2605" t="s">
        <v>3057</v>
      </c>
      <c r="H20" s="448"/>
      <c r="I20" s="2605" t="s">
        <v>3057</v>
      </c>
      <c r="J20" s="448"/>
      <c r="K20" s="615"/>
      <c r="L20" s="1140"/>
      <c r="M20" s="1131"/>
      <c r="N20" s="1131"/>
      <c r="O20" s="1131"/>
      <c r="P20" s="3149"/>
      <c r="Q20" s="1811"/>
      <c r="R20" s="772"/>
      <c r="S20" s="773"/>
      <c r="T20" s="772"/>
      <c r="U20" s="773"/>
      <c r="V20" s="772"/>
      <c r="W20" s="773"/>
      <c r="X20" s="1814"/>
      <c r="Y20" s="3142"/>
      <c r="Z20" s="1815"/>
      <c r="AA20" s="1812">
        <v>1</v>
      </c>
      <c r="AB20" s="1812">
        <v>1</v>
      </c>
      <c r="AC20" s="1812">
        <v>1</v>
      </c>
    </row>
    <row r="21" spans="1:29" ht="42.7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49"/>
      <c r="Q21" s="1811" t="str">
        <f>B21</f>
        <v>基础设施水平</v>
      </c>
      <c r="R21" s="772" t="s">
        <v>17</v>
      </c>
      <c r="S21" s="773">
        <f>F21</f>
        <v>100</v>
      </c>
      <c r="T21" s="772" t="s">
        <v>17</v>
      </c>
      <c r="U21" s="773">
        <f>H21</f>
        <v>100</v>
      </c>
      <c r="V21" s="772" t="s">
        <v>17</v>
      </c>
      <c r="W21" s="773">
        <f>J21</f>
        <v>100</v>
      </c>
      <c r="X21" s="1814"/>
      <c r="Y21" s="3142"/>
      <c r="Z21" s="1815" t="str">
        <f>Q21</f>
        <v>基础设施水平</v>
      </c>
      <c r="AA21" s="1812">
        <f t="shared" ref="AA21" si="8">D21/F21</f>
        <v>1</v>
      </c>
      <c r="AB21" s="1812">
        <f t="shared" ref="AB21" si="9">D21/H21</f>
        <v>1</v>
      </c>
      <c r="AC21" s="1812">
        <f t="shared" ref="AC21" si="10">D21/J21</f>
        <v>1</v>
      </c>
    </row>
    <row r="22" spans="1:29" ht="15">
      <c r="A22" s="428"/>
      <c r="B22" s="1384"/>
      <c r="C22" s="2608" t="s">
        <v>3060</v>
      </c>
      <c r="D22" s="448"/>
      <c r="E22" s="447" t="s">
        <v>3060</v>
      </c>
      <c r="F22" s="449"/>
      <c r="G22" s="447" t="s">
        <v>3060</v>
      </c>
      <c r="H22" s="448"/>
      <c r="I22" s="447" t="s">
        <v>3060</v>
      </c>
      <c r="J22" s="448"/>
      <c r="K22" s="1383"/>
      <c r="L22" s="1140"/>
      <c r="M22" s="1131"/>
      <c r="N22" s="1131"/>
      <c r="O22" s="1131"/>
      <c r="P22" s="3149"/>
      <c r="Q22" s="1811"/>
      <c r="R22" s="772"/>
      <c r="S22" s="773"/>
      <c r="T22" s="772"/>
      <c r="U22" s="773"/>
      <c r="V22" s="772"/>
      <c r="W22" s="773"/>
      <c r="X22" s="1814"/>
      <c r="Y22" s="3142"/>
      <c r="Z22" s="1815"/>
      <c r="AA22" s="1812">
        <v>1</v>
      </c>
      <c r="AB22" s="1812">
        <v>1</v>
      </c>
      <c r="AC22" s="1812">
        <v>1</v>
      </c>
    </row>
    <row r="23" spans="1:29" ht="71.25">
      <c r="A23" s="428"/>
      <c r="B23" s="451" t="s">
        <v>2093</v>
      </c>
      <c r="C23" s="2662" t="str">
        <f>估价对象房地状况!C9</f>
        <v>周边绿化均为城市绿化，无高等教育机构等，综合评价环境状况一般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0"/>
      <c r="M23" s="1131"/>
      <c r="N23" s="1131"/>
      <c r="O23" s="1131"/>
      <c r="P23" s="3149"/>
      <c r="Q23" s="1811" t="str">
        <f>B23</f>
        <v>自然及人文环境</v>
      </c>
      <c r="R23" s="772" t="s">
        <v>17</v>
      </c>
      <c r="S23" s="773">
        <f>F23</f>
        <v>102</v>
      </c>
      <c r="T23" s="772" t="s">
        <v>17</v>
      </c>
      <c r="U23" s="773">
        <f>H23</f>
        <v>102</v>
      </c>
      <c r="V23" s="772" t="s">
        <v>17</v>
      </c>
      <c r="W23" s="773">
        <f>J23</f>
        <v>102</v>
      </c>
      <c r="X23" s="1814"/>
      <c r="Y23" s="3142"/>
      <c r="Z23" s="1815" t="str">
        <f>Q23</f>
        <v>自然及人文环境</v>
      </c>
      <c r="AA23" s="1812">
        <f t="shared" si="3"/>
        <v>0.98039215686274506</v>
      </c>
      <c r="AB23" s="1812">
        <f t="shared" si="4"/>
        <v>0.98039215686274506</v>
      </c>
      <c r="AC23" s="1812">
        <f t="shared" si="5"/>
        <v>0.98039215686274506</v>
      </c>
    </row>
    <row r="24" spans="1:29" ht="15">
      <c r="A24" s="428"/>
      <c r="B24" s="456"/>
      <c r="C24" s="447" t="s">
        <v>3058</v>
      </c>
      <c r="D24" s="448"/>
      <c r="E24" s="2605" t="s">
        <v>3057</v>
      </c>
      <c r="F24" s="449"/>
      <c r="G24" s="2605" t="s">
        <v>3057</v>
      </c>
      <c r="H24" s="448"/>
      <c r="I24" s="2605" t="s">
        <v>3057</v>
      </c>
      <c r="J24" s="448"/>
      <c r="K24" s="615"/>
      <c r="L24" s="1140"/>
      <c r="M24" s="1131"/>
      <c r="N24" s="1131"/>
      <c r="O24" s="1131"/>
      <c r="P24" s="3149"/>
      <c r="Q24" s="1811"/>
      <c r="R24" s="772"/>
      <c r="S24" s="773"/>
      <c r="T24" s="772"/>
      <c r="U24" s="773"/>
      <c r="V24" s="772"/>
      <c r="W24" s="773"/>
      <c r="X24" s="1814"/>
      <c r="Y24" s="3142"/>
      <c r="Z24" s="1815"/>
      <c r="AA24" s="1812">
        <v>1</v>
      </c>
      <c r="AB24" s="1812">
        <v>1</v>
      </c>
      <c r="AC24" s="1812">
        <v>1</v>
      </c>
    </row>
    <row r="25" spans="1:29" ht="15">
      <c r="A25" s="428"/>
      <c r="B25" s="422" t="s">
        <v>2641</v>
      </c>
      <c r="C25" s="2945" t="s">
        <v>3162</v>
      </c>
      <c r="D25" s="2946">
        <v>100</v>
      </c>
      <c r="E25" s="2945" t="s">
        <v>3162</v>
      </c>
      <c r="F25" s="2947">
        <f>SUMIF(86:86,E25,87:87)-SUMIF(86:86,C25,87:87)+100</f>
        <v>100</v>
      </c>
      <c r="G25" s="2945" t="s">
        <v>3162</v>
      </c>
      <c r="H25" s="2946">
        <f>SUMIF(86:86,G25,87:87)-SUMIF(86:86,C25,87:87)+100</f>
        <v>100</v>
      </c>
      <c r="I25" s="2945" t="s">
        <v>3162</v>
      </c>
      <c r="J25" s="2946">
        <f>SUMIF(86:86,I25,87:87)-SUMIF(86:86,C25,87:87)+100</f>
        <v>100</v>
      </c>
      <c r="K25" s="612">
        <v>2</v>
      </c>
      <c r="L25" s="1140"/>
      <c r="M25" s="1131"/>
      <c r="N25" s="1131"/>
      <c r="O25" s="1131"/>
      <c r="P25" s="3149"/>
      <c r="Q25" s="1811" t="str">
        <f t="shared" ref="Q25:Q46" si="11">B25</f>
        <v>临街状况</v>
      </c>
      <c r="R25" s="772" t="s">
        <v>17</v>
      </c>
      <c r="S25" s="773">
        <f>F25</f>
        <v>100</v>
      </c>
      <c r="T25" s="772" t="s">
        <v>17</v>
      </c>
      <c r="U25" s="773">
        <f>H25</f>
        <v>100</v>
      </c>
      <c r="V25" s="772" t="s">
        <v>17</v>
      </c>
      <c r="W25" s="773">
        <f>J25</f>
        <v>100</v>
      </c>
      <c r="X25" s="1814"/>
      <c r="Y25" s="3142"/>
      <c r="Z25" s="1815" t="str">
        <f>Q25</f>
        <v>临街状况</v>
      </c>
      <c r="AA25" s="1812">
        <f t="shared" si="3"/>
        <v>1</v>
      </c>
      <c r="AB25" s="1812">
        <f t="shared" si="4"/>
        <v>1</v>
      </c>
      <c r="AC25" s="1812">
        <f t="shared" si="5"/>
        <v>1</v>
      </c>
    </row>
    <row r="26" spans="1:29" ht="15">
      <c r="A26" s="428"/>
      <c r="B26" s="2940" t="s">
        <v>3141</v>
      </c>
      <c r="C26" s="434" t="s">
        <v>3110</v>
      </c>
      <c r="D26" s="435">
        <v>100</v>
      </c>
      <c r="E26" s="434" t="s">
        <v>3110</v>
      </c>
      <c r="F26" s="461">
        <f>SUMIF(88:88,E26,89:89)-SUMIF(88:88,C26,89:89)+100</f>
        <v>100</v>
      </c>
      <c r="G26" s="434" t="s">
        <v>3110</v>
      </c>
      <c r="H26" s="435">
        <f>SUMIF(88:88,G26,89:89)-SUMIF(88:88,C26,89:89)+100</f>
        <v>100</v>
      </c>
      <c r="I26" s="434" t="s">
        <v>3110</v>
      </c>
      <c r="J26" s="435">
        <f>SUMIF(88:88,I26,89:89)-SUMIF(88:88,C26,89:89)+100</f>
        <v>100</v>
      </c>
      <c r="K26" s="613"/>
      <c r="L26" s="1140"/>
      <c r="M26" s="1131"/>
      <c r="N26" s="1131"/>
      <c r="O26" s="1131"/>
      <c r="P26" s="3149"/>
      <c r="Q26" s="1811" t="str">
        <f t="shared" si="11"/>
        <v>可视性</v>
      </c>
      <c r="R26" s="772" t="s">
        <v>17</v>
      </c>
      <c r="S26" s="773">
        <f>F26</f>
        <v>100</v>
      </c>
      <c r="T26" s="772" t="s">
        <v>17</v>
      </c>
      <c r="U26" s="773">
        <f>H26</f>
        <v>100</v>
      </c>
      <c r="V26" s="772" t="s">
        <v>17</v>
      </c>
      <c r="W26" s="773">
        <f>J26</f>
        <v>100</v>
      </c>
      <c r="X26" s="1814"/>
      <c r="Y26" s="3142"/>
      <c r="Z26" s="1815" t="str">
        <f>Q26</f>
        <v>可视性</v>
      </c>
      <c r="AA26" s="1812">
        <f t="shared" si="3"/>
        <v>1</v>
      </c>
      <c r="AB26" s="1812">
        <f t="shared" si="4"/>
        <v>1</v>
      </c>
      <c r="AC26" s="1812">
        <f t="shared" si="5"/>
        <v>1</v>
      </c>
    </row>
    <row r="27" spans="1:29" s="116" customFormat="1" ht="15">
      <c r="A27" s="431"/>
      <c r="B27" s="451" t="s">
        <v>2642</v>
      </c>
      <c r="C27" s="2663" t="s">
        <v>3059</v>
      </c>
      <c r="D27" s="462">
        <v>100</v>
      </c>
      <c r="E27" s="2663" t="s">
        <v>3057</v>
      </c>
      <c r="F27" s="464">
        <f>SUMIF(90:90,E27,91:91)-SUMIF(90:90,C27,91:91)+100</f>
        <v>106</v>
      </c>
      <c r="G27" s="2663" t="s">
        <v>3057</v>
      </c>
      <c r="H27" s="462">
        <f>SUMIF(90:90,G27,91:91)-SUMIF(90:90,C27,91:91)+100</f>
        <v>106</v>
      </c>
      <c r="I27" s="2663" t="s">
        <v>3156</v>
      </c>
      <c r="J27" s="462">
        <f>SUMIF(90:90,I27,91:91)-SUMIF(90:90,C27,91:91)+100</f>
        <v>109</v>
      </c>
      <c r="K27" s="612">
        <v>3</v>
      </c>
      <c r="L27" s="1132"/>
      <c r="M27" s="1133"/>
      <c r="N27" s="1133"/>
      <c r="O27" s="1133"/>
      <c r="P27" s="3149"/>
      <c r="Q27" s="1796" t="str">
        <f t="shared" si="11"/>
        <v>人流量</v>
      </c>
      <c r="R27" s="768" t="s">
        <v>17</v>
      </c>
      <c r="S27" s="769">
        <f>F27</f>
        <v>106</v>
      </c>
      <c r="T27" s="768" t="s">
        <v>17</v>
      </c>
      <c r="U27" s="769">
        <f>H27</f>
        <v>106</v>
      </c>
      <c r="V27" s="768" t="s">
        <v>17</v>
      </c>
      <c r="W27" s="769">
        <f>J27</f>
        <v>109</v>
      </c>
      <c r="X27" s="770"/>
      <c r="Y27" s="3142"/>
      <c r="Z27" s="54" t="str">
        <f>Q27</f>
        <v>人流量</v>
      </c>
      <c r="AA27" s="1812">
        <f>D27/F27</f>
        <v>0.94339622641509435</v>
      </c>
      <c r="AB27" s="1812">
        <f>D27/H27</f>
        <v>0.94339622641509435</v>
      </c>
      <c r="AC27" s="1812">
        <f>D27/J27</f>
        <v>0.91743119266055051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3111</v>
      </c>
      <c r="J28" s="435">
        <f>SUMIF(92:92,I28,93:93)-SUMIF(92:92,C28,93:93)+100</f>
        <v>80</v>
      </c>
      <c r="K28" s="613"/>
      <c r="L28" s="1140"/>
      <c r="M28" s="1131"/>
      <c r="N28" s="1131"/>
      <c r="O28" s="1131"/>
      <c r="P28" s="3149"/>
      <c r="Q28" s="1811" t="str">
        <f t="shared" si="11"/>
        <v>楼层</v>
      </c>
      <c r="R28" s="772" t="s">
        <v>17</v>
      </c>
      <c r="S28" s="773">
        <f t="shared" ref="S28:S46" si="12">F28</f>
        <v>100</v>
      </c>
      <c r="T28" s="772" t="s">
        <v>17</v>
      </c>
      <c r="U28" s="773">
        <f t="shared" ref="U28:U46" si="13">H28</f>
        <v>100</v>
      </c>
      <c r="V28" s="772" t="s">
        <v>17</v>
      </c>
      <c r="W28" s="773">
        <f t="shared" ref="W28:W46" si="14">J28</f>
        <v>80</v>
      </c>
      <c r="X28" s="1814"/>
      <c r="Y28" s="3142"/>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49"/>
      <c r="Q29" s="1811">
        <f t="shared" si="11"/>
        <v>111</v>
      </c>
      <c r="R29" s="772" t="s">
        <v>17</v>
      </c>
      <c r="S29" s="773">
        <f t="shared" si="12"/>
        <v>100</v>
      </c>
      <c r="T29" s="772" t="s">
        <v>17</v>
      </c>
      <c r="U29" s="773">
        <f t="shared" si="13"/>
        <v>100</v>
      </c>
      <c r="V29" s="772" t="s">
        <v>17</v>
      </c>
      <c r="W29" s="773">
        <f t="shared" si="14"/>
        <v>100</v>
      </c>
      <c r="X29" s="1814"/>
      <c r="Y29" s="3142"/>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49"/>
      <c r="Q30" s="1811">
        <f t="shared" si="11"/>
        <v>111</v>
      </c>
      <c r="R30" s="772" t="s">
        <v>17</v>
      </c>
      <c r="S30" s="773">
        <f t="shared" si="12"/>
        <v>100</v>
      </c>
      <c r="T30" s="772" t="s">
        <v>17</v>
      </c>
      <c r="U30" s="773">
        <f t="shared" si="13"/>
        <v>100</v>
      </c>
      <c r="V30" s="772" t="s">
        <v>17</v>
      </c>
      <c r="W30" s="773">
        <f t="shared" si="14"/>
        <v>100</v>
      </c>
      <c r="X30" s="1814"/>
      <c r="Y30" s="3142"/>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49"/>
      <c r="Q31" s="1811">
        <f t="shared" si="11"/>
        <v>111</v>
      </c>
      <c r="R31" s="772" t="s">
        <v>17</v>
      </c>
      <c r="S31" s="773">
        <f t="shared" si="12"/>
        <v>100</v>
      </c>
      <c r="T31" s="772" t="s">
        <v>17</v>
      </c>
      <c r="U31" s="773">
        <f t="shared" si="13"/>
        <v>100</v>
      </c>
      <c r="V31" s="772" t="s">
        <v>17</v>
      </c>
      <c r="W31" s="773">
        <f t="shared" si="14"/>
        <v>100</v>
      </c>
      <c r="X31" s="1814"/>
      <c r="Y31" s="3142"/>
      <c r="Z31" s="1815">
        <f t="shared" si="15"/>
        <v>111</v>
      </c>
      <c r="AA31" s="1812">
        <f t="shared" si="3"/>
        <v>1</v>
      </c>
      <c r="AB31" s="1812">
        <f t="shared" si="4"/>
        <v>1</v>
      </c>
      <c r="AC31" s="1812">
        <f t="shared" si="5"/>
        <v>1</v>
      </c>
    </row>
    <row r="32" spans="1:29" ht="15">
      <c r="A32" s="440" t="s">
        <v>2548</v>
      </c>
      <c r="B32" s="70" t="s">
        <v>2644</v>
      </c>
      <c r="C32" s="2617" t="s">
        <v>3113</v>
      </c>
      <c r="D32" s="467">
        <v>100</v>
      </c>
      <c r="E32" s="2617" t="s">
        <v>3114</v>
      </c>
      <c r="F32" s="461">
        <f>SUMIF(100:100,E32,101:101)-SUMIF(100:100,C32,101:101)+100</f>
        <v>97.5</v>
      </c>
      <c r="G32" s="2617" t="s">
        <v>3115</v>
      </c>
      <c r="H32" s="435">
        <f>SUMIF(100:100,G32,101:101)-SUMIF(100:100,C32,101:101)+100</f>
        <v>92.5</v>
      </c>
      <c r="I32" s="2617" t="s">
        <v>3115</v>
      </c>
      <c r="J32" s="467">
        <f>SUMIF(100:100,I32,101:101)-SUMIF(100:100,C32,101:101)+100</f>
        <v>92.5</v>
      </c>
      <c r="K32" s="612">
        <v>2.5</v>
      </c>
      <c r="L32" s="1140"/>
      <c r="M32" s="1131"/>
      <c r="N32" s="1131"/>
      <c r="O32" s="1131"/>
      <c r="P32" s="3143" t="s">
        <v>2550</v>
      </c>
      <c r="Q32" s="1811" t="str">
        <f t="shared" si="11"/>
        <v>商业类型</v>
      </c>
      <c r="R32" s="772" t="s">
        <v>17</v>
      </c>
      <c r="S32" s="773">
        <f t="shared" si="12"/>
        <v>97.5</v>
      </c>
      <c r="T32" s="772" t="s">
        <v>17</v>
      </c>
      <c r="U32" s="773">
        <f t="shared" si="13"/>
        <v>92.5</v>
      </c>
      <c r="V32" s="772" t="s">
        <v>17</v>
      </c>
      <c r="W32" s="773">
        <f t="shared" si="14"/>
        <v>92.5</v>
      </c>
      <c r="X32" s="1814"/>
      <c r="Y32" s="3146" t="s">
        <v>2550</v>
      </c>
      <c r="Z32" s="1815" t="str">
        <f t="shared" si="15"/>
        <v>商业类型</v>
      </c>
      <c r="AA32" s="1812">
        <f t="shared" si="3"/>
        <v>1.0256410256410255</v>
      </c>
      <c r="AB32" s="1812">
        <f t="shared" si="4"/>
        <v>1.0810810810810811</v>
      </c>
      <c r="AC32" s="1812">
        <f t="shared" si="5"/>
        <v>1.0810810810810811</v>
      </c>
    </row>
    <row r="33" spans="1:29" s="471" customFormat="1" ht="15">
      <c r="A33" s="468"/>
      <c r="B33" s="422" t="s">
        <v>2551</v>
      </c>
      <c r="C33" s="469">
        <f>典型户型修正!B24</f>
        <v>1381.84</v>
      </c>
      <c r="D33" s="135">
        <v>100</v>
      </c>
      <c r="E33" s="430">
        <v>265</v>
      </c>
      <c r="F33" s="425">
        <f>LOOKUP(E33,103:103,104:104)-LOOKUP(C33,103:103,104:104)+100</f>
        <v>101</v>
      </c>
      <c r="G33" s="429">
        <v>23</v>
      </c>
      <c r="H33" s="135">
        <f>LOOKUP(G33,103:103,104:104)-LOOKUP(C33,103:103,104:104)+100</f>
        <v>103</v>
      </c>
      <c r="I33" s="429">
        <v>126</v>
      </c>
      <c r="J33" s="135">
        <f>LOOKUP(I33,103:103,104:104)-LOOKUP(C33,103:103,104:104)+100</f>
        <v>102</v>
      </c>
      <c r="K33" s="613"/>
      <c r="L33" s="1138"/>
      <c r="M33" s="1141"/>
      <c r="N33" s="1141"/>
      <c r="O33" s="1141"/>
      <c r="P33" s="3144"/>
      <c r="Q33" s="774" t="str">
        <f t="shared" si="11"/>
        <v>项目建筑规模</v>
      </c>
      <c r="R33" s="775" t="s">
        <v>17</v>
      </c>
      <c r="S33" s="776">
        <f t="shared" si="12"/>
        <v>101</v>
      </c>
      <c r="T33" s="775" t="s">
        <v>17</v>
      </c>
      <c r="U33" s="776">
        <f t="shared" si="13"/>
        <v>103</v>
      </c>
      <c r="V33" s="775" t="s">
        <v>17</v>
      </c>
      <c r="W33" s="776">
        <f t="shared" si="14"/>
        <v>102</v>
      </c>
      <c r="X33" s="777"/>
      <c r="Y33" s="3146"/>
      <c r="Z33" s="778" t="str">
        <f t="shared" si="15"/>
        <v>项目建筑规模</v>
      </c>
      <c r="AA33" s="1812">
        <f t="shared" si="3"/>
        <v>0.99009900990099009</v>
      </c>
      <c r="AB33" s="1812">
        <f t="shared" si="4"/>
        <v>0.970873786407767</v>
      </c>
      <c r="AC33" s="1812">
        <f t="shared" si="5"/>
        <v>0.98039215686274506</v>
      </c>
    </row>
    <row r="34" spans="1:29" ht="15">
      <c r="A34" s="472"/>
      <c r="B34" s="422" t="s">
        <v>2552</v>
      </c>
      <c r="C34" s="2618" t="s">
        <v>3063</v>
      </c>
      <c r="D34" s="435">
        <v>100</v>
      </c>
      <c r="E34" s="2618" t="s">
        <v>3063</v>
      </c>
      <c r="F34" s="461">
        <f>SUMIF(105:105,E34,106:106)-SUMIF(105:105,C34,106:106)+100</f>
        <v>100</v>
      </c>
      <c r="G34" s="2618" t="s">
        <v>3063</v>
      </c>
      <c r="H34" s="435">
        <f>SUMIF(105:105,G34,106:106)-SUMIF(105:105,C34,106:106)+100</f>
        <v>100</v>
      </c>
      <c r="I34" s="2618" t="s">
        <v>3063</v>
      </c>
      <c r="J34" s="435">
        <f>SUMIF(105:105,I34,106:106)-SUMIF(105:105,C34,106:106)+100</f>
        <v>100</v>
      </c>
      <c r="K34" s="612">
        <v>2</v>
      </c>
      <c r="L34" s="1140"/>
      <c r="M34" s="1131"/>
      <c r="N34" s="1131"/>
      <c r="O34" s="1131"/>
      <c r="P34" s="3144"/>
      <c r="Q34" s="1811" t="str">
        <f t="shared" si="11"/>
        <v>建筑结构</v>
      </c>
      <c r="R34" s="772" t="s">
        <v>17</v>
      </c>
      <c r="S34" s="773">
        <f t="shared" si="12"/>
        <v>100</v>
      </c>
      <c r="T34" s="772" t="s">
        <v>17</v>
      </c>
      <c r="U34" s="773">
        <f t="shared" si="13"/>
        <v>100</v>
      </c>
      <c r="V34" s="772" t="s">
        <v>17</v>
      </c>
      <c r="W34" s="773">
        <f t="shared" si="14"/>
        <v>100</v>
      </c>
      <c r="X34" s="1814"/>
      <c r="Y34" s="3146"/>
      <c r="Z34" s="1815" t="str">
        <f t="shared" si="15"/>
        <v>建筑结构</v>
      </c>
      <c r="AA34" s="1812">
        <f t="shared" si="3"/>
        <v>1</v>
      </c>
      <c r="AB34" s="1812">
        <f t="shared" si="4"/>
        <v>1</v>
      </c>
      <c r="AC34" s="1812">
        <f t="shared" si="5"/>
        <v>1</v>
      </c>
    </row>
    <row r="35" spans="1:29" ht="15">
      <c r="A35" s="472"/>
      <c r="B35" s="422" t="s">
        <v>2645</v>
      </c>
      <c r="C35" s="2613" t="s">
        <v>3071</v>
      </c>
      <c r="D35" s="435">
        <v>100</v>
      </c>
      <c r="E35" s="2613" t="s">
        <v>3118</v>
      </c>
      <c r="F35" s="461">
        <f>SUMIF(107:107,E35,108:108)-SUMIF(107:107,C35,108:108)+100</f>
        <v>102</v>
      </c>
      <c r="G35" s="2613" t="s">
        <v>3118</v>
      </c>
      <c r="H35" s="435">
        <f>SUMIF(107:107,G35,108:108)-SUMIF(107:107,C35,108:108)+100</f>
        <v>102</v>
      </c>
      <c r="I35" s="2613" t="s">
        <v>3118</v>
      </c>
      <c r="J35" s="435">
        <f>SUMIF(107:107,I35,108:108)-SUMIF(107:107,C35,108:108)+100</f>
        <v>102</v>
      </c>
      <c r="K35" s="612">
        <v>1</v>
      </c>
      <c r="L35" s="1140"/>
      <c r="M35" s="1131"/>
      <c r="N35" s="1131"/>
      <c r="O35" s="1131"/>
      <c r="P35" s="3144"/>
      <c r="Q35" s="1811" t="str">
        <f t="shared" si="11"/>
        <v>公共部分装修</v>
      </c>
      <c r="R35" s="772" t="s">
        <v>17</v>
      </c>
      <c r="S35" s="773">
        <f t="shared" si="12"/>
        <v>102</v>
      </c>
      <c r="T35" s="772" t="s">
        <v>17</v>
      </c>
      <c r="U35" s="773">
        <f t="shared" si="13"/>
        <v>102</v>
      </c>
      <c r="V35" s="772" t="s">
        <v>17</v>
      </c>
      <c r="W35" s="773">
        <f t="shared" si="14"/>
        <v>102</v>
      </c>
      <c r="X35" s="1814"/>
      <c r="Y35" s="3146"/>
      <c r="Z35" s="1815" t="str">
        <f t="shared" si="15"/>
        <v>公共部分装修</v>
      </c>
      <c r="AA35" s="1812">
        <f t="shared" si="3"/>
        <v>0.98039215686274506</v>
      </c>
      <c r="AB35" s="1812">
        <f t="shared" si="4"/>
        <v>0.98039215686274506</v>
      </c>
      <c r="AC35" s="1812">
        <f t="shared" si="5"/>
        <v>0.98039215686274506</v>
      </c>
    </row>
    <row r="36" spans="1:29" ht="15">
      <c r="A36" s="472"/>
      <c r="B36" s="422" t="s">
        <v>2646</v>
      </c>
      <c r="C36" s="474">
        <f>'数据-取费表'!N6</f>
        <v>0.95</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144"/>
      <c r="Q36" s="1811" t="str">
        <f t="shared" si="11"/>
        <v>成新度</v>
      </c>
      <c r="R36" s="772" t="s">
        <v>17</v>
      </c>
      <c r="S36" s="773">
        <f t="shared" si="12"/>
        <v>99</v>
      </c>
      <c r="T36" s="772" t="s">
        <v>17</v>
      </c>
      <c r="U36" s="773">
        <f t="shared" si="13"/>
        <v>100</v>
      </c>
      <c r="V36" s="772" t="s">
        <v>17</v>
      </c>
      <c r="W36" s="773">
        <f t="shared" si="14"/>
        <v>99</v>
      </c>
      <c r="X36" s="1814"/>
      <c r="Y36" s="3146"/>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3060</v>
      </c>
      <c r="D37" s="135">
        <v>100</v>
      </c>
      <c r="E37" s="2613" t="s">
        <v>3124</v>
      </c>
      <c r="F37" s="461">
        <f>SUMIF(112:112,E37,113:113)-SUMIF(112:112,C37,113:113)+100</f>
        <v>99</v>
      </c>
      <c r="G37" s="2613" t="s">
        <v>3124</v>
      </c>
      <c r="H37" s="435">
        <f>SUMIF(112:112,G37,113:113)-SUMIF(112:112,C37,113:113)+100</f>
        <v>99</v>
      </c>
      <c r="I37" s="2613" t="s">
        <v>3124</v>
      </c>
      <c r="J37" s="435">
        <f>SUMIF(112:112,I37,113:113)-SUMIF(112:112,C37,113:113)+100</f>
        <v>99</v>
      </c>
      <c r="K37" s="612">
        <v>1</v>
      </c>
      <c r="L37" s="1132"/>
      <c r="M37" s="1133"/>
      <c r="N37" s="1133"/>
      <c r="O37" s="1133"/>
      <c r="P37" s="3144"/>
      <c r="Q37" s="1796" t="str">
        <f t="shared" si="11"/>
        <v>市政基础设施</v>
      </c>
      <c r="R37" s="768" t="s">
        <v>17</v>
      </c>
      <c r="S37" s="769">
        <f t="shared" si="12"/>
        <v>99</v>
      </c>
      <c r="T37" s="768" t="s">
        <v>17</v>
      </c>
      <c r="U37" s="769">
        <f t="shared" si="13"/>
        <v>99</v>
      </c>
      <c r="V37" s="768" t="s">
        <v>17</v>
      </c>
      <c r="W37" s="769">
        <f t="shared" si="14"/>
        <v>99</v>
      </c>
      <c r="X37" s="770"/>
      <c r="Y37" s="3146"/>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3126</v>
      </c>
      <c r="D38" s="435">
        <v>100</v>
      </c>
      <c r="E38" s="2613" t="s">
        <v>3126</v>
      </c>
      <c r="F38" s="461">
        <f>SUMIF(114:114,E38,115:115)-SUMIF(114:114,C38,115:115)+100</f>
        <v>100</v>
      </c>
      <c r="G38" s="2613" t="s">
        <v>3128</v>
      </c>
      <c r="H38" s="435">
        <f>SUMIF(114:114,G38,115:115)-SUMIF(114:114,C38,115:115)+100</f>
        <v>98</v>
      </c>
      <c r="I38" s="2613" t="s">
        <v>3128</v>
      </c>
      <c r="J38" s="435">
        <f>SUMIF(114:114,I38,115:115)-SUMIF(114:114,C38,115:115)+100</f>
        <v>98</v>
      </c>
      <c r="K38" s="612">
        <v>2</v>
      </c>
      <c r="L38" s="1140"/>
      <c r="M38" s="1131"/>
      <c r="N38" s="1131"/>
      <c r="O38" s="1131"/>
      <c r="P38" s="3144" t="s">
        <v>2550</v>
      </c>
      <c r="Q38" s="1811" t="str">
        <f t="shared" si="11"/>
        <v>业态</v>
      </c>
      <c r="R38" s="772" t="s">
        <v>17</v>
      </c>
      <c r="S38" s="773">
        <f t="shared" si="12"/>
        <v>100</v>
      </c>
      <c r="T38" s="772" t="s">
        <v>17</v>
      </c>
      <c r="U38" s="773">
        <f t="shared" si="13"/>
        <v>98</v>
      </c>
      <c r="V38" s="772" t="s">
        <v>17</v>
      </c>
      <c r="W38" s="773">
        <f t="shared" si="14"/>
        <v>98</v>
      </c>
      <c r="X38" s="1814"/>
      <c r="Y38" s="3146" t="s">
        <v>2550</v>
      </c>
      <c r="Z38" s="1815" t="str">
        <f t="shared" si="15"/>
        <v>业态</v>
      </c>
      <c r="AA38" s="1812">
        <f t="shared" si="3"/>
        <v>1</v>
      </c>
      <c r="AB38" s="1812">
        <f t="shared" si="4"/>
        <v>1.0204081632653061</v>
      </c>
      <c r="AC38" s="1812">
        <f t="shared" si="5"/>
        <v>1.0204081632653061</v>
      </c>
    </row>
    <row r="39" spans="1:29" ht="15">
      <c r="A39" s="472"/>
      <c r="B39" s="422" t="s">
        <v>2649</v>
      </c>
      <c r="C39" s="2613" t="s">
        <v>3130</v>
      </c>
      <c r="D39" s="435">
        <v>100</v>
      </c>
      <c r="E39" s="2613" t="s">
        <v>3130</v>
      </c>
      <c r="F39" s="461">
        <f>SUMIF(116:116,E39,117:117)-SUMIF(116:116,C39,117:117)+100</f>
        <v>100</v>
      </c>
      <c r="G39" s="2613" t="s">
        <v>3130</v>
      </c>
      <c r="H39" s="435">
        <f>SUMIF(116:116,G39,117:117)-SUMIF(116:116,C39,117:117)+100</f>
        <v>100</v>
      </c>
      <c r="I39" s="2613" t="s">
        <v>3130</v>
      </c>
      <c r="J39" s="435">
        <f>SUMIF(116:116,I39,117:117)-SUMIF(116:116,C39,117:117)+100</f>
        <v>100</v>
      </c>
      <c r="K39" s="612">
        <v>2</v>
      </c>
      <c r="L39" s="1140"/>
      <c r="M39" s="1131"/>
      <c r="N39" s="1131"/>
      <c r="O39" s="1131"/>
      <c r="P39" s="3144"/>
      <c r="Q39" s="1811" t="str">
        <f t="shared" si="11"/>
        <v>层高</v>
      </c>
      <c r="R39" s="772" t="s">
        <v>17</v>
      </c>
      <c r="S39" s="773">
        <f t="shared" si="12"/>
        <v>100</v>
      </c>
      <c r="T39" s="772" t="s">
        <v>17</v>
      </c>
      <c r="U39" s="773">
        <f t="shared" si="13"/>
        <v>100</v>
      </c>
      <c r="V39" s="772" t="s">
        <v>17</v>
      </c>
      <c r="W39" s="773">
        <f t="shared" si="14"/>
        <v>100</v>
      </c>
      <c r="X39" s="1814"/>
      <c r="Y39" s="3146"/>
      <c r="Z39" s="1815" t="str">
        <f t="shared" si="15"/>
        <v>层高</v>
      </c>
      <c r="AA39" s="1812">
        <f t="shared" si="3"/>
        <v>1</v>
      </c>
      <c r="AB39" s="1812">
        <f t="shared" si="4"/>
        <v>1</v>
      </c>
      <c r="AC39" s="1812">
        <f t="shared" si="5"/>
        <v>1</v>
      </c>
    </row>
    <row r="40" spans="1:29" ht="15" hidden="1">
      <c r="A40" s="472"/>
      <c r="B40" s="422" t="s">
        <v>2650</v>
      </c>
      <c r="C40" s="2948" t="s">
        <v>3132</v>
      </c>
      <c r="D40" s="2943">
        <v>100</v>
      </c>
      <c r="E40" s="2949">
        <f>F118</f>
        <v>0</v>
      </c>
      <c r="F40" s="2944">
        <f>SUMIF(118:118,E40,119:119)-SUMIF(118:118,C40,119:119)+100</f>
        <v>100</v>
      </c>
      <c r="G40" s="2949">
        <f>C118</f>
        <v>0</v>
      </c>
      <c r="H40" s="2943">
        <f>SUMIF(118:118,G40,119:119)-SUMIF(118:118,C40,119:119)+100</f>
        <v>100</v>
      </c>
      <c r="I40" s="2949">
        <f>E118</f>
        <v>0</v>
      </c>
      <c r="J40" s="2943">
        <f>SUMIF(118:118,I40,119:119)-SUMIF(118:118,C40,119:119)+100</f>
        <v>100</v>
      </c>
      <c r="K40" s="613"/>
      <c r="L40" s="1140"/>
      <c r="M40" s="1131"/>
      <c r="N40" s="1131"/>
      <c r="O40" s="1131"/>
      <c r="P40" s="3144"/>
      <c r="Q40" s="1811" t="str">
        <f t="shared" si="11"/>
        <v>单套建筑面积</v>
      </c>
      <c r="R40" s="772" t="s">
        <v>17</v>
      </c>
      <c r="S40" s="773">
        <f t="shared" si="12"/>
        <v>100</v>
      </c>
      <c r="T40" s="772" t="s">
        <v>17</v>
      </c>
      <c r="U40" s="773">
        <f t="shared" si="13"/>
        <v>100</v>
      </c>
      <c r="V40" s="772" t="s">
        <v>17</v>
      </c>
      <c r="W40" s="773">
        <f t="shared" si="14"/>
        <v>100</v>
      </c>
      <c r="X40" s="1814"/>
      <c r="Y40" s="3146"/>
      <c r="Z40" s="1815" t="str">
        <f t="shared" si="15"/>
        <v>单套建筑面积</v>
      </c>
      <c r="AA40" s="1812">
        <f t="shared" si="3"/>
        <v>1</v>
      </c>
      <c r="AB40" s="1812">
        <f t="shared" si="4"/>
        <v>1</v>
      </c>
      <c r="AC40" s="1812">
        <f t="shared" si="5"/>
        <v>1</v>
      </c>
    </row>
    <row r="41" spans="1:29" s="471" customFormat="1" ht="15">
      <c r="A41" s="468"/>
      <c r="B41" s="1813" t="s">
        <v>2651</v>
      </c>
      <c r="C41" s="616" t="s">
        <v>3133</v>
      </c>
      <c r="D41" s="435">
        <v>100</v>
      </c>
      <c r="E41" s="616" t="s">
        <v>3133</v>
      </c>
      <c r="F41" s="461">
        <f>SUMIF(120:120,E41,121:121)-SUMIF(120:120,C41,121:121)+100</f>
        <v>100</v>
      </c>
      <c r="G41" s="616" t="s">
        <v>3133</v>
      </c>
      <c r="H41" s="435">
        <f>SUMIF(120:120,G41,121:121)-SUMIF(120:120,C41,121:121)+100</f>
        <v>100</v>
      </c>
      <c r="I41" s="616" t="s">
        <v>3133</v>
      </c>
      <c r="J41" s="435">
        <f>SUMIF(120:120,I41,121:121)-SUMIF(120:120,C41,121:121)+100</f>
        <v>100</v>
      </c>
      <c r="K41" s="612">
        <v>2</v>
      </c>
      <c r="L41" s="1138"/>
      <c r="M41" s="1141"/>
      <c r="N41" s="1141"/>
      <c r="O41" s="1141"/>
      <c r="P41" s="3144"/>
      <c r="Q41" s="774" t="str">
        <f t="shared" si="11"/>
        <v>进深比</v>
      </c>
      <c r="R41" s="775" t="s">
        <v>17</v>
      </c>
      <c r="S41" s="776">
        <f t="shared" si="12"/>
        <v>100</v>
      </c>
      <c r="T41" s="775" t="s">
        <v>17</v>
      </c>
      <c r="U41" s="776">
        <f t="shared" si="13"/>
        <v>100</v>
      </c>
      <c r="V41" s="775" t="s">
        <v>17</v>
      </c>
      <c r="W41" s="776">
        <f t="shared" si="14"/>
        <v>100</v>
      </c>
      <c r="X41" s="777"/>
      <c r="Y41" s="3146"/>
      <c r="Z41" s="778" t="str">
        <f t="shared" si="15"/>
        <v>进深比</v>
      </c>
      <c r="AA41" s="1812">
        <f t="shared" si="3"/>
        <v>1</v>
      </c>
      <c r="AB41" s="1812">
        <f t="shared" si="4"/>
        <v>1</v>
      </c>
      <c r="AC41" s="1812">
        <f t="shared" si="5"/>
        <v>1</v>
      </c>
    </row>
    <row r="42" spans="1:29" ht="15">
      <c r="A42" s="472"/>
      <c r="B42" s="422" t="s">
        <v>2652</v>
      </c>
      <c r="C42" s="2613" t="s">
        <v>3071</v>
      </c>
      <c r="D42" s="435">
        <v>100</v>
      </c>
      <c r="E42" s="2613" t="s">
        <v>3118</v>
      </c>
      <c r="F42" s="461">
        <f>SUMIF(122:122,E42,123:123)-SUMIF(122:122,C42,123:123)+100</f>
        <v>102</v>
      </c>
      <c r="G42" s="2613" t="s">
        <v>3071</v>
      </c>
      <c r="H42" s="435">
        <f>SUMIF(122:122,G42,123:123)-SUMIF(122:122,C42,123:123)+100</f>
        <v>100</v>
      </c>
      <c r="I42" s="2613" t="s">
        <v>3120</v>
      </c>
      <c r="J42" s="435">
        <f>SUMIF(122:122,I42,123:123)-SUMIF(122:122,C42,123:123)+100</f>
        <v>101</v>
      </c>
      <c r="K42" s="612">
        <v>1</v>
      </c>
      <c r="L42" s="1140"/>
      <c r="M42" s="1131"/>
      <c r="N42" s="1131"/>
      <c r="O42" s="1131"/>
      <c r="P42" s="3144"/>
      <c r="Q42" s="1811" t="str">
        <f t="shared" si="11"/>
        <v>内部装修</v>
      </c>
      <c r="R42" s="772" t="s">
        <v>17</v>
      </c>
      <c r="S42" s="773">
        <f t="shared" si="12"/>
        <v>102</v>
      </c>
      <c r="T42" s="772" t="s">
        <v>17</v>
      </c>
      <c r="U42" s="773">
        <f t="shared" si="13"/>
        <v>100</v>
      </c>
      <c r="V42" s="772" t="s">
        <v>17</v>
      </c>
      <c r="W42" s="773">
        <f t="shared" si="14"/>
        <v>101</v>
      </c>
      <c r="X42" s="1814"/>
      <c r="Y42" s="3146"/>
      <c r="Z42" s="1815" t="str">
        <f t="shared" si="15"/>
        <v>内部装修</v>
      </c>
      <c r="AA42" s="1812">
        <f t="shared" si="3"/>
        <v>0.98039215686274506</v>
      </c>
      <c r="AB42" s="1812">
        <f t="shared" si="4"/>
        <v>1</v>
      </c>
      <c r="AC42" s="1812">
        <f t="shared" si="5"/>
        <v>0.99009900990099009</v>
      </c>
    </row>
    <row r="43" spans="1:29" ht="15.75" thickBot="1">
      <c r="A43" s="472"/>
      <c r="B43" s="422" t="s">
        <v>2561</v>
      </c>
      <c r="C43" s="2613" t="s">
        <v>3057</v>
      </c>
      <c r="D43" s="435">
        <v>100</v>
      </c>
      <c r="E43" s="2613" t="s">
        <v>3057</v>
      </c>
      <c r="F43" s="461">
        <f>SUMIF(124:124,E43,125:125)-SUMIF(124:124,C43,125:125)+100</f>
        <v>100</v>
      </c>
      <c r="G43" s="2613" t="s">
        <v>3057</v>
      </c>
      <c r="H43" s="435">
        <f>SUMIF(124:124,G43,125:125)-SUMIF(124:124,C43,125:125)+100</f>
        <v>100</v>
      </c>
      <c r="I43" s="2613" t="s">
        <v>3057</v>
      </c>
      <c r="J43" s="435">
        <f>SUMIF(124:124,I43,125:125)-SUMIF(124:124,C43,125:125)+100</f>
        <v>100</v>
      </c>
      <c r="K43" s="612">
        <v>2</v>
      </c>
      <c r="L43" s="1140"/>
      <c r="M43" s="1131"/>
      <c r="N43" s="1131"/>
      <c r="O43" s="1131"/>
      <c r="P43" s="3144"/>
      <c r="Q43" s="1811" t="str">
        <f t="shared" si="11"/>
        <v>内部装修维护情况</v>
      </c>
      <c r="R43" s="772" t="s">
        <v>17</v>
      </c>
      <c r="S43" s="773">
        <f t="shared" si="12"/>
        <v>100</v>
      </c>
      <c r="T43" s="772" t="s">
        <v>17</v>
      </c>
      <c r="U43" s="773">
        <f t="shared" si="13"/>
        <v>100</v>
      </c>
      <c r="V43" s="772" t="s">
        <v>17</v>
      </c>
      <c r="W43" s="773">
        <f t="shared" si="14"/>
        <v>100</v>
      </c>
      <c r="X43" s="1814"/>
      <c r="Y43" s="3146"/>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144"/>
      <c r="Q44" s="1796">
        <f t="shared" si="11"/>
        <v>111</v>
      </c>
      <c r="R44" s="768" t="s">
        <v>17</v>
      </c>
      <c r="S44" s="769">
        <f t="shared" si="12"/>
        <v>100</v>
      </c>
      <c r="T44" s="768" t="s">
        <v>17</v>
      </c>
      <c r="U44" s="769">
        <f t="shared" si="13"/>
        <v>100</v>
      </c>
      <c r="V44" s="768" t="s">
        <v>17</v>
      </c>
      <c r="W44" s="769">
        <f t="shared" si="14"/>
        <v>100</v>
      </c>
      <c r="X44" s="770"/>
      <c r="Y44" s="3146"/>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44"/>
      <c r="Q45" s="1811">
        <f t="shared" si="11"/>
        <v>111</v>
      </c>
      <c r="R45" s="772" t="s">
        <v>17</v>
      </c>
      <c r="S45" s="773">
        <f t="shared" si="12"/>
        <v>100</v>
      </c>
      <c r="T45" s="772" t="s">
        <v>17</v>
      </c>
      <c r="U45" s="773">
        <f t="shared" si="13"/>
        <v>100</v>
      </c>
      <c r="V45" s="772" t="s">
        <v>17</v>
      </c>
      <c r="W45" s="773">
        <f t="shared" si="14"/>
        <v>100</v>
      </c>
      <c r="X45" s="1814"/>
      <c r="Y45" s="3146"/>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45"/>
      <c r="Q46" s="1811">
        <f t="shared" si="11"/>
        <v>111</v>
      </c>
      <c r="R46" s="772" t="s">
        <v>17</v>
      </c>
      <c r="S46" s="773">
        <f t="shared" si="12"/>
        <v>100</v>
      </c>
      <c r="T46" s="772" t="s">
        <v>17</v>
      </c>
      <c r="U46" s="773">
        <f t="shared" si="13"/>
        <v>100</v>
      </c>
      <c r="V46" s="772" t="s">
        <v>17</v>
      </c>
      <c r="W46" s="773">
        <f t="shared" si="14"/>
        <v>100</v>
      </c>
      <c r="X46" s="1814"/>
      <c r="Y46" s="3147"/>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139" t="str">
        <f>A47</f>
        <v>成交单价（元/平方米）</v>
      </c>
      <c r="Q47" s="3139"/>
      <c r="R47" s="3170">
        <f>E47</f>
        <v>44531</v>
      </c>
      <c r="S47" s="3170"/>
      <c r="T47" s="3170">
        <f>G47</f>
        <v>43043</v>
      </c>
      <c r="U47" s="3170"/>
      <c r="V47" s="3170">
        <f>I47</f>
        <v>39285</v>
      </c>
      <c r="W47" s="3170"/>
      <c r="X47" s="757"/>
      <c r="Y47" s="779"/>
      <c r="Z47" s="757"/>
      <c r="AA47" s="757"/>
      <c r="AB47" s="757"/>
      <c r="AC47" s="757"/>
    </row>
    <row r="48" spans="1:29" ht="15.75" thickBot="1">
      <c r="A48" s="486" t="s">
        <v>2653</v>
      </c>
      <c r="B48" s="487"/>
      <c r="C48" s="1413">
        <f>R49</f>
        <v>39423</v>
      </c>
      <c r="D48" s="1414"/>
      <c r="E48" s="1415">
        <f>R48</f>
        <v>37922</v>
      </c>
      <c r="F48" s="1415"/>
      <c r="G48" s="1413">
        <f>T48</f>
        <v>38273</v>
      </c>
      <c r="H48" s="1414"/>
      <c r="I48" s="1415">
        <f>V48</f>
        <v>42074</v>
      </c>
      <c r="J48" s="1414"/>
      <c r="K48" s="782"/>
      <c r="L48" s="1143"/>
      <c r="M48" s="1144"/>
      <c r="N48" s="1131"/>
      <c r="O48" s="1144"/>
      <c r="P48" s="3139" t="str">
        <f>A48</f>
        <v>比较价值（元/平方米）</v>
      </c>
      <c r="Q48" s="3139"/>
      <c r="R48" s="3140">
        <f>IF(F1="售价",ROUND(PRODUCT(R47,AA7:AA46),0),ROUND(PRODUCT(R47,AA7:AA46),1))</f>
        <v>37922</v>
      </c>
      <c r="S48" s="3140"/>
      <c r="T48" s="3140">
        <f>IF(F1="售价",ROUND(PRODUCT(T47,AB7:AB46),0),ROUND(PRODUCT(T47,AB7:AB46),1))</f>
        <v>38273</v>
      </c>
      <c r="U48" s="3140"/>
      <c r="V48" s="3140">
        <f>IF(F1="售价",ROUND(PRODUCT(V47,AC7:AC46),0),ROUND(PRODUCT(V47,AC7:AC46),1))</f>
        <v>42074</v>
      </c>
      <c r="W48" s="3140"/>
      <c r="X48" s="757"/>
      <c r="Y48" s="757"/>
      <c r="Z48" s="757"/>
      <c r="AA48" s="757"/>
      <c r="AB48" s="757"/>
      <c r="AC48" s="757"/>
    </row>
    <row r="49" spans="1:29" ht="15.75" thickBot="1">
      <c r="A49" s="492" t="s">
        <v>2654</v>
      </c>
      <c r="B49" s="493"/>
      <c r="C49" s="1417">
        <f>R49</f>
        <v>39423</v>
      </c>
      <c r="D49" s="1417"/>
      <c r="E49" s="1417"/>
      <c r="F49" s="1417"/>
      <c r="G49" s="1417"/>
      <c r="H49" s="1417"/>
      <c r="I49" s="1417"/>
      <c r="J49" s="1417"/>
      <c r="K49" s="783"/>
      <c r="L49" s="1143"/>
      <c r="M49" s="1144"/>
      <c r="N49" s="1131"/>
      <c r="O49" s="1144"/>
      <c r="P49" s="3136" t="str">
        <f>A49</f>
        <v>估价对象XX用房的比较价值（楼面单价，元/平方米）</v>
      </c>
      <c r="Q49" s="3137"/>
      <c r="R49" s="3138">
        <f>IF(F1="售价",ROUND(AVERAGE(R48:V48),0),ROUND(AVERAGE(R48:V48),1))</f>
        <v>39423</v>
      </c>
      <c r="S49" s="3138"/>
      <c r="T49" s="3138"/>
      <c r="U49" s="3138"/>
      <c r="V49" s="3138"/>
      <c r="W49" s="3138"/>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0.17427878276462216</v>
      </c>
      <c r="F52" s="500" t="str">
        <f>IF(OR(E52&gt;=0.3,E52&lt;=-0.3),"超过30%","")</f>
        <v/>
      </c>
      <c r="G52" s="499">
        <f>IF(G47&lt;G48,G48/G47-1,G47/G48-1)</f>
        <v>0.12463094087215532</v>
      </c>
      <c r="H52" s="500" t="str">
        <f>IF(OR(G52&gt;=0.3,G52&lt;=-0.3),"超过30%","")</f>
        <v/>
      </c>
      <c r="I52" s="499">
        <f>IF(I47&lt;I48,I48/I47-1,I47/I48-1)</f>
        <v>7.0994018073055942E-2</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9.2558409366594319E-3</v>
      </c>
      <c r="F53" s="500" t="str">
        <f>IF(OR(E53&gt;=0.2,E53&lt;=-0.2),"超过20%","")</f>
        <v/>
      </c>
      <c r="G53" s="499">
        <f>IF(G48&lt;I48,I48/G48-1,G48/I48-1)</f>
        <v>9.9312831500013132E-2</v>
      </c>
      <c r="H53" s="500" t="str">
        <f>IF(OR(G53&gt;=0.2,G53&lt;=-0.2),"超过20%","")</f>
        <v/>
      </c>
      <c r="I53" s="499">
        <f>IF(I48&lt;E48,E48/I48-1,I48/E48-1)</f>
        <v>0.10948789620800592</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3275" t="s">
        <v>3163</v>
      </c>
      <c r="D86" s="554" t="s">
        <v>3140</v>
      </c>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6" t="s">
        <v>2582</v>
      </c>
      <c r="D88" s="2936" t="s">
        <v>2583</v>
      </c>
      <c r="E88" s="2936" t="s">
        <v>2584</v>
      </c>
      <c r="F88" s="2936" t="s">
        <v>2585</v>
      </c>
      <c r="G88" s="2936"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6" t="s">
        <v>2582</v>
      </c>
      <c r="D90" s="2936" t="s">
        <v>2583</v>
      </c>
      <c r="E90" s="2936" t="s">
        <v>2584</v>
      </c>
      <c r="F90" s="2936" t="s">
        <v>2585</v>
      </c>
      <c r="G90" s="2936"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7" t="s">
        <v>3112</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3157</v>
      </c>
      <c r="D100" s="530" t="s">
        <v>3158</v>
      </c>
      <c r="E100" s="3274" t="s">
        <v>3159</v>
      </c>
      <c r="F100" s="530" t="s">
        <v>3160</v>
      </c>
      <c r="G100" s="3274" t="s">
        <v>3161</v>
      </c>
      <c r="H100" s="530"/>
      <c r="I100" s="530"/>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0(含)-50</v>
      </c>
      <c r="D102" s="578" t="str">
        <f t="shared" ref="D102:L102" si="24">D103&amp;"(含)"&amp;"-"&amp;E103</f>
        <v>50(含)-200</v>
      </c>
      <c r="E102" s="578" t="str">
        <f t="shared" si="24"/>
        <v>200(含)-1000</v>
      </c>
      <c r="F102" s="578" t="str">
        <f t="shared" si="24"/>
        <v>1000(含)-5000</v>
      </c>
      <c r="G102" s="578" t="str">
        <f t="shared" si="24"/>
        <v xml:space="preserve">5000(含)- </v>
      </c>
      <c r="H102" s="578" t="str">
        <f t="shared" si="24"/>
        <v xml:space="preserve"> (含)-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50</v>
      </c>
      <c r="E103" s="595">
        <v>200</v>
      </c>
      <c r="F103" s="595">
        <v>1000</v>
      </c>
      <c r="G103" s="595">
        <v>5000</v>
      </c>
      <c r="H103" s="595" t="s">
        <v>3164</v>
      </c>
      <c r="I103" s="595"/>
      <c r="J103" s="596"/>
      <c r="K103" s="596"/>
      <c r="L103" s="597"/>
      <c r="M103" s="598"/>
      <c r="N103" s="1154"/>
      <c r="O103" s="1154"/>
      <c r="P103" s="2629"/>
      <c r="Q103" s="559"/>
    </row>
    <row r="104" spans="1:17" s="471" customFormat="1" ht="15.75" thickBot="1">
      <c r="A104" s="553"/>
      <c r="B104" s="543"/>
      <c r="C104" s="560">
        <v>100</v>
      </c>
      <c r="D104" s="536">
        <f>C104-1</f>
        <v>99</v>
      </c>
      <c r="E104" s="536">
        <f t="shared" ref="E104:G104" si="25">D104-1</f>
        <v>98</v>
      </c>
      <c r="F104" s="536">
        <f t="shared" si="25"/>
        <v>97</v>
      </c>
      <c r="G104" s="536">
        <f t="shared" si="25"/>
        <v>96</v>
      </c>
      <c r="H104" s="536"/>
      <c r="I104" s="536"/>
      <c r="J104" s="536"/>
      <c r="K104" s="536"/>
      <c r="L104" s="536"/>
      <c r="M104" s="537"/>
      <c r="N104" s="1153"/>
      <c r="O104" s="1153"/>
      <c r="P104" s="2629"/>
      <c r="Q104" s="559"/>
    </row>
    <row r="105" spans="1:17" ht="15" thickTop="1">
      <c r="A105" s="599"/>
      <c r="B105" s="538" t="s">
        <v>2599</v>
      </c>
      <c r="C105" s="554" t="s">
        <v>3116</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8"/>
      <c r="Q106" s="504"/>
    </row>
    <row r="107" spans="1:17" ht="15" thickTop="1">
      <c r="A107" s="599"/>
      <c r="B107" s="538" t="s">
        <v>2601</v>
      </c>
      <c r="C107" s="554" t="s">
        <v>3117</v>
      </c>
      <c r="D107" s="554" t="s">
        <v>3119</v>
      </c>
      <c r="E107" s="554" t="s">
        <v>3121</v>
      </c>
      <c r="F107" s="583" t="s">
        <v>3122</v>
      </c>
      <c r="G107" s="583"/>
      <c r="H107" s="583"/>
      <c r="I107" s="583"/>
      <c r="J107" s="583"/>
      <c r="K107" s="584"/>
      <c r="L107" s="585"/>
      <c r="M107" s="586"/>
      <c r="N107" s="1152"/>
      <c r="O107" s="1152"/>
      <c r="P107" s="2628"/>
      <c r="Q107" s="504"/>
    </row>
    <row r="108" spans="1:17" ht="15.75" thickBot="1">
      <c r="A108" s="534"/>
      <c r="B108" s="543"/>
      <c r="C108" s="544">
        <v>100</v>
      </c>
      <c r="D108" s="544">
        <f t="shared" ref="D108:M108" si="27">C108-$K35</f>
        <v>99</v>
      </c>
      <c r="E108" s="544">
        <f t="shared" si="27"/>
        <v>98</v>
      </c>
      <c r="F108" s="544">
        <f t="shared" si="27"/>
        <v>97</v>
      </c>
      <c r="G108" s="544">
        <f t="shared" si="27"/>
        <v>96</v>
      </c>
      <c r="H108" s="544">
        <f t="shared" si="27"/>
        <v>95</v>
      </c>
      <c r="I108" s="544">
        <f t="shared" si="27"/>
        <v>94</v>
      </c>
      <c r="J108" s="544">
        <f t="shared" si="27"/>
        <v>93</v>
      </c>
      <c r="K108" s="544">
        <f t="shared" si="27"/>
        <v>92</v>
      </c>
      <c r="L108" s="544">
        <f t="shared" si="27"/>
        <v>91</v>
      </c>
      <c r="M108" s="545">
        <f t="shared" si="27"/>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8"/>
      <c r="Q111" s="504"/>
    </row>
    <row r="112" spans="1:17" s="471" customFormat="1" ht="15" thickTop="1">
      <c r="A112" s="593"/>
      <c r="B112" s="538" t="s">
        <v>2603</v>
      </c>
      <c r="C112" s="554" t="s">
        <v>3123</v>
      </c>
      <c r="D112" s="554" t="s">
        <v>3125</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9"/>
      <c r="Q113" s="559"/>
    </row>
    <row r="114" spans="1:17" ht="15" thickTop="1">
      <c r="A114" s="599"/>
      <c r="B114" s="538" t="s">
        <v>2666</v>
      </c>
      <c r="C114" s="554" t="s">
        <v>3127</v>
      </c>
      <c r="D114" s="554" t="s">
        <v>3129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8"/>
      <c r="Q115" s="504"/>
    </row>
    <row r="116" spans="1:17" ht="15" thickTop="1">
      <c r="A116" s="599"/>
      <c r="B116" s="538" t="s">
        <v>2667</v>
      </c>
      <c r="C116" s="554" t="s">
        <v>3131</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c r="D118" s="625"/>
      <c r="E118" s="625"/>
      <c r="F118" s="625"/>
      <c r="G118" s="625"/>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2669</v>
      </c>
      <c r="C120" s="583" t="s">
        <v>3134</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9"/>
      <c r="Q121" s="559"/>
    </row>
    <row r="122" spans="1:17" ht="15" thickTop="1">
      <c r="A122" s="599"/>
      <c r="B122" s="538" t="s">
        <v>2605</v>
      </c>
      <c r="C122" s="554" t="s">
        <v>3117</v>
      </c>
      <c r="D122" s="554" t="s">
        <v>3119</v>
      </c>
      <c r="E122" s="554" t="s">
        <v>3121</v>
      </c>
      <c r="F122" s="583" t="s">
        <v>3122</v>
      </c>
      <c r="G122" s="583"/>
      <c r="H122" s="583"/>
      <c r="I122" s="583"/>
      <c r="J122" s="583"/>
      <c r="K122" s="584"/>
      <c r="L122" s="585"/>
      <c r="M122" s="586"/>
      <c r="N122" s="1152"/>
      <c r="O122" s="1152"/>
      <c r="P122" s="2628"/>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183" t="s">
        <v>2992</v>
      </c>
      <c r="D1" s="3184"/>
      <c r="E1" s="3184"/>
      <c r="F1" s="3184"/>
      <c r="G1" s="3184"/>
      <c r="H1" s="3184"/>
      <c r="I1" s="3184"/>
      <c r="J1" s="3184"/>
      <c r="K1" s="3184"/>
      <c r="L1" s="3184"/>
      <c r="M1" s="3184"/>
      <c r="N1" s="3184"/>
      <c r="O1" s="3184"/>
      <c r="P1" s="3184"/>
      <c r="Q1" s="3184"/>
      <c r="R1" s="3184"/>
      <c r="S1" s="3185"/>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70" t="str">
        <f>'比较法-商业'!B25</f>
        <v>临街状况</v>
      </c>
      <c r="C5" s="1216" t="str">
        <f>'比较法-商业'!C86</f>
        <v>单面临街</v>
      </c>
      <c r="D5" s="1216" t="str">
        <f>'比较法-商业'!D86</f>
        <v>不临街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3142</v>
      </c>
      <c r="C13" s="1216" t="s">
        <v>3144</v>
      </c>
      <c r="D13" s="1216" t="s">
        <v>3145</v>
      </c>
      <c r="E13" s="1216" t="s">
        <v>3147</v>
      </c>
      <c r="F13" s="1216" t="s">
        <v>3149</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11441</v>
      </c>
      <c r="C20" s="168"/>
      <c r="D20" s="2917" t="s">
        <v>70</v>
      </c>
      <c r="E20" s="1794"/>
      <c r="F20" s="1204" t="e">
        <f ca="1">SUMIF(INDIRECT("'"&amp;H20&amp;"'"&amp;"!A:A"),"承租人权益价值",INDIRECT("'"&amp;H20&amp;"'"&amp;"!c:c"))</f>
        <v>#REF!</v>
      </c>
      <c r="G20" s="1204" t="s">
        <v>3000</v>
      </c>
      <c r="H20" s="2918" t="s">
        <v>3150</v>
      </c>
      <c r="I20" s="168"/>
      <c r="J20" s="168"/>
      <c r="K20" s="168"/>
      <c r="L20" s="168"/>
      <c r="M20" s="168"/>
      <c r="N20" s="168"/>
      <c r="O20" s="168"/>
      <c r="P20" s="168"/>
      <c r="Q20" s="168"/>
      <c r="R20" s="786"/>
      <c r="S20" s="137"/>
    </row>
    <row r="21" spans="1:45" ht="15.75">
      <c r="A21" s="713" t="s">
        <v>3001</v>
      </c>
      <c r="B21" s="338">
        <f>R22</f>
        <v>27598</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4145.53</v>
      </c>
      <c r="C22" s="3128" t="s">
        <v>33</v>
      </c>
      <c r="D22" s="3129"/>
      <c r="E22" s="3129"/>
      <c r="F22" s="3129"/>
      <c r="G22" s="3129"/>
      <c r="H22" s="3129"/>
      <c r="I22" s="3129"/>
      <c r="J22" s="3129"/>
      <c r="K22" s="3129"/>
      <c r="L22" s="3129"/>
      <c r="M22" s="3129"/>
      <c r="N22" s="3129"/>
      <c r="O22" s="3129"/>
      <c r="P22" s="3129"/>
      <c r="Q22" s="3182"/>
      <c r="R22" s="714">
        <f>ROUND(S22*10000/B22,0)</f>
        <v>27598</v>
      </c>
      <c r="S22" s="23">
        <f>SUM(S24:S10000)</f>
        <v>11441</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1381.84</v>
      </c>
      <c r="C24" s="717">
        <v>1</v>
      </c>
      <c r="D24" s="718"/>
      <c r="E24" s="717">
        <v>1</v>
      </c>
      <c r="F24" s="718"/>
      <c r="G24" s="717">
        <v>1</v>
      </c>
      <c r="H24" s="718"/>
      <c r="I24" s="717">
        <v>1</v>
      </c>
      <c r="J24" s="718" t="s">
        <v>3071</v>
      </c>
      <c r="K24" s="717">
        <v>1</v>
      </c>
      <c r="L24" s="718" t="s">
        <v>3143</v>
      </c>
      <c r="M24" s="717">
        <v>1</v>
      </c>
      <c r="N24" s="718"/>
      <c r="O24" s="717">
        <v>1</v>
      </c>
      <c r="P24" s="718"/>
      <c r="Q24" s="717">
        <v>1</v>
      </c>
      <c r="R24" s="719">
        <f>'比较法-商业'!C49</f>
        <v>39423</v>
      </c>
      <c r="S24" s="717">
        <f t="shared" ref="S24:S54" si="11">ROUND(R24*B24/10000,0)</f>
        <v>5448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1381.84</v>
      </c>
      <c r="C25" s="23">
        <f>IF(B25="",1,(LOOKUP(B25,$3:$3,$4:$4)-LOOKUP($B$24,$3:$3,$4:$4)+100)/100)</f>
        <v>1</v>
      </c>
      <c r="D25" s="718"/>
      <c r="E25" s="23">
        <f>(SUMIF($5:$5,D25,$6:$6)-SUMIF($5:$5,$D$24,$6:$6)+100)/100</f>
        <v>1</v>
      </c>
      <c r="F25" s="718"/>
      <c r="G25" s="23">
        <f>(SUMIF($7:$7,F25,$8:$8)-SUMIF($7:$7,$F$24,$8:$8)+100)/100</f>
        <v>1</v>
      </c>
      <c r="H25" s="718"/>
      <c r="I25" s="23">
        <f>(SUMIF($9:$9,H25,$10:$10)-SUMIF($9:$9,$H$24,$10:$10)+100)/100</f>
        <v>1</v>
      </c>
      <c r="J25" s="718" t="s">
        <v>3071</v>
      </c>
      <c r="K25" s="23">
        <f>(SUMIF($11:$11,J25,$12:$12)-SUMIF($11:$11,$J$24,$12:$12)+100)/100</f>
        <v>1</v>
      </c>
      <c r="L25" s="718" t="s">
        <v>3146</v>
      </c>
      <c r="M25" s="23">
        <f>(SUMIF($13:$13,L25,$14:$14)-SUMIF($13:$13,$L$24,$14:$14)+100)/100</f>
        <v>0.6</v>
      </c>
      <c r="N25" s="718"/>
      <c r="O25" s="23">
        <f>(SUMIF($15:$15,N25,$16:$16)-SUMIF($15:$15,$N$24,$16:$16)+100)/100</f>
        <v>1</v>
      </c>
      <c r="P25" s="718"/>
      <c r="Q25" s="23">
        <f>(SUMIF($17:$17,P25,$18:$18)-SUMIF($17:$17,$P$24,$18:$18)+100)/100</f>
        <v>1</v>
      </c>
      <c r="R25" s="714">
        <f>IF(B25="",0,ROUND($R$24*C25*E25*G25*I25*K25*M25*O25*Q25,0))</f>
        <v>23654</v>
      </c>
      <c r="S25" s="361">
        <f t="shared" si="11"/>
        <v>3269</v>
      </c>
    </row>
    <row r="26" spans="1:45">
      <c r="A26" s="159"/>
      <c r="B26" s="58">
        <f>'数据-汇总表'!E3-典型户型修正!B24-典型户型修正!B25</f>
        <v>1381.8499999999997</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3071</v>
      </c>
      <c r="K26" s="23">
        <f t="shared" ref="K26:K89" si="16">(SUMIF($11:$11,J26,$12:$12)-SUMIF($11:$11,$J$24,$12:$12)+100)/100</f>
        <v>1</v>
      </c>
      <c r="L26" s="718" t="s">
        <v>3148</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19712</v>
      </c>
      <c r="S26" s="361">
        <f t="shared" si="11"/>
        <v>2724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3106</v>
      </c>
      <c r="D1" s="1821" t="s">
        <v>70</v>
      </c>
      <c r="E1" s="1822" t="s">
        <v>1388</v>
      </c>
      <c r="F1" s="1283">
        <f ca="1">J53</f>
        <v>35.47</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7133</v>
      </c>
      <c r="C2" s="1846" t="s">
        <v>1518</v>
      </c>
      <c r="D2" s="1846"/>
      <c r="E2" s="1847"/>
      <c r="F2" s="1848"/>
      <c r="G2" s="1849"/>
      <c r="H2" s="1841"/>
      <c r="I2" s="1841"/>
      <c r="J2" s="1841"/>
      <c r="K2" s="1842"/>
      <c r="L2" s="1841"/>
      <c r="M2" s="1841"/>
    </row>
    <row r="3" spans="1:37" ht="18" customHeight="1" thickBot="1">
      <c r="A3" s="1850" t="s">
        <v>1519</v>
      </c>
      <c r="B3" s="1851">
        <f ca="1">IF(ISERROR(B2*10000/F43),0,ROUND(B2*10000/F43,0))</f>
        <v>17206</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382</v>
      </c>
      <c r="D5" s="1823" t="s">
        <v>1403</v>
      </c>
      <c r="E5" s="1293"/>
      <c r="F5" s="1294"/>
      <c r="G5" s="1852"/>
      <c r="H5" s="344">
        <v>1</v>
      </c>
      <c r="I5" s="345" t="s">
        <v>1402</v>
      </c>
      <c r="J5" s="1292">
        <f ca="1">J6+J10+J12</f>
        <v>0</v>
      </c>
      <c r="K5" s="1823" t="s">
        <v>1403</v>
      </c>
      <c r="L5" s="1293"/>
      <c r="M5" s="1294"/>
    </row>
    <row r="6" spans="1:37" ht="18" customHeight="1">
      <c r="A6" s="1291" t="s">
        <v>1035</v>
      </c>
      <c r="B6" s="3188" t="s">
        <v>1404</v>
      </c>
      <c r="C6" s="1296">
        <f ca="1">ROUND(F6*F8*F7*(1-F9)/10000,0)</f>
        <v>381</v>
      </c>
      <c r="D6" s="164" t="s">
        <v>3014</v>
      </c>
      <c r="E6" s="347" t="s">
        <v>1406</v>
      </c>
      <c r="F6" s="348">
        <f ca="1">INDIRECT("'数据-取费表'!u"&amp;$G$1)</f>
        <v>2.8</v>
      </c>
      <c r="G6" s="1852"/>
      <c r="H6" s="1291" t="s">
        <v>1035</v>
      </c>
      <c r="I6" s="3188" t="s">
        <v>1404</v>
      </c>
      <c r="J6" s="346">
        <f ca="1">ROUND(M6*M8*M7*(1-M9)/10000,0)</f>
        <v>0</v>
      </c>
      <c r="K6" s="164" t="s">
        <v>3013</v>
      </c>
      <c r="L6" s="347" t="s">
        <v>1406</v>
      </c>
      <c r="M6" s="348">
        <f ca="1">INDIRECT("'数据-取费表'!z"&amp;$G$1)</f>
        <v>0</v>
      </c>
    </row>
    <row r="7" spans="1:37" ht="18" customHeight="1">
      <c r="A7" s="1295"/>
      <c r="B7" s="3189"/>
      <c r="C7" s="1297"/>
      <c r="D7" s="352"/>
      <c r="E7" s="1298" t="s">
        <v>1407</v>
      </c>
      <c r="F7" s="348">
        <f ca="1">IF(INDIRECT("'数据-取费表'!ah"&amp;$G$1)="",INDIRECT("'数据-取费表'!k"&amp;$G$1),INDIRECT("'数据-取费表'!ah"&amp;$G$1))</f>
        <v>4145.53</v>
      </c>
      <c r="G7" s="1852"/>
      <c r="H7" s="349"/>
      <c r="I7" s="3189"/>
      <c r="J7" s="351"/>
      <c r="K7" s="352"/>
      <c r="L7" s="347" t="s">
        <v>1407</v>
      </c>
      <c r="M7" s="348">
        <f ca="1">F7</f>
        <v>4145.53</v>
      </c>
    </row>
    <row r="8" spans="1:37" ht="18" customHeight="1">
      <c r="A8" s="349"/>
      <c r="B8" s="3189"/>
      <c r="C8" s="351"/>
      <c r="D8" s="352"/>
      <c r="E8" s="347" t="s">
        <v>1408</v>
      </c>
      <c r="F8" s="348">
        <f ca="1">INDIRECT("'数据-取费表'!ai"&amp;$G$1)</f>
        <v>365</v>
      </c>
      <c r="G8" s="1852"/>
      <c r="H8" s="349"/>
      <c r="I8" s="3189"/>
      <c r="J8" s="351"/>
      <c r="K8" s="352"/>
      <c r="L8" s="347" t="s">
        <v>1408</v>
      </c>
      <c r="M8" s="348">
        <f ca="1">INDIRECT("'数据-取费表'!ai"&amp;$G$1)</f>
        <v>365</v>
      </c>
    </row>
    <row r="9" spans="1:37" ht="18" customHeight="1">
      <c r="A9" s="349"/>
      <c r="B9" s="3190"/>
      <c r="C9" s="351"/>
      <c r="D9" s="352"/>
      <c r="E9" s="347" t="s">
        <v>1409</v>
      </c>
      <c r="F9" s="357">
        <f ca="1">INDIRECT("'数据-取费表'!w"&amp;$G$1)</f>
        <v>0.1</v>
      </c>
      <c r="G9" s="1852"/>
      <c r="H9" s="349"/>
      <c r="I9" s="3190"/>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3083</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1219</v>
      </c>
      <c r="D13" s="1331" t="s">
        <v>1417</v>
      </c>
      <c r="E13" s="1331" t="s">
        <v>1418</v>
      </c>
      <c r="F13" s="1332">
        <f ca="1">INDIRECT("'数据-取费表'!y"&amp;$G$1)</f>
        <v>0.95</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829</v>
      </c>
      <c r="D14" s="1801" t="s">
        <v>1420</v>
      </c>
      <c r="E14" s="1795"/>
      <c r="F14" s="364"/>
      <c r="G14" s="1852"/>
      <c r="H14" s="1201" t="s">
        <v>1035</v>
      </c>
      <c r="I14" s="347" t="s">
        <v>1421</v>
      </c>
      <c r="J14" s="23">
        <f ca="1">C29</f>
        <v>1283</v>
      </c>
      <c r="K14" s="14"/>
      <c r="L14" s="980"/>
      <c r="M14" s="981"/>
    </row>
    <row r="15" spans="1:37" s="1859" customFormat="1" ht="18" customHeight="1" thickBot="1">
      <c r="A15" s="1201" t="s">
        <v>1036</v>
      </c>
      <c r="B15" s="347" t="s">
        <v>1422</v>
      </c>
      <c r="C15" s="23">
        <f ca="1">ROUND(C14*F15,0)</f>
        <v>25</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1338"/>
      <c r="M16" s="1294"/>
    </row>
    <row r="17" spans="1:37" s="1859" customFormat="1" ht="18" customHeight="1">
      <c r="A17" s="1201" t="s">
        <v>1391</v>
      </c>
      <c r="B17" s="347" t="s">
        <v>1428</v>
      </c>
      <c r="C17" s="23">
        <f ca="1">ROUND(F17*(F43+INDIRECT("'数据-取费表'!S"&amp;$G$1))/10000,0)</f>
        <v>83</v>
      </c>
      <c r="D17" s="347" t="s">
        <v>1429</v>
      </c>
      <c r="E17" s="347" t="s">
        <v>1430</v>
      </c>
      <c r="F17" s="25">
        <f>'数据-取费表'!B35</f>
        <v>200</v>
      </c>
      <c r="G17" s="1855"/>
      <c r="H17" s="1201" t="s">
        <v>1035</v>
      </c>
      <c r="I17" s="347" t="s">
        <v>1431</v>
      </c>
      <c r="J17" s="23">
        <f ca="1">ROUND(IF(项目基本情况!B11="自然人",J5*M17,J18+J19+J20),1)</f>
        <v>14.7</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12</v>
      </c>
      <c r="D18" s="347" t="s">
        <v>1423</v>
      </c>
      <c r="E18" s="347" t="s">
        <v>1424</v>
      </c>
      <c r="F18" s="367">
        <f>'数据-取费表'!B36</f>
        <v>1.4999999999999999E-2</v>
      </c>
      <c r="G18" s="1855"/>
      <c r="H18" s="1201" t="s">
        <v>1034</v>
      </c>
      <c r="I18" s="347" t="s">
        <v>1435</v>
      </c>
      <c r="J18" s="23">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949</v>
      </c>
      <c r="D19" s="139" t="s">
        <v>1438</v>
      </c>
      <c r="E19" s="1819"/>
      <c r="F19" s="25"/>
      <c r="G19" s="1852"/>
      <c r="H19" s="1201" t="s">
        <v>1036</v>
      </c>
      <c r="I19" s="347" t="s">
        <v>1439</v>
      </c>
      <c r="J19" s="23">
        <f ca="1">IF(K19="按租金收入计税",ROUND(J5*M19,2),ROUND(C29*M19*0.7,2))</f>
        <v>10.78</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19</v>
      </c>
      <c r="D20" s="369" t="s">
        <v>1442</v>
      </c>
      <c r="E20" s="347" t="s">
        <v>1424</v>
      </c>
      <c r="F20" s="367">
        <f>'数据-取费表'!B37</f>
        <v>0.02</v>
      </c>
      <c r="G20" s="1855"/>
      <c r="H20" s="1201" t="s">
        <v>1390</v>
      </c>
      <c r="I20" s="164" t="s">
        <v>1443</v>
      </c>
      <c r="J20" s="24">
        <f ca="1">ROUND(M20*M21/10000,2)</f>
        <v>3.93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6541.77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ROUND(J14*M22,1)</f>
        <v>6.4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ROUND(J13*M23,1)</f>
        <v>0</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-21</v>
      </c>
      <c r="K25" s="1345" t="s">
        <v>1466</v>
      </c>
      <c r="L25" s="1346"/>
      <c r="M25" s="1347"/>
    </row>
    <row r="26" spans="1:37">
      <c r="A26" s="1201" t="s">
        <v>1034</v>
      </c>
      <c r="B26" s="347" t="s">
        <v>1467</v>
      </c>
      <c r="C26" s="23">
        <f ca="1">ROUND((C19+C20)*F26,0)</f>
        <v>194</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1283</v>
      </c>
      <c r="D29" s="1342"/>
      <c r="E29" s="1340"/>
      <c r="F29" s="1343"/>
      <c r="G29" s="1855"/>
      <c r="H29" s="380" t="s">
        <v>1033</v>
      </c>
      <c r="I29" s="381" t="s">
        <v>1481</v>
      </c>
      <c r="J29" s="382">
        <f ca="1">ROUND(J26/(1+F40)^F41,0)</f>
        <v>0</v>
      </c>
      <c r="K29" s="383" t="s">
        <v>1482</v>
      </c>
      <c r="L29" s="384"/>
      <c r="M29" s="385">
        <f ca="1">INDIRECT("'数据-取费表'!k"&amp;$G$1)</f>
        <v>4145.53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47</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35.1</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20.37</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10.78</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3.93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6541.77</v>
      </c>
      <c r="G35" s="1852"/>
      <c r="H35" s="743"/>
      <c r="I35" s="1861"/>
      <c r="J35" s="1862"/>
      <c r="K35" s="1863"/>
      <c r="L35" s="1860"/>
      <c r="M35" s="1860"/>
    </row>
    <row r="36" spans="1:18" ht="18" customHeight="1">
      <c r="A36" s="1352" t="s">
        <v>1039</v>
      </c>
      <c r="B36" s="347" t="s">
        <v>1451</v>
      </c>
      <c r="C36" s="23">
        <f ca="1">ROUND(C29*F36,1)</f>
        <v>6.4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1.2</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3.8</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335</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7133</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35.47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17206</v>
      </c>
      <c r="D43" s="383" t="s">
        <v>1490</v>
      </c>
      <c r="E43" s="384" t="s">
        <v>1491</v>
      </c>
      <c r="F43" s="385">
        <f ca="1">INDIRECT("'数据-取费表'!k"&amp;$G$1)</f>
        <v>4145.53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-7453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3063</v>
      </c>
      <c r="K47" s="1883" t="s">
        <v>1529</v>
      </c>
      <c r="L47" s="1884">
        <f ca="1">INDIRECT("'数据-取费表'!d"&amp;$G$1)</f>
        <v>40</v>
      </c>
      <c r="M47" s="1839" t="str">
        <f>IF(ISNUMBER(FIND("住宅",C1)),"住宅","非住宅")</f>
        <v>非住宅</v>
      </c>
      <c r="O47" s="1885" t="s">
        <v>1040</v>
      </c>
      <c r="P47" s="1886" t="s">
        <v>1530</v>
      </c>
      <c r="Q47" s="1887">
        <f ca="1">C40+J29</f>
        <v>7133</v>
      </c>
      <c r="R47" s="1887" t="s">
        <v>1531</v>
      </c>
    </row>
    <row r="48" spans="1:18" s="1843" customFormat="1" ht="28.5" thickBot="1">
      <c r="A48" s="1360" t="s">
        <v>1135</v>
      </c>
      <c r="B48" s="345" t="s">
        <v>1402</v>
      </c>
      <c r="C48" s="1818">
        <f ca="1">C49+C53+C55</f>
        <v>0</v>
      </c>
      <c r="D48" s="1362"/>
      <c r="E48" s="1363"/>
      <c r="F48" s="1181"/>
      <c r="G48" s="790"/>
      <c r="H48" s="791"/>
      <c r="I48" s="1888" t="s">
        <v>1532</v>
      </c>
      <c r="J48" s="1889" t="s">
        <v>3084</v>
      </c>
      <c r="K48" s="1890" t="s">
        <v>1533</v>
      </c>
      <c r="L48" s="1891">
        <f ca="1">INDIRECT("'数据-取费表'!f"&amp;$G$1)</f>
        <v>35.47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2014</v>
      </c>
      <c r="K49" s="1890" t="s">
        <v>1537</v>
      </c>
      <c r="L49" s="1894"/>
      <c r="O49" s="1895" t="s">
        <v>1042</v>
      </c>
      <c r="P49" s="1886" t="s">
        <v>1538</v>
      </c>
      <c r="Q49" s="1887">
        <f ca="1">C29</f>
        <v>1283</v>
      </c>
      <c r="R49" s="1887" t="s">
        <v>1531</v>
      </c>
    </row>
    <row r="50" spans="1:18" s="1843" customFormat="1" ht="13.5" thickBot="1">
      <c r="A50" s="1195"/>
      <c r="B50" s="1198"/>
      <c r="C50" s="1368"/>
      <c r="D50" s="1172"/>
      <c r="E50" s="1277" t="s">
        <v>1407</v>
      </c>
      <c r="F50" s="1278">
        <f ca="1">F7</f>
        <v>4145.53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57</v>
      </c>
      <c r="K51" s="1901" t="s">
        <v>1543</v>
      </c>
      <c r="L51" s="1902">
        <f ca="1">ROUND(-PV(INDIRECT("'数据-取费表'!h"&amp;$G$1),L48,(C39-C13*C76),0),0)</f>
        <v>4345</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35.47</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35.47</v>
      </c>
      <c r="K53" s="3186" t="s">
        <v>1550</v>
      </c>
      <c r="L53" s="3187"/>
      <c r="O53" s="1885" t="s">
        <v>1046</v>
      </c>
      <c r="P53" s="1886" t="s">
        <v>1551</v>
      </c>
      <c r="Q53" s="1887">
        <f ca="1">Q47+Q48</f>
        <v>7133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1219</v>
      </c>
      <c r="D56" s="1915"/>
      <c r="E56" s="1916"/>
      <c r="F56" s="1908"/>
      <c r="I56" s="1917" t="s">
        <v>1556</v>
      </c>
      <c r="J56" s="1918" t="s">
        <v>3041</v>
      </c>
      <c r="K56" s="1888" t="s">
        <v>1557</v>
      </c>
      <c r="L56" s="1891" t="str">
        <f ca="1">IF(L48&lt;J51,"——",L48-J53)</f>
        <v>——</v>
      </c>
      <c r="O56" s="1885" t="s">
        <v>1040</v>
      </c>
      <c r="P56" s="1886" t="s">
        <v>1530</v>
      </c>
      <c r="Q56" s="1887">
        <f ca="1">C40+J29</f>
        <v>7133</v>
      </c>
      <c r="R56" s="1887" t="s">
        <v>1531</v>
      </c>
    </row>
    <row r="57" spans="1:18" s="1843" customFormat="1" ht="24.75" thickBot="1">
      <c r="A57" s="1919"/>
      <c r="B57" s="1169" t="s">
        <v>1480</v>
      </c>
      <c r="C57" s="282">
        <f ca="1">C29</f>
        <v>1283</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22</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14.7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10.78</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3.93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7133</v>
      </c>
      <c r="R62" s="1887" t="s">
        <v>1047</v>
      </c>
    </row>
    <row r="63" spans="1:18" s="1843" customFormat="1" ht="13.5" thickBot="1">
      <c r="A63" s="372"/>
      <c r="B63" s="1175"/>
      <c r="C63" s="28"/>
      <c r="D63" s="1185"/>
      <c r="E63" s="1169" t="s">
        <v>1501</v>
      </c>
      <c r="F63" s="348">
        <f t="shared" ca="1" si="0"/>
        <v>6541.77</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6.4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1.2</v>
      </c>
      <c r="D65" s="1183" t="s">
        <v>1456</v>
      </c>
      <c r="E65" s="1169" t="s">
        <v>1457</v>
      </c>
      <c r="F65" s="376">
        <f t="shared" ca="1" si="0"/>
        <v>1E-3</v>
      </c>
      <c r="I65" s="1930" t="s">
        <v>1581</v>
      </c>
      <c r="J65" s="1931">
        <v>40</v>
      </c>
      <c r="K65" s="1931">
        <v>30</v>
      </c>
      <c r="L65" s="1931">
        <v>50</v>
      </c>
      <c r="M65" s="1933">
        <v>0.02</v>
      </c>
      <c r="O65" s="1885" t="s">
        <v>1040</v>
      </c>
      <c r="P65" s="1886" t="s">
        <v>1582</v>
      </c>
      <c r="Q65" s="1887">
        <f ca="1">C40+J29</f>
        <v>7133</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-22</v>
      </c>
      <c r="D67" s="1182" t="s">
        <v>1466</v>
      </c>
      <c r="E67" s="1187"/>
      <c r="F67" s="1188"/>
      <c r="O67" s="1895" t="s">
        <v>1042</v>
      </c>
      <c r="P67" s="1886" t="s">
        <v>1564</v>
      </c>
      <c r="Q67" s="1934">
        <f ca="1">L51</f>
        <v>4345</v>
      </c>
      <c r="R67" s="1887" t="s">
        <v>1584</v>
      </c>
    </row>
    <row r="68" spans="1:18" s="1843" customFormat="1" ht="16.5" thickBot="1">
      <c r="A68" s="1166" t="s">
        <v>1032</v>
      </c>
      <c r="B68" s="1167" t="s">
        <v>1487</v>
      </c>
      <c r="C68" s="346">
        <f ca="1">ROUND(C67*(1-((1+F70)/(1+F68))^F69)/(F68-F70),0)</f>
        <v>-320</v>
      </c>
      <c r="D68" s="1184" t="s">
        <v>1471</v>
      </c>
      <c r="E68" s="1169" t="s">
        <v>1472</v>
      </c>
      <c r="F68" s="357">
        <f ca="1">F40</f>
        <v>0.06</v>
      </c>
      <c r="O68" s="1895" t="s">
        <v>1043</v>
      </c>
      <c r="P68" s="1935" t="s">
        <v>1585</v>
      </c>
      <c r="Q68" s="1887">
        <f ca="1">ROUND(Q69-Q70*Q71,0)</f>
        <v>231</v>
      </c>
      <c r="R68" s="1887" t="s">
        <v>1051</v>
      </c>
    </row>
    <row r="69" spans="1:18" s="1843" customFormat="1" ht="13.5" thickBot="1">
      <c r="A69" s="1170"/>
      <c r="B69" s="1171"/>
      <c r="C69" s="351"/>
      <c r="D69" s="1189" t="s">
        <v>1475</v>
      </c>
      <c r="E69" s="1169" t="s">
        <v>1476</v>
      </c>
      <c r="F69" s="379">
        <f ca="1">F41</f>
        <v>35.47</v>
      </c>
      <c r="O69" s="1895" t="s">
        <v>1048</v>
      </c>
      <c r="P69" s="1935" t="s">
        <v>1586</v>
      </c>
      <c r="Q69" s="1887">
        <f ca="1">C39</f>
        <v>335</v>
      </c>
      <c r="R69" s="1887" t="s">
        <v>1531</v>
      </c>
    </row>
    <row r="70" spans="1:18" s="1843" customFormat="1" ht="13.5" thickBot="1">
      <c r="A70" s="1173"/>
      <c r="B70" s="1174"/>
      <c r="C70" s="355"/>
      <c r="D70" s="1185"/>
      <c r="E70" s="1169" t="s">
        <v>1479</v>
      </c>
      <c r="F70" s="1275"/>
      <c r="O70" s="1895" t="s">
        <v>1049</v>
      </c>
      <c r="P70" s="1935" t="s">
        <v>1587</v>
      </c>
      <c r="Q70" s="1887">
        <f ca="1">C13</f>
        <v>1219</v>
      </c>
      <c r="R70" s="1887" t="s">
        <v>1531</v>
      </c>
    </row>
    <row r="71" spans="1:18" s="1843" customFormat="1" ht="13.5" thickBot="1">
      <c r="A71" s="1190" t="s">
        <v>1033</v>
      </c>
      <c r="B71" s="1191" t="s">
        <v>1489</v>
      </c>
      <c r="C71" s="382">
        <f ca="1">ROUND(C68*10000/F71,0)</f>
        <v>-772</v>
      </c>
      <c r="D71" s="1192" t="s">
        <v>1490</v>
      </c>
      <c r="E71" s="1193" t="s">
        <v>1491</v>
      </c>
      <c r="F71" s="385">
        <f ca="1">F43</f>
        <v>4145.53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104</v>
      </c>
      <c r="D75" s="1843"/>
      <c r="E75" s="1843"/>
      <c r="F75" s="1843"/>
      <c r="K75" s="1869"/>
      <c r="L75" s="1843"/>
      <c r="O75" s="1885" t="s">
        <v>1046</v>
      </c>
      <c r="P75" s="1886" t="s">
        <v>1551</v>
      </c>
      <c r="Q75" s="1887">
        <f ca="1">Q65+Q66</f>
        <v>7133</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0.69</v>
      </c>
    </row>
    <row r="80" spans="1:18">
      <c r="B80" s="386" t="s">
        <v>1513</v>
      </c>
      <c r="C80" s="318">
        <f ca="1">ROUND(C75/C39,3)</f>
        <v>0.31</v>
      </c>
    </row>
    <row r="81" spans="2:3">
      <c r="B81" s="314" t="s">
        <v>1514</v>
      </c>
      <c r="C81" s="282"/>
    </row>
    <row r="82" spans="2:3">
      <c r="B82" s="317" t="s">
        <v>1515</v>
      </c>
      <c r="C82" s="319">
        <f ca="1">1-C83</f>
        <v>0.82899999999999996</v>
      </c>
    </row>
    <row r="83" spans="2:3">
      <c r="B83" s="317" t="s">
        <v>1516</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188" t="s">
        <v>1404</v>
      </c>
      <c r="C6" s="1296">
        <f ca="1">ROUND(F6*F8*F7*(1-F9),0)</f>
        <v>0</v>
      </c>
      <c r="D6" s="164" t="s">
        <v>3009</v>
      </c>
      <c r="E6" s="347" t="s">
        <v>1406</v>
      </c>
      <c r="F6" s="348">
        <f ca="1">INDIRECT("'数据-取费表'!u"&amp;$G$1)</f>
        <v>0</v>
      </c>
      <c r="G6" s="1852"/>
      <c r="H6" s="1291" t="s">
        <v>1035</v>
      </c>
      <c r="I6" s="3188" t="s">
        <v>1404</v>
      </c>
      <c r="J6" s="346">
        <f ca="1">ROUND(M6*M8*M7*(1-M9),0)</f>
        <v>0</v>
      </c>
      <c r="K6" s="1835" t="s">
        <v>3012</v>
      </c>
      <c r="L6" s="347" t="s">
        <v>1406</v>
      </c>
      <c r="M6" s="348">
        <f ca="1">INDIRECT("'数据-取费表'!z"&amp;$G$1)</f>
        <v>0</v>
      </c>
    </row>
    <row r="7" spans="1:37" ht="18" customHeight="1">
      <c r="A7" s="1295"/>
      <c r="B7" s="3189"/>
      <c r="C7" s="1297"/>
      <c r="D7" s="352"/>
      <c r="E7" s="1298" t="s">
        <v>1407</v>
      </c>
      <c r="F7" s="348">
        <f ca="1">IF(INDIRECT("'数据-取费表'!ah"&amp;$G$1)="",INDIRECT("'数据-取费表'!k"&amp;$G$1),INDIRECT("'数据-取费表'!ah"&amp;$G$1))</f>
        <v>0</v>
      </c>
      <c r="G7" s="1852"/>
      <c r="H7" s="349"/>
      <c r="I7" s="3189"/>
      <c r="J7" s="351"/>
      <c r="K7" s="352"/>
      <c r="L7" s="347" t="s">
        <v>1407</v>
      </c>
      <c r="M7" s="348">
        <f ca="1">F7</f>
        <v>0</v>
      </c>
    </row>
    <row r="8" spans="1:37" ht="18" customHeight="1">
      <c r="A8" s="349"/>
      <c r="B8" s="3189"/>
      <c r="C8" s="351"/>
      <c r="D8" s="352"/>
      <c r="E8" s="347" t="s">
        <v>1408</v>
      </c>
      <c r="F8" s="348">
        <f ca="1">INDIRECT("'数据-取费表'!ai"&amp;$G$1)</f>
        <v>0</v>
      </c>
      <c r="G8" s="1852"/>
      <c r="H8" s="349"/>
      <c r="I8" s="3189"/>
      <c r="J8" s="351"/>
      <c r="K8" s="352"/>
      <c r="L8" s="347" t="s">
        <v>1408</v>
      </c>
      <c r="M8" s="348">
        <f ca="1">INDIRECT("'数据-取费表'!ai"&amp;$G$1)</f>
        <v>0</v>
      </c>
    </row>
    <row r="9" spans="1:37" ht="18" customHeight="1">
      <c r="A9" s="349"/>
      <c r="B9" s="3190"/>
      <c r="C9" s="351"/>
      <c r="D9" s="352"/>
      <c r="E9" s="347" t="s">
        <v>1409</v>
      </c>
      <c r="F9" s="357">
        <f ca="1">INDIRECT("'数据-取费表'!w"&amp;$G$1)</f>
        <v>0</v>
      </c>
      <c r="G9" s="1852"/>
      <c r="H9" s="349"/>
      <c r="I9" s="3190"/>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186" t="s">
        <v>1550</v>
      </c>
      <c r="L53" s="3187"/>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7133</v>
      </c>
      <c r="C2" s="2567" t="s">
        <v>2504</v>
      </c>
      <c r="D2" s="2568" t="s">
        <v>2505</v>
      </c>
      <c r="E2" s="2569">
        <f>SUM(E6:E13)</f>
        <v>4145.53</v>
      </c>
    </row>
    <row r="3" spans="1:6" ht="15.75">
      <c r="A3" s="2565" t="s">
        <v>1396</v>
      </c>
      <c r="B3" s="2566">
        <f ca="1">ROUND(B2*10000/E2,0)</f>
        <v>17206</v>
      </c>
      <c r="C3" s="2567" t="s">
        <v>2512</v>
      </c>
      <c r="D3" s="2570"/>
      <c r="E3" s="2571"/>
    </row>
    <row r="4" spans="1:6" ht="15.75">
      <c r="A4" s="2572"/>
      <c r="B4" s="2570"/>
      <c r="C4" s="2570"/>
      <c r="D4" s="2570"/>
      <c r="E4" s="2571"/>
    </row>
    <row r="5" spans="1:6" ht="15">
      <c r="A5" s="2573" t="s">
        <v>2506</v>
      </c>
      <c r="B5" s="3191" t="s">
        <v>2507</v>
      </c>
      <c r="C5" s="3191"/>
      <c r="D5" s="2574"/>
      <c r="E5" s="2575" t="s">
        <v>2508</v>
      </c>
      <c r="F5" s="2576" t="s">
        <v>2509</v>
      </c>
    </row>
    <row r="6" spans="1:6">
      <c r="A6" s="2577" t="str">
        <f>'数据-取费表'!AN6</f>
        <v>收益法</v>
      </c>
      <c r="B6" s="2576">
        <f ca="1">IF(F6="是",'数据-取费表'!AO6,0)</f>
        <v>7133</v>
      </c>
      <c r="C6" s="2567" t="s">
        <v>2504</v>
      </c>
      <c r="D6" s="2570"/>
      <c r="E6" s="2578">
        <f>IF(OR(A6=0,F6="否"),0,'数据-取费表'!K6+'数据-取费表'!S6)</f>
        <v>4145.53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198" t="s">
        <v>1077</v>
      </c>
      <c r="B2" s="3199" t="s">
        <v>1078</v>
      </c>
      <c r="C2" s="3199"/>
      <c r="D2" s="1301" t="s">
        <v>1079</v>
      </c>
      <c r="E2" s="1301" t="s">
        <v>1080</v>
      </c>
      <c r="F2" s="1301" t="s">
        <v>1081</v>
      </c>
      <c r="G2" s="1301" t="s">
        <v>1082</v>
      </c>
      <c r="H2" s="1301" t="s">
        <v>1083</v>
      </c>
      <c r="I2" s="1302" t="s">
        <v>1084</v>
      </c>
    </row>
    <row r="3" spans="1:9">
      <c r="A3" s="3198"/>
      <c r="B3" s="3199" t="s">
        <v>1085</v>
      </c>
      <c r="C3" s="3199"/>
      <c r="D3" s="1303"/>
      <c r="E3" s="1301"/>
      <c r="F3" s="1304"/>
      <c r="G3" s="1304"/>
      <c r="H3" s="1305"/>
      <c r="I3" s="1306">
        <f>ROUND(D3*E3*F3*G3*H3/10000,0)</f>
        <v>0</v>
      </c>
    </row>
    <row r="4" spans="1:9">
      <c r="A4" s="3198"/>
      <c r="B4" s="3199" t="s">
        <v>1086</v>
      </c>
      <c r="C4" s="3199"/>
      <c r="D4" s="1303"/>
      <c r="E4" s="1301"/>
      <c r="F4" s="1304"/>
      <c r="G4" s="1304"/>
      <c r="H4" s="1305"/>
      <c r="I4" s="1306">
        <f t="shared" ref="I4:I9" si="0">ROUND(D4*E4*F4*G4*H4/10000,0)</f>
        <v>0</v>
      </c>
    </row>
    <row r="5" spans="1:9">
      <c r="A5" s="3198"/>
      <c r="B5" s="3199" t="s">
        <v>1087</v>
      </c>
      <c r="C5" s="3199"/>
      <c r="D5" s="1303"/>
      <c r="E5" s="1301"/>
      <c r="F5" s="1304"/>
      <c r="G5" s="1304"/>
      <c r="H5" s="1305"/>
      <c r="I5" s="1306">
        <f t="shared" si="0"/>
        <v>0</v>
      </c>
    </row>
    <row r="6" spans="1:9">
      <c r="A6" s="3198"/>
      <c r="B6" s="3199" t="s">
        <v>1088</v>
      </c>
      <c r="C6" s="3199"/>
      <c r="D6" s="1303"/>
      <c r="E6" s="1301"/>
      <c r="F6" s="1304"/>
      <c r="G6" s="1304"/>
      <c r="H6" s="1305"/>
      <c r="I6" s="1306">
        <f t="shared" si="0"/>
        <v>0</v>
      </c>
    </row>
    <row r="7" spans="1:9">
      <c r="A7" s="3198"/>
      <c r="B7" s="3199" t="s">
        <v>1089</v>
      </c>
      <c r="C7" s="3199"/>
      <c r="D7" s="1303"/>
      <c r="E7" s="1301"/>
      <c r="F7" s="1304"/>
      <c r="G7" s="1304"/>
      <c r="H7" s="1305"/>
      <c r="I7" s="1306">
        <f t="shared" si="0"/>
        <v>0</v>
      </c>
    </row>
    <row r="8" spans="1:9">
      <c r="A8" s="3198"/>
      <c r="B8" s="3199" t="s">
        <v>1090</v>
      </c>
      <c r="C8" s="3199"/>
      <c r="D8" s="1303"/>
      <c r="E8" s="1301"/>
      <c r="F8" s="1304"/>
      <c r="G8" s="1304"/>
      <c r="H8" s="1305"/>
      <c r="I8" s="1306">
        <f t="shared" si="0"/>
        <v>0</v>
      </c>
    </row>
    <row r="9" spans="1:9">
      <c r="A9" s="3198"/>
      <c r="B9" s="3199" t="s">
        <v>1091</v>
      </c>
      <c r="C9" s="3199"/>
      <c r="D9" s="1303"/>
      <c r="E9" s="1301"/>
      <c r="F9" s="1304"/>
      <c r="G9" s="1304"/>
      <c r="H9" s="1305"/>
      <c r="I9" s="1306">
        <f t="shared" si="0"/>
        <v>0</v>
      </c>
    </row>
    <row r="10" spans="1:9">
      <c r="A10" s="3198"/>
      <c r="B10" s="3200" t="s">
        <v>1092</v>
      </c>
      <c r="C10" s="3200"/>
      <c r="D10" s="1307"/>
      <c r="E10" s="1307" t="e">
        <f>ROUND(D1*10000/D10/H9,0)</f>
        <v>#DIV/0!</v>
      </c>
      <c r="F10" s="1308"/>
      <c r="G10" s="1308"/>
      <c r="H10" s="1309"/>
      <c r="I10" s="1310">
        <f>SUM(I3:I9)</f>
        <v>0</v>
      </c>
    </row>
    <row r="11" spans="1:9" ht="14.25">
      <c r="A11" s="3198" t="s">
        <v>1093</v>
      </c>
      <c r="B11" s="3199" t="s">
        <v>1094</v>
      </c>
      <c r="C11" s="3199"/>
      <c r="D11" s="1303" t="s">
        <v>1095</v>
      </c>
      <c r="E11" s="1303" t="s">
        <v>1096</v>
      </c>
      <c r="F11" s="1304" t="s">
        <v>1097</v>
      </c>
      <c r="G11" s="1304" t="s">
        <v>1083</v>
      </c>
      <c r="H11" s="1311" t="s">
        <v>1098</v>
      </c>
      <c r="I11" s="1302" t="s">
        <v>1084</v>
      </c>
    </row>
    <row r="12" spans="1:9">
      <c r="A12" s="3198"/>
      <c r="B12" s="3199" t="s">
        <v>1099</v>
      </c>
      <c r="C12" s="3199"/>
      <c r="D12" s="1303"/>
      <c r="E12" s="1303"/>
      <c r="F12" s="1304"/>
      <c r="G12" s="1305"/>
      <c r="H12" s="1312"/>
      <c r="I12" s="1302">
        <f>ROUND(D12*E12*F12*G12/10000,0)</f>
        <v>0</v>
      </c>
    </row>
    <row r="13" spans="1:9">
      <c r="A13" s="3198"/>
      <c r="B13" s="3199" t="s">
        <v>1100</v>
      </c>
      <c r="C13" s="3199"/>
      <c r="D13" s="1303"/>
      <c r="E13" s="1303"/>
      <c r="F13" s="1304"/>
      <c r="G13" s="1305"/>
      <c r="H13" s="1312"/>
      <c r="I13" s="1302">
        <f>ROUND(D13*E13*F13*G13/10000,0)</f>
        <v>0</v>
      </c>
    </row>
    <row r="14" spans="1:9">
      <c r="A14" s="3198"/>
      <c r="B14" s="3199" t="s">
        <v>1101</v>
      </c>
      <c r="C14" s="3199"/>
      <c r="D14" s="1303"/>
      <c r="E14" s="1303"/>
      <c r="F14" s="1304"/>
      <c r="G14" s="1305"/>
      <c r="H14" s="1312"/>
      <c r="I14" s="1302">
        <f>ROUND(D14*E14*F14*G14/10000,0)</f>
        <v>0</v>
      </c>
    </row>
    <row r="15" spans="1:9">
      <c r="A15" s="3198"/>
      <c r="B15" s="3200" t="s">
        <v>1092</v>
      </c>
      <c r="C15" s="3200"/>
      <c r="D15" s="1307"/>
      <c r="E15" s="1307">
        <f>SUM(E12:E14)</f>
        <v>0</v>
      </c>
      <c r="F15" s="1308"/>
      <c r="G15" s="1305"/>
      <c r="H15" s="1312"/>
      <c r="I15" s="1313">
        <f>SUM(I12:I14)</f>
        <v>0</v>
      </c>
    </row>
    <row r="16" spans="1:9" ht="24">
      <c r="A16" s="3198" t="s">
        <v>1102</v>
      </c>
      <c r="B16" s="3199" t="s">
        <v>1103</v>
      </c>
      <c r="C16" s="3199"/>
      <c r="D16" s="1303" t="s">
        <v>1079</v>
      </c>
      <c r="E16" s="1314" t="s">
        <v>1104</v>
      </c>
      <c r="F16" s="1304" t="s">
        <v>1105</v>
      </c>
      <c r="G16" s="1305" t="s">
        <v>1083</v>
      </c>
      <c r="H16" s="1311" t="s">
        <v>1098</v>
      </c>
      <c r="I16" s="1302" t="s">
        <v>1084</v>
      </c>
    </row>
    <row r="17" spans="1:9" ht="14.25">
      <c r="A17" s="3198"/>
      <c r="B17" s="3199" t="s">
        <v>1106</v>
      </c>
      <c r="C17" s="3199"/>
      <c r="D17" s="1303"/>
      <c r="E17" s="1303"/>
      <c r="F17" s="1304"/>
      <c r="G17" s="1305"/>
      <c r="H17" s="1315"/>
      <c r="I17" s="1316">
        <f>ROUND(D17*E17*F17*G17/10000,0)</f>
        <v>0</v>
      </c>
    </row>
    <row r="18" spans="1:9" ht="14.25">
      <c r="A18" s="3198"/>
      <c r="B18" s="3199" t="s">
        <v>1107</v>
      </c>
      <c r="C18" s="3199"/>
      <c r="D18" s="1303"/>
      <c r="E18" s="1303"/>
      <c r="F18" s="1304"/>
      <c r="G18" s="1305"/>
      <c r="H18" s="1315"/>
      <c r="I18" s="1316">
        <f>ROUND(D18*E18*F18*G18/10000,0)</f>
        <v>0</v>
      </c>
    </row>
    <row r="19" spans="1:9" ht="14.25">
      <c r="A19" s="3198"/>
      <c r="B19" s="3199" t="s">
        <v>1108</v>
      </c>
      <c r="C19" s="3199"/>
      <c r="D19" s="1303"/>
      <c r="E19" s="1303"/>
      <c r="F19" s="1304"/>
      <c r="G19" s="1305"/>
      <c r="H19" s="1315"/>
      <c r="I19" s="1316">
        <f>ROUND(D19*E19*F19*G19/10000,0)</f>
        <v>0</v>
      </c>
    </row>
    <row r="20" spans="1:9">
      <c r="A20" s="3198"/>
      <c r="B20" s="3200" t="s">
        <v>1092</v>
      </c>
      <c r="C20" s="3200"/>
      <c r="D20" s="1307">
        <f>SUM(D17:D19)</f>
        <v>0</v>
      </c>
      <c r="E20" s="1307"/>
      <c r="F20" s="1308"/>
      <c r="G20" s="1305"/>
      <c r="H20" s="1312"/>
      <c r="I20" s="1313">
        <f>SUM(I17:I19)</f>
        <v>0</v>
      </c>
    </row>
    <row r="21" spans="1:9">
      <c r="A21" s="3198" t="s">
        <v>1109</v>
      </c>
      <c r="B21" s="3201"/>
      <c r="C21" s="3201"/>
      <c r="D21" s="3201"/>
      <c r="E21" s="3201"/>
      <c r="F21" s="3201"/>
      <c r="G21" s="3201"/>
      <c r="H21" s="1766">
        <v>0.1</v>
      </c>
      <c r="I21" s="1310">
        <f>ROUND(I10*H21,0)</f>
        <v>0</v>
      </c>
    </row>
    <row r="22" spans="1:9" ht="14.25">
      <c r="A22" s="3202" t="s">
        <v>1110</v>
      </c>
      <c r="B22" s="3203"/>
      <c r="C22" s="3204"/>
      <c r="D22" s="1317" t="s">
        <v>1111</v>
      </c>
      <c r="E22" s="1317" t="s">
        <v>1112</v>
      </c>
      <c r="F22" s="1318" t="s">
        <v>1113</v>
      </c>
      <c r="G22" s="1318" t="s">
        <v>1114</v>
      </c>
      <c r="H22" s="1311" t="s">
        <v>1115</v>
      </c>
      <c r="I22" s="1302" t="s">
        <v>1116</v>
      </c>
    </row>
    <row r="23" spans="1:9" ht="14.25" thickBot="1">
      <c r="A23" s="3205"/>
      <c r="B23" s="3206"/>
      <c r="C23" s="3207"/>
      <c r="D23" s="1319"/>
      <c r="E23" s="1319"/>
      <c r="F23" s="1319"/>
      <c r="G23" s="1320"/>
      <c r="H23" s="1321"/>
      <c r="I23" s="1322">
        <f>ROUND(E23*D23*F23*(1-G23)/10000,0)</f>
        <v>0</v>
      </c>
    </row>
    <row r="26" spans="1:9">
      <c r="A26" s="1323" t="s">
        <v>1117</v>
      </c>
      <c r="B26" s="1323"/>
      <c r="C26" s="1323"/>
      <c r="D26" s="1323"/>
      <c r="E26" s="3195">
        <f>C27-C30-C31-C32</f>
        <v>0</v>
      </c>
      <c r="F26" s="3195"/>
      <c r="G26" s="3195"/>
      <c r="H26" s="1738" t="s">
        <v>1341</v>
      </c>
    </row>
    <row r="27" spans="1:9">
      <c r="A27" s="1324">
        <v>1</v>
      </c>
      <c r="B27" s="1325" t="s">
        <v>1118</v>
      </c>
      <c r="C27" s="1325">
        <f>C28+C29</f>
        <v>0</v>
      </c>
      <c r="D27" s="1325"/>
      <c r="E27" s="3196"/>
      <c r="F27" s="3196"/>
      <c r="G27" s="3196"/>
    </row>
    <row r="28" spans="1:9">
      <c r="A28" s="1326" t="s">
        <v>1119</v>
      </c>
      <c r="B28" s="1325" t="s">
        <v>1120</v>
      </c>
      <c r="C28" s="1325"/>
      <c r="D28" s="1325"/>
      <c r="E28" s="3196"/>
      <c r="F28" s="3196"/>
      <c r="G28" s="319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7"/>
      <c r="F32" s="3197"/>
      <c r="G32" s="3197"/>
    </row>
    <row r="33" spans="1:7" hidden="1">
      <c r="A33" s="3192" t="s">
        <v>1129</v>
      </c>
      <c r="B33" s="3193"/>
      <c r="C33" s="3193"/>
      <c r="D33" s="3194"/>
      <c r="E33" s="3195"/>
      <c r="F33" s="3195"/>
      <c r="G33" s="3195"/>
    </row>
    <row r="34" spans="1:7" hidden="1">
      <c r="A34" s="1328">
        <v>1</v>
      </c>
      <c r="B34" s="1325" t="s">
        <v>1130</v>
      </c>
      <c r="C34" s="1325"/>
      <c r="D34" s="1325"/>
      <c r="E34" s="3196"/>
      <c r="F34" s="3196"/>
      <c r="G34" s="3196"/>
    </row>
    <row r="35" spans="1:7" hidden="1">
      <c r="A35" s="1328">
        <v>2</v>
      </c>
      <c r="B35" s="1325" t="s">
        <v>1131</v>
      </c>
      <c r="C35" s="1325"/>
      <c r="D35" s="1325"/>
      <c r="E35" s="3196"/>
      <c r="F35" s="3196"/>
      <c r="G35" s="3196"/>
    </row>
    <row r="36" spans="1:7" hidden="1">
      <c r="A36" s="1328">
        <v>3</v>
      </c>
      <c r="B36" s="1325" t="s">
        <v>1132</v>
      </c>
      <c r="C36" s="1325"/>
      <c r="D36" s="1325"/>
      <c r="E36" s="3196"/>
      <c r="F36" s="3196"/>
      <c r="G36" s="3196"/>
    </row>
    <row r="37" spans="1:7" hidden="1">
      <c r="A37" s="1328">
        <v>4</v>
      </c>
      <c r="B37" s="1325" t="s">
        <v>1133</v>
      </c>
      <c r="C37" s="1325"/>
      <c r="D37" s="1325"/>
      <c r="E37" s="3196"/>
      <c r="F37" s="3196"/>
      <c r="G37" s="3196"/>
    </row>
    <row r="38" spans="1:7" hidden="1">
      <c r="A38" s="3192" t="s">
        <v>1134</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4145.53</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219" t="s">
        <v>2636</v>
      </c>
      <c r="Q4" s="3220"/>
      <c r="R4" s="3223" t="s">
        <v>2632</v>
      </c>
      <c r="S4" s="3224"/>
      <c r="T4" s="3223" t="s">
        <v>2633</v>
      </c>
      <c r="U4" s="3224"/>
      <c r="V4" s="3225" t="s">
        <v>2634</v>
      </c>
      <c r="W4" s="3225"/>
      <c r="X4" s="2668"/>
      <c r="Y4" s="3223" t="s">
        <v>2636</v>
      </c>
      <c r="Z4" s="3224"/>
      <c r="AA4" s="3228" t="s">
        <v>2632</v>
      </c>
      <c r="AB4" s="3228" t="s">
        <v>2633</v>
      </c>
      <c r="AC4" s="3216" t="s">
        <v>2634</v>
      </c>
    </row>
    <row r="5" spans="1:29" ht="15">
      <c r="A5" s="404"/>
      <c r="B5" s="405"/>
      <c r="C5" s="3226" t="s">
        <v>2527</v>
      </c>
      <c r="D5" s="3174"/>
      <c r="E5" s="3229" t="s">
        <v>2528</v>
      </c>
      <c r="F5" s="3181"/>
      <c r="G5" s="3226" t="s">
        <v>2529</v>
      </c>
      <c r="H5" s="3174"/>
      <c r="I5" s="3226" t="s">
        <v>2530</v>
      </c>
      <c r="J5" s="3174"/>
      <c r="K5" s="610"/>
      <c r="L5" s="1130"/>
      <c r="M5" s="1131"/>
      <c r="N5" s="1131"/>
      <c r="O5" s="1131"/>
      <c r="P5" s="3221"/>
      <c r="Q5" s="3161"/>
      <c r="R5" s="3166"/>
      <c r="S5" s="3167"/>
      <c r="T5" s="3166"/>
      <c r="U5" s="3167"/>
      <c r="V5" s="3170"/>
      <c r="W5" s="3170"/>
      <c r="X5" s="1814"/>
      <c r="Y5" s="3166"/>
      <c r="Z5" s="3167"/>
      <c r="AA5" s="3152"/>
      <c r="AB5" s="3152"/>
      <c r="AC5" s="3217"/>
    </row>
    <row r="6" spans="1:29" ht="15.75" thickBot="1">
      <c r="A6" s="406"/>
      <c r="B6" s="407"/>
      <c r="C6" s="3171" t="s">
        <v>2531</v>
      </c>
      <c r="D6" s="3172"/>
      <c r="E6" s="3178" t="s">
        <v>2531</v>
      </c>
      <c r="F6" s="3179"/>
      <c r="G6" s="3171" t="s">
        <v>2531</v>
      </c>
      <c r="H6" s="3172"/>
      <c r="I6" s="3171" t="s">
        <v>2531</v>
      </c>
      <c r="J6" s="3172"/>
      <c r="K6" s="610" t="s">
        <v>2532</v>
      </c>
      <c r="L6" s="1130"/>
      <c r="M6" s="1131"/>
      <c r="N6" s="1131"/>
      <c r="O6" s="1131"/>
      <c r="P6" s="3222"/>
      <c r="Q6" s="3163"/>
      <c r="R6" s="3166"/>
      <c r="S6" s="3167"/>
      <c r="T6" s="3168"/>
      <c r="U6" s="3169"/>
      <c r="V6" s="3170"/>
      <c r="W6" s="3170"/>
      <c r="X6" s="1814"/>
      <c r="Y6" s="3168"/>
      <c r="Z6" s="3169"/>
      <c r="AA6" s="3153"/>
      <c r="AB6" s="3153"/>
      <c r="AC6" s="3218"/>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2534</v>
      </c>
      <c r="Q7" s="3177"/>
      <c r="R7" s="768" t="s">
        <v>17</v>
      </c>
      <c r="S7" s="769">
        <f t="shared" ref="S7:S15" si="0">F7</f>
        <v>0</v>
      </c>
      <c r="T7" s="768" t="s">
        <v>17</v>
      </c>
      <c r="U7" s="769">
        <f t="shared" ref="U7:U15" si="1">H7</f>
        <v>0</v>
      </c>
      <c r="V7" s="768" t="s">
        <v>17</v>
      </c>
      <c r="W7" s="769">
        <f t="shared" ref="W7:W15" si="2">J7</f>
        <v>0</v>
      </c>
      <c r="X7" s="770"/>
      <c r="Y7" s="3175" t="s">
        <v>2534</v>
      </c>
      <c r="Z7" s="3176"/>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2537</v>
      </c>
      <c r="Q8" s="3176"/>
      <c r="R8" s="768" t="s">
        <v>17</v>
      </c>
      <c r="S8" s="769">
        <f t="shared" si="0"/>
        <v>0</v>
      </c>
      <c r="T8" s="768" t="s">
        <v>17</v>
      </c>
      <c r="U8" s="769">
        <f t="shared" si="1"/>
        <v>0</v>
      </c>
      <c r="V8" s="768" t="s">
        <v>17</v>
      </c>
      <c r="W8" s="769">
        <f t="shared" si="2"/>
        <v>0</v>
      </c>
      <c r="X8" s="770"/>
      <c r="Y8" s="3175" t="s">
        <v>2537</v>
      </c>
      <c r="Z8" s="3176"/>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50"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50"/>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50"/>
      <c r="Q11" s="1796" t="str">
        <f t="shared" si="6"/>
        <v>容积率</v>
      </c>
      <c r="R11" s="768" t="s">
        <v>17</v>
      </c>
      <c r="S11" s="769" t="e">
        <f t="shared" si="0"/>
        <v>#N/A</v>
      </c>
      <c r="T11" s="768" t="s">
        <v>17</v>
      </c>
      <c r="U11" s="769" t="e">
        <f t="shared" si="1"/>
        <v>#N/A</v>
      </c>
      <c r="V11" s="768" t="s">
        <v>17</v>
      </c>
      <c r="W11" s="769" t="e">
        <f t="shared" si="2"/>
        <v>#N/A</v>
      </c>
      <c r="X11" s="770"/>
      <c r="Y11" s="2994"/>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150"/>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150"/>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150"/>
      <c r="Q14" s="1796">
        <f t="shared" si="6"/>
        <v>111</v>
      </c>
      <c r="R14" s="768" t="s">
        <v>17</v>
      </c>
      <c r="S14" s="769">
        <f t="shared" si="0"/>
        <v>100</v>
      </c>
      <c r="T14" s="768" t="s">
        <v>17</v>
      </c>
      <c r="U14" s="769">
        <f t="shared" si="1"/>
        <v>100</v>
      </c>
      <c r="V14" s="768" t="s">
        <v>17</v>
      </c>
      <c r="W14" s="769">
        <f t="shared" si="2"/>
        <v>100</v>
      </c>
      <c r="X14" s="770"/>
      <c r="Y14" s="2994"/>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48" t="s">
        <v>2545</v>
      </c>
      <c r="Q15" s="1811" t="str">
        <f t="shared" si="6"/>
        <v>办公集聚程度</v>
      </c>
      <c r="R15" s="772" t="s">
        <v>17</v>
      </c>
      <c r="S15" s="773">
        <f t="shared" si="0"/>
        <v>100</v>
      </c>
      <c r="T15" s="772" t="s">
        <v>17</v>
      </c>
      <c r="U15" s="773">
        <f t="shared" si="1"/>
        <v>100</v>
      </c>
      <c r="V15" s="772" t="s">
        <v>17</v>
      </c>
      <c r="W15" s="773">
        <f t="shared" si="2"/>
        <v>100</v>
      </c>
      <c r="X15" s="1814"/>
      <c r="Y15" s="3141"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149"/>
      <c r="Q16" s="1811"/>
      <c r="R16" s="772"/>
      <c r="S16" s="773"/>
      <c r="T16" s="772"/>
      <c r="U16" s="773"/>
      <c r="V16" s="772"/>
      <c r="W16" s="773"/>
      <c r="X16" s="1814"/>
      <c r="Y16" s="3142"/>
      <c r="Z16" s="1815"/>
      <c r="AA16" s="1812">
        <v>1</v>
      </c>
      <c r="AB16" s="1812">
        <v>1</v>
      </c>
      <c r="AC16" s="2672">
        <v>1</v>
      </c>
    </row>
    <row r="17" spans="1:29" ht="57">
      <c r="A17" s="428"/>
      <c r="B17" s="629" t="s">
        <v>2090</v>
      </c>
      <c r="C17" s="2673" t="str">
        <f>估价对象房地状况!C6</f>
        <v>周边有302、快速直达专线102路等公交线路，交通便捷度一般。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49"/>
      <c r="Q17" s="1811" t="str">
        <f>B17</f>
        <v>交通便捷度</v>
      </c>
      <c r="R17" s="772" t="s">
        <v>17</v>
      </c>
      <c r="S17" s="773">
        <f>F17</f>
        <v>100</v>
      </c>
      <c r="T17" s="772" t="s">
        <v>17</v>
      </c>
      <c r="U17" s="773">
        <f>H17</f>
        <v>100</v>
      </c>
      <c r="V17" s="772" t="s">
        <v>17</v>
      </c>
      <c r="W17" s="773">
        <f>J17</f>
        <v>100</v>
      </c>
      <c r="X17" s="1814"/>
      <c r="Y17" s="3142"/>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149"/>
      <c r="Q18" s="1811"/>
      <c r="R18" s="772"/>
      <c r="S18" s="773"/>
      <c r="T18" s="772"/>
      <c r="U18" s="773"/>
      <c r="V18" s="772"/>
      <c r="W18" s="773"/>
      <c r="X18" s="1814"/>
      <c r="Y18" s="3142"/>
      <c r="Z18" s="1815"/>
      <c r="AA18" s="1812">
        <v>1</v>
      </c>
      <c r="AB18" s="1812">
        <v>1</v>
      </c>
      <c r="AC18" s="2672">
        <v>1</v>
      </c>
    </row>
    <row r="19" spans="1:29" ht="71.25">
      <c r="A19" s="428"/>
      <c r="B19" s="629" t="s">
        <v>2672</v>
      </c>
      <c r="C19" s="2673" t="str">
        <f>估价对象房地状况!C7</f>
        <v>估价对象周边无银行、商场、学校、医院，有社区超市等，公共配套设施较差。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49"/>
      <c r="Q19" s="1811" t="str">
        <f>B19</f>
        <v>公共配套设施</v>
      </c>
      <c r="R19" s="772" t="s">
        <v>17</v>
      </c>
      <c r="S19" s="773">
        <f>F19</f>
        <v>100</v>
      </c>
      <c r="T19" s="772" t="s">
        <v>17</v>
      </c>
      <c r="U19" s="773">
        <f>H19</f>
        <v>100</v>
      </c>
      <c r="V19" s="772" t="s">
        <v>17</v>
      </c>
      <c r="W19" s="773">
        <f>J19</f>
        <v>100</v>
      </c>
      <c r="X19" s="1814"/>
      <c r="Y19" s="3142"/>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149"/>
      <c r="Q20" s="1811"/>
      <c r="R20" s="772"/>
      <c r="S20" s="773"/>
      <c r="T20" s="772"/>
      <c r="U20" s="773"/>
      <c r="V20" s="772"/>
      <c r="W20" s="773"/>
      <c r="X20" s="1814"/>
      <c r="Y20" s="3142"/>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49"/>
      <c r="Q21" s="1811" t="str">
        <f>B21</f>
        <v>基础设施水平</v>
      </c>
      <c r="R21" s="772" t="s">
        <v>17</v>
      </c>
      <c r="S21" s="773">
        <f>F21</f>
        <v>100</v>
      </c>
      <c r="T21" s="772" t="s">
        <v>17</v>
      </c>
      <c r="U21" s="773">
        <f>H21</f>
        <v>100</v>
      </c>
      <c r="V21" s="772" t="s">
        <v>17</v>
      </c>
      <c r="W21" s="773">
        <f>J21</f>
        <v>100</v>
      </c>
      <c r="X21" s="1814"/>
      <c r="Y21" s="3142"/>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149"/>
      <c r="Q22" s="1811"/>
      <c r="R22" s="772"/>
      <c r="S22" s="773"/>
      <c r="T22" s="772"/>
      <c r="U22" s="773"/>
      <c r="V22" s="772"/>
      <c r="W22" s="773"/>
      <c r="X22" s="1814"/>
      <c r="Y22" s="3142"/>
      <c r="Z22" s="1815"/>
      <c r="AA22" s="1812">
        <v>1</v>
      </c>
      <c r="AB22" s="1812">
        <v>1</v>
      </c>
      <c r="AC22" s="2672">
        <v>1</v>
      </c>
    </row>
    <row r="23" spans="1:29" ht="57">
      <c r="A23" s="428"/>
      <c r="B23" s="629" t="s">
        <v>2674</v>
      </c>
      <c r="C23" s="2673" t="str">
        <f>估价对象房地状况!C9</f>
        <v>周边绿化均为城市绿化，无高等教育机构等，综合评价环境状况一般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49"/>
      <c r="Q23" s="1811" t="str">
        <f>B23</f>
        <v>环境质量</v>
      </c>
      <c r="R23" s="772" t="s">
        <v>17</v>
      </c>
      <c r="S23" s="773">
        <f>F23</f>
        <v>100</v>
      </c>
      <c r="T23" s="772" t="s">
        <v>17</v>
      </c>
      <c r="U23" s="773">
        <f>H23</f>
        <v>100</v>
      </c>
      <c r="V23" s="772" t="s">
        <v>17</v>
      </c>
      <c r="W23" s="773">
        <f>J23</f>
        <v>100</v>
      </c>
      <c r="X23" s="1814"/>
      <c r="Y23" s="3142"/>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149"/>
      <c r="Q24" s="1811"/>
      <c r="R24" s="772"/>
      <c r="S24" s="773"/>
      <c r="T24" s="772"/>
      <c r="U24" s="773"/>
      <c r="V24" s="772"/>
      <c r="W24" s="773"/>
      <c r="X24" s="1814"/>
      <c r="Y24" s="3142"/>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49"/>
      <c r="Q25" s="1811" t="str">
        <f>B25</f>
        <v>毗邻道路的类型与等级</v>
      </c>
      <c r="R25" s="772" t="s">
        <v>17</v>
      </c>
      <c r="S25" s="773">
        <f>F25</f>
        <v>100</v>
      </c>
      <c r="T25" s="772" t="s">
        <v>17</v>
      </c>
      <c r="U25" s="773">
        <f>H25</f>
        <v>100</v>
      </c>
      <c r="V25" s="772" t="s">
        <v>17</v>
      </c>
      <c r="W25" s="773">
        <f>J25</f>
        <v>100</v>
      </c>
      <c r="X25" s="1814"/>
      <c r="Y25" s="3142"/>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149"/>
      <c r="Q26" s="1811"/>
      <c r="R26" s="772"/>
      <c r="S26" s="773"/>
      <c r="T26" s="772"/>
      <c r="U26" s="773"/>
      <c r="V26" s="772"/>
      <c r="W26" s="773"/>
      <c r="X26" s="1814"/>
      <c r="Y26" s="3142"/>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149"/>
      <c r="Q27" s="1811" t="str">
        <f t="shared" ref="Q27:Q47" si="11">B27</f>
        <v>楼层</v>
      </c>
      <c r="R27" s="772" t="s">
        <v>17</v>
      </c>
      <c r="S27" s="773">
        <f>F27</f>
        <v>100</v>
      </c>
      <c r="T27" s="772" t="s">
        <v>17</v>
      </c>
      <c r="U27" s="773">
        <f>H27</f>
        <v>100</v>
      </c>
      <c r="V27" s="772" t="s">
        <v>17</v>
      </c>
      <c r="W27" s="773">
        <f>J27</f>
        <v>100</v>
      </c>
      <c r="X27" s="1814"/>
      <c r="Y27" s="3142"/>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49"/>
      <c r="Q28" s="1796" t="str">
        <f t="shared" si="11"/>
        <v>朝向</v>
      </c>
      <c r="R28" s="768" t="s">
        <v>17</v>
      </c>
      <c r="S28" s="769">
        <f>F28</f>
        <v>100</v>
      </c>
      <c r="T28" s="768" t="s">
        <v>17</v>
      </c>
      <c r="U28" s="769">
        <f>H28</f>
        <v>100</v>
      </c>
      <c r="V28" s="768" t="s">
        <v>17</v>
      </c>
      <c r="W28" s="769">
        <f>J28</f>
        <v>100</v>
      </c>
      <c r="X28" s="770"/>
      <c r="Y28" s="3142"/>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49"/>
      <c r="Q29" s="1811">
        <f t="shared" si="11"/>
        <v>111</v>
      </c>
      <c r="R29" s="772" t="s">
        <v>17</v>
      </c>
      <c r="S29" s="773">
        <f t="shared" ref="S29:S47" si="12">F29</f>
        <v>100</v>
      </c>
      <c r="T29" s="772" t="s">
        <v>17</v>
      </c>
      <c r="U29" s="773">
        <f t="shared" ref="U29:U47" si="13">H29</f>
        <v>100</v>
      </c>
      <c r="V29" s="772" t="s">
        <v>17</v>
      </c>
      <c r="W29" s="773">
        <f t="shared" ref="W29:W47" si="14">J29</f>
        <v>100</v>
      </c>
      <c r="X29" s="1814"/>
      <c r="Y29" s="3142"/>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49"/>
      <c r="Q30" s="1811">
        <f t="shared" si="11"/>
        <v>111</v>
      </c>
      <c r="R30" s="772" t="s">
        <v>17</v>
      </c>
      <c r="S30" s="773">
        <f t="shared" si="12"/>
        <v>100</v>
      </c>
      <c r="T30" s="772" t="s">
        <v>17</v>
      </c>
      <c r="U30" s="773">
        <f t="shared" si="13"/>
        <v>100</v>
      </c>
      <c r="V30" s="772" t="s">
        <v>17</v>
      </c>
      <c r="W30" s="773">
        <f t="shared" si="14"/>
        <v>100</v>
      </c>
      <c r="X30" s="1814"/>
      <c r="Y30" s="3142"/>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49"/>
      <c r="Q31" s="1811">
        <f t="shared" si="11"/>
        <v>111</v>
      </c>
      <c r="R31" s="772" t="s">
        <v>17</v>
      </c>
      <c r="S31" s="773">
        <f t="shared" si="12"/>
        <v>100</v>
      </c>
      <c r="T31" s="772" t="s">
        <v>17</v>
      </c>
      <c r="U31" s="773">
        <f t="shared" si="13"/>
        <v>100</v>
      </c>
      <c r="V31" s="772" t="s">
        <v>17</v>
      </c>
      <c r="W31" s="773">
        <f t="shared" si="14"/>
        <v>100</v>
      </c>
      <c r="X31" s="1814"/>
      <c r="Y31" s="3142"/>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49"/>
      <c r="Q32" s="1811">
        <f t="shared" si="11"/>
        <v>111</v>
      </c>
      <c r="R32" s="772" t="s">
        <v>17</v>
      </c>
      <c r="S32" s="773">
        <f t="shared" si="12"/>
        <v>100</v>
      </c>
      <c r="T32" s="772" t="s">
        <v>17</v>
      </c>
      <c r="U32" s="773">
        <f t="shared" si="13"/>
        <v>100</v>
      </c>
      <c r="V32" s="772" t="s">
        <v>17</v>
      </c>
      <c r="W32" s="773">
        <f t="shared" si="14"/>
        <v>100</v>
      </c>
      <c r="X32" s="1814"/>
      <c r="Y32" s="3142"/>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43" t="s">
        <v>2550</v>
      </c>
      <c r="Q33" s="1811" t="str">
        <f t="shared" si="11"/>
        <v>建筑类型</v>
      </c>
      <c r="R33" s="772" t="s">
        <v>17</v>
      </c>
      <c r="S33" s="773">
        <f t="shared" si="12"/>
        <v>100</v>
      </c>
      <c r="T33" s="772" t="s">
        <v>17</v>
      </c>
      <c r="U33" s="773">
        <f t="shared" si="13"/>
        <v>100</v>
      </c>
      <c r="V33" s="772" t="s">
        <v>17</v>
      </c>
      <c r="W33" s="773">
        <f t="shared" si="14"/>
        <v>100</v>
      </c>
      <c r="X33" s="1814"/>
      <c r="Y33" s="3146"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144"/>
      <c r="Q34" s="774" t="str">
        <f t="shared" si="11"/>
        <v>项目建筑规模</v>
      </c>
      <c r="R34" s="775" t="s">
        <v>17</v>
      </c>
      <c r="S34" s="776" t="e">
        <f t="shared" si="12"/>
        <v>#N/A</v>
      </c>
      <c r="T34" s="775" t="s">
        <v>17</v>
      </c>
      <c r="U34" s="776" t="e">
        <f t="shared" si="13"/>
        <v>#N/A</v>
      </c>
      <c r="V34" s="775" t="s">
        <v>17</v>
      </c>
      <c r="W34" s="776" t="e">
        <f t="shared" si="14"/>
        <v>#N/A</v>
      </c>
      <c r="X34" s="777"/>
      <c r="Y34" s="3146"/>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44"/>
      <c r="Q35" s="1811" t="str">
        <f t="shared" si="11"/>
        <v>建筑结构</v>
      </c>
      <c r="R35" s="772" t="s">
        <v>17</v>
      </c>
      <c r="S35" s="773">
        <f t="shared" si="12"/>
        <v>100</v>
      </c>
      <c r="T35" s="772" t="s">
        <v>17</v>
      </c>
      <c r="U35" s="773">
        <f t="shared" si="13"/>
        <v>100</v>
      </c>
      <c r="V35" s="772" t="s">
        <v>17</v>
      </c>
      <c r="W35" s="773">
        <f t="shared" si="14"/>
        <v>100</v>
      </c>
      <c r="X35" s="1814"/>
      <c r="Y35" s="3146"/>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44"/>
      <c r="Q36" s="1811" t="str">
        <f t="shared" si="11"/>
        <v>公共部分装修</v>
      </c>
      <c r="R36" s="772" t="s">
        <v>17</v>
      </c>
      <c r="S36" s="773">
        <f t="shared" si="12"/>
        <v>100</v>
      </c>
      <c r="T36" s="772" t="s">
        <v>17</v>
      </c>
      <c r="U36" s="773">
        <f t="shared" si="13"/>
        <v>100</v>
      </c>
      <c r="V36" s="772" t="s">
        <v>17</v>
      </c>
      <c r="W36" s="773">
        <f t="shared" si="14"/>
        <v>100</v>
      </c>
      <c r="X36" s="1814"/>
      <c r="Y36" s="3146"/>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44"/>
      <c r="Q37" s="1811" t="str">
        <f t="shared" si="11"/>
        <v>成新度</v>
      </c>
      <c r="R37" s="772" t="s">
        <v>17</v>
      </c>
      <c r="S37" s="773" t="e">
        <f t="shared" si="12"/>
        <v>#N/A</v>
      </c>
      <c r="T37" s="772" t="s">
        <v>17</v>
      </c>
      <c r="U37" s="773" t="e">
        <f t="shared" si="13"/>
        <v>#N/A</v>
      </c>
      <c r="V37" s="772" t="s">
        <v>17</v>
      </c>
      <c r="W37" s="773" t="e">
        <f t="shared" si="14"/>
        <v>#N/A</v>
      </c>
      <c r="X37" s="1814"/>
      <c r="Y37" s="3146"/>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44"/>
      <c r="Q38" s="1796" t="str">
        <f t="shared" si="11"/>
        <v>写字楼等级</v>
      </c>
      <c r="R38" s="768" t="s">
        <v>17</v>
      </c>
      <c r="S38" s="769">
        <f t="shared" si="12"/>
        <v>100</v>
      </c>
      <c r="T38" s="768" t="s">
        <v>17</v>
      </c>
      <c r="U38" s="769">
        <f t="shared" si="13"/>
        <v>100</v>
      </c>
      <c r="V38" s="768" t="s">
        <v>17</v>
      </c>
      <c r="W38" s="769">
        <f t="shared" si="14"/>
        <v>100</v>
      </c>
      <c r="X38" s="770"/>
      <c r="Y38" s="3146"/>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44" t="s">
        <v>2550</v>
      </c>
      <c r="Q39" s="1811" t="str">
        <f t="shared" si="11"/>
        <v>物业管理</v>
      </c>
      <c r="R39" s="772" t="s">
        <v>17</v>
      </c>
      <c r="S39" s="773">
        <f t="shared" si="12"/>
        <v>100</v>
      </c>
      <c r="T39" s="772" t="s">
        <v>17</v>
      </c>
      <c r="U39" s="773">
        <f t="shared" si="13"/>
        <v>100</v>
      </c>
      <c r="V39" s="772" t="s">
        <v>17</v>
      </c>
      <c r="W39" s="773">
        <f t="shared" si="14"/>
        <v>100</v>
      </c>
      <c r="X39" s="1814"/>
      <c r="Y39" s="3146"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44"/>
      <c r="Q40" s="1811" t="str">
        <f t="shared" si="11"/>
        <v>市政基础设施</v>
      </c>
      <c r="R40" s="772" t="s">
        <v>17</v>
      </c>
      <c r="S40" s="773">
        <f t="shared" si="12"/>
        <v>100</v>
      </c>
      <c r="T40" s="772" t="s">
        <v>17</v>
      </c>
      <c r="U40" s="773">
        <f t="shared" si="13"/>
        <v>100</v>
      </c>
      <c r="V40" s="772" t="s">
        <v>17</v>
      </c>
      <c r="W40" s="773">
        <f t="shared" si="14"/>
        <v>100</v>
      </c>
      <c r="X40" s="1814"/>
      <c r="Y40" s="3146"/>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44"/>
      <c r="Q41" s="1811" t="str">
        <f t="shared" si="11"/>
        <v>层高</v>
      </c>
      <c r="R41" s="772" t="s">
        <v>17</v>
      </c>
      <c r="S41" s="773">
        <f t="shared" si="12"/>
        <v>100</v>
      </c>
      <c r="T41" s="772" t="s">
        <v>17</v>
      </c>
      <c r="U41" s="773">
        <f t="shared" si="13"/>
        <v>100</v>
      </c>
      <c r="V41" s="772" t="s">
        <v>17</v>
      </c>
      <c r="W41" s="773">
        <f t="shared" si="14"/>
        <v>100</v>
      </c>
      <c r="X41" s="1814"/>
      <c r="Y41" s="3146"/>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44"/>
      <c r="Q42" s="774" t="str">
        <f t="shared" si="11"/>
        <v>单套建筑面积</v>
      </c>
      <c r="R42" s="775" t="s">
        <v>17</v>
      </c>
      <c r="S42" s="776">
        <f t="shared" si="12"/>
        <v>100</v>
      </c>
      <c r="T42" s="775" t="s">
        <v>17</v>
      </c>
      <c r="U42" s="776">
        <f t="shared" si="13"/>
        <v>100</v>
      </c>
      <c r="V42" s="775" t="s">
        <v>17</v>
      </c>
      <c r="W42" s="776">
        <f t="shared" si="14"/>
        <v>100</v>
      </c>
      <c r="X42" s="777"/>
      <c r="Y42" s="3146"/>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44"/>
      <c r="Q43" s="1811" t="str">
        <f t="shared" si="11"/>
        <v>内部装修</v>
      </c>
      <c r="R43" s="772" t="s">
        <v>17</v>
      </c>
      <c r="S43" s="773">
        <f t="shared" si="12"/>
        <v>100</v>
      </c>
      <c r="T43" s="772" t="s">
        <v>17</v>
      </c>
      <c r="U43" s="773">
        <f t="shared" si="13"/>
        <v>100</v>
      </c>
      <c r="V43" s="772" t="s">
        <v>17</v>
      </c>
      <c r="W43" s="773">
        <f t="shared" si="14"/>
        <v>100</v>
      </c>
      <c r="X43" s="1814"/>
      <c r="Y43" s="3146"/>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44"/>
      <c r="Q44" s="1811" t="str">
        <f t="shared" si="11"/>
        <v>内部装修维护情况</v>
      </c>
      <c r="R44" s="772" t="s">
        <v>17</v>
      </c>
      <c r="S44" s="773">
        <f t="shared" si="12"/>
        <v>100</v>
      </c>
      <c r="T44" s="772" t="s">
        <v>17</v>
      </c>
      <c r="U44" s="773">
        <f t="shared" si="13"/>
        <v>100</v>
      </c>
      <c r="V44" s="772" t="s">
        <v>17</v>
      </c>
      <c r="W44" s="773">
        <f t="shared" si="14"/>
        <v>100</v>
      </c>
      <c r="X44" s="1814"/>
      <c r="Y44" s="3146"/>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144"/>
      <c r="Q45" s="1796">
        <f t="shared" si="11"/>
        <v>111</v>
      </c>
      <c r="R45" s="768" t="s">
        <v>17</v>
      </c>
      <c r="S45" s="769">
        <f t="shared" si="12"/>
        <v>100</v>
      </c>
      <c r="T45" s="768" t="s">
        <v>17</v>
      </c>
      <c r="U45" s="769">
        <f t="shared" si="13"/>
        <v>100</v>
      </c>
      <c r="V45" s="768" t="s">
        <v>17</v>
      </c>
      <c r="W45" s="769">
        <f t="shared" si="14"/>
        <v>100</v>
      </c>
      <c r="X45" s="770"/>
      <c r="Y45" s="3146"/>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44"/>
      <c r="Q46" s="1811">
        <f t="shared" si="11"/>
        <v>111</v>
      </c>
      <c r="R46" s="772" t="s">
        <v>17</v>
      </c>
      <c r="S46" s="773">
        <f t="shared" si="12"/>
        <v>100</v>
      </c>
      <c r="T46" s="772" t="s">
        <v>17</v>
      </c>
      <c r="U46" s="773">
        <f t="shared" si="13"/>
        <v>100</v>
      </c>
      <c r="V46" s="772" t="s">
        <v>17</v>
      </c>
      <c r="W46" s="773">
        <f t="shared" si="14"/>
        <v>100</v>
      </c>
      <c r="X46" s="1814"/>
      <c r="Y46" s="3146"/>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45"/>
      <c r="Q47" s="1811">
        <f t="shared" si="11"/>
        <v>111</v>
      </c>
      <c r="R47" s="772" t="s">
        <v>17</v>
      </c>
      <c r="S47" s="773">
        <f t="shared" si="12"/>
        <v>100</v>
      </c>
      <c r="T47" s="772" t="s">
        <v>17</v>
      </c>
      <c r="U47" s="773">
        <f t="shared" si="13"/>
        <v>100</v>
      </c>
      <c r="V47" s="772" t="s">
        <v>17</v>
      </c>
      <c r="W47" s="773">
        <f t="shared" si="14"/>
        <v>100</v>
      </c>
      <c r="X47" s="1814"/>
      <c r="Y47" s="3147"/>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150" t="str">
        <f>A48</f>
        <v>成交单价（元/平方米）</v>
      </c>
      <c r="Q48" s="3139"/>
      <c r="R48" s="3140">
        <f>E48</f>
        <v>0</v>
      </c>
      <c r="S48" s="3140"/>
      <c r="T48" s="3140">
        <f>G48</f>
        <v>0</v>
      </c>
      <c r="U48" s="3140"/>
      <c r="V48" s="3140">
        <f>I48</f>
        <v>0</v>
      </c>
      <c r="W48" s="3140"/>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150" t="str">
        <f>A49</f>
        <v>比较价值（元/平方米）</v>
      </c>
      <c r="Q49" s="3139"/>
      <c r="R49" s="3140" t="e">
        <f>IF(F1="售价",ROUND(PRODUCT(R48,AA7:AA47),0),ROUND(PRODUCT(R48,AA7:AA47),1))</f>
        <v>#DIV/0!</v>
      </c>
      <c r="S49" s="3140"/>
      <c r="T49" s="3140" t="e">
        <f>IF(F1="售价",ROUND(PRODUCT(T48,AB7:AB47),0),ROUND(PRODUCT(T48,AB7:AB47),1))</f>
        <v>#DIV/0!</v>
      </c>
      <c r="U49" s="3140"/>
      <c r="V49" s="3140" t="e">
        <f>IF(F1="售价",ROUND(PRODUCT(V48,AC7:AC47),0),ROUND(PRODUCT(V48,AC7:AC47),1))</f>
        <v>#DIV/0!</v>
      </c>
      <c r="W49" s="3140"/>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213" t="str">
        <f>A50</f>
        <v>估价对象XX用房的比较价值（楼面单价，元/平方米）</v>
      </c>
      <c r="Q50" s="3214"/>
      <c r="R50" s="3215" t="e">
        <f>IF(F1="售价",ROUND(AVERAGE(R49:V49),0),ROUND(AVERAGE(R49:V49),1))</f>
        <v>#DIV/0!</v>
      </c>
      <c r="S50" s="3215"/>
      <c r="T50" s="3215"/>
      <c r="U50" s="3215"/>
      <c r="V50" s="3215"/>
      <c r="W50" s="3215"/>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三河天洋城房地产开发有限公司：</v>
      </c>
    </row>
    <row r="4" spans="1:1" ht="54">
      <c r="A4" s="1949" t="str">
        <f>"受贵公司委托，我公司对"&amp;项目基本情况!S1&amp;"进行了预评估。"</f>
        <v>受贵公司委托，我公司对河北省廊坊市三河市燕郊开发区迎宾南路东侧、南城大街南侧天洋城4代商业·荷塘月色时尚街区S9号楼房地产抵押价值进行了预评估。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4145.53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52" t="s">
        <v>2633</v>
      </c>
      <c r="AC4" s="3151" t="s">
        <v>2634</v>
      </c>
    </row>
    <row r="5" spans="1:29" ht="15">
      <c r="A5" s="404"/>
      <c r="B5" s="405"/>
      <c r="C5" s="3226" t="s">
        <v>2527</v>
      </c>
      <c r="D5" s="3174"/>
      <c r="E5" s="3229" t="s">
        <v>2528</v>
      </c>
      <c r="F5" s="3181"/>
      <c r="G5" s="3226" t="s">
        <v>2529</v>
      </c>
      <c r="H5" s="3174"/>
      <c r="I5" s="3226" t="s">
        <v>2530</v>
      </c>
      <c r="J5" s="3174"/>
      <c r="K5" s="610"/>
      <c r="L5" s="1130"/>
      <c r="M5" s="1131"/>
      <c r="N5" s="1131"/>
      <c r="O5" s="1131"/>
      <c r="P5" s="3160"/>
      <c r="Q5" s="3161"/>
      <c r="R5" s="3166"/>
      <c r="S5" s="3167"/>
      <c r="T5" s="3166"/>
      <c r="U5" s="3167"/>
      <c r="V5" s="3170"/>
      <c r="W5" s="3170"/>
      <c r="X5" s="1814"/>
      <c r="Y5" s="3166"/>
      <c r="Z5" s="3167"/>
      <c r="AA5" s="3152"/>
      <c r="AB5" s="3152"/>
      <c r="AC5" s="3152"/>
    </row>
    <row r="6" spans="1:29" ht="15.75" thickBot="1">
      <c r="A6" s="406"/>
      <c r="B6" s="407"/>
      <c r="C6" s="3171" t="s">
        <v>2531</v>
      </c>
      <c r="D6" s="3172"/>
      <c r="E6" s="3178" t="s">
        <v>2531</v>
      </c>
      <c r="F6" s="3179"/>
      <c r="G6" s="3171" t="s">
        <v>2531</v>
      </c>
      <c r="H6" s="3172"/>
      <c r="I6" s="3171" t="s">
        <v>2531</v>
      </c>
      <c r="J6" s="3172"/>
      <c r="K6" s="610" t="s">
        <v>2532</v>
      </c>
      <c r="L6" s="1130"/>
      <c r="M6" s="1131"/>
      <c r="N6" s="1131"/>
      <c r="O6" s="1131"/>
      <c r="P6" s="3162"/>
      <c r="Q6" s="3163"/>
      <c r="R6" s="3166"/>
      <c r="S6" s="3167"/>
      <c r="T6" s="3168"/>
      <c r="U6" s="3169"/>
      <c r="V6" s="3170"/>
      <c r="W6" s="3170"/>
      <c r="X6" s="1814"/>
      <c r="Y6" s="3168"/>
      <c r="Z6" s="3169"/>
      <c r="AA6" s="3153"/>
      <c r="AB6" s="3153"/>
      <c r="AC6" s="3153"/>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2534</v>
      </c>
      <c r="Q7" s="3177"/>
      <c r="R7" s="768" t="s">
        <v>17</v>
      </c>
      <c r="S7" s="769">
        <f t="shared" ref="S7:S15" si="0">F7</f>
        <v>0</v>
      </c>
      <c r="T7" s="768" t="s">
        <v>17</v>
      </c>
      <c r="U7" s="769">
        <f t="shared" ref="U7:U15" si="1">H7</f>
        <v>0</v>
      </c>
      <c r="V7" s="768" t="s">
        <v>17</v>
      </c>
      <c r="W7" s="769">
        <f t="shared" ref="W7:W15" si="2">J7</f>
        <v>0</v>
      </c>
      <c r="X7" s="770"/>
      <c r="Y7" s="3175" t="s">
        <v>2534</v>
      </c>
      <c r="Z7" s="3176"/>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2537</v>
      </c>
      <c r="Q8" s="3176"/>
      <c r="R8" s="768" t="s">
        <v>17</v>
      </c>
      <c r="S8" s="769">
        <f t="shared" si="0"/>
        <v>0</v>
      </c>
      <c r="T8" s="768" t="s">
        <v>17</v>
      </c>
      <c r="U8" s="769">
        <f t="shared" si="1"/>
        <v>0</v>
      </c>
      <c r="V8" s="768" t="s">
        <v>17</v>
      </c>
      <c r="W8" s="769">
        <f t="shared" si="2"/>
        <v>0</v>
      </c>
      <c r="X8" s="770"/>
      <c r="Y8" s="3175" t="s">
        <v>2537</v>
      </c>
      <c r="Z8" s="3176"/>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39"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39"/>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39"/>
      <c r="Q11" s="1796" t="str">
        <f t="shared" si="6"/>
        <v>容积率</v>
      </c>
      <c r="R11" s="768" t="s">
        <v>17</v>
      </c>
      <c r="S11" s="769" t="e">
        <f t="shared" si="0"/>
        <v>#N/A</v>
      </c>
      <c r="T11" s="768" t="s">
        <v>17</v>
      </c>
      <c r="U11" s="769" t="e">
        <f t="shared" si="1"/>
        <v>#N/A</v>
      </c>
      <c r="V11" s="768" t="s">
        <v>17</v>
      </c>
      <c r="W11" s="769" t="e">
        <f t="shared" si="2"/>
        <v>#N/A</v>
      </c>
      <c r="X11" s="770"/>
      <c r="Y11" s="2994"/>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139"/>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139"/>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39"/>
      <c r="Q14" s="1796">
        <f t="shared" si="6"/>
        <v>111</v>
      </c>
      <c r="R14" s="768" t="s">
        <v>17</v>
      </c>
      <c r="S14" s="769">
        <f t="shared" si="0"/>
        <v>100</v>
      </c>
      <c r="T14" s="768" t="s">
        <v>17</v>
      </c>
      <c r="U14" s="769">
        <f t="shared" si="1"/>
        <v>100</v>
      </c>
      <c r="V14" s="768" t="s">
        <v>17</v>
      </c>
      <c r="W14" s="769">
        <f t="shared" si="2"/>
        <v>100</v>
      </c>
      <c r="X14" s="770"/>
      <c r="Y14" s="2994"/>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41" t="s">
        <v>2545</v>
      </c>
      <c r="Q15" s="1811" t="str">
        <f t="shared" si="6"/>
        <v>产业集聚程度</v>
      </c>
      <c r="R15" s="772" t="s">
        <v>17</v>
      </c>
      <c r="S15" s="773">
        <f t="shared" si="0"/>
        <v>100</v>
      </c>
      <c r="T15" s="772" t="s">
        <v>17</v>
      </c>
      <c r="U15" s="773">
        <f t="shared" si="1"/>
        <v>100</v>
      </c>
      <c r="V15" s="772" t="s">
        <v>17</v>
      </c>
      <c r="W15" s="773">
        <f t="shared" si="2"/>
        <v>100</v>
      </c>
      <c r="X15" s="1814"/>
      <c r="Y15" s="3141"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142"/>
      <c r="Q16" s="1811"/>
      <c r="R16" s="772"/>
      <c r="S16" s="773"/>
      <c r="T16" s="772"/>
      <c r="U16" s="773"/>
      <c r="V16" s="772"/>
      <c r="W16" s="773"/>
      <c r="X16" s="1814"/>
      <c r="Y16" s="3142"/>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42"/>
      <c r="Q17" s="1811" t="str">
        <f>B17</f>
        <v>交通便捷度</v>
      </c>
      <c r="R17" s="772" t="s">
        <v>17</v>
      </c>
      <c r="S17" s="773">
        <f>F17</f>
        <v>100</v>
      </c>
      <c r="T17" s="772" t="s">
        <v>17</v>
      </c>
      <c r="U17" s="773">
        <f>H17</f>
        <v>100</v>
      </c>
      <c r="V17" s="772" t="s">
        <v>17</v>
      </c>
      <c r="W17" s="773">
        <f>J17</f>
        <v>100</v>
      </c>
      <c r="X17" s="1814"/>
      <c r="Y17" s="3142"/>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142"/>
      <c r="Q18" s="1811"/>
      <c r="R18" s="772"/>
      <c r="S18" s="773"/>
      <c r="T18" s="772"/>
      <c r="U18" s="773"/>
      <c r="V18" s="772"/>
      <c r="W18" s="773"/>
      <c r="X18" s="1814"/>
      <c r="Y18" s="3142"/>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42"/>
      <c r="Q19" s="1811" t="str">
        <f>B19</f>
        <v>公共配套设施</v>
      </c>
      <c r="R19" s="772" t="s">
        <v>17</v>
      </c>
      <c r="S19" s="773">
        <f>F19</f>
        <v>100</v>
      </c>
      <c r="T19" s="772" t="s">
        <v>17</v>
      </c>
      <c r="U19" s="773">
        <f>H19</f>
        <v>100</v>
      </c>
      <c r="V19" s="772" t="s">
        <v>17</v>
      </c>
      <c r="W19" s="773">
        <f>J19</f>
        <v>100</v>
      </c>
      <c r="X19" s="1814"/>
      <c r="Y19" s="3142"/>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142"/>
      <c r="Q20" s="1811"/>
      <c r="R20" s="772"/>
      <c r="S20" s="773"/>
      <c r="T20" s="772"/>
      <c r="U20" s="773"/>
      <c r="V20" s="772"/>
      <c r="W20" s="773"/>
      <c r="X20" s="1814"/>
      <c r="Y20" s="3142"/>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42"/>
      <c r="Q21" s="1811" t="str">
        <f>B21</f>
        <v>基础设施水平</v>
      </c>
      <c r="R21" s="772" t="s">
        <v>17</v>
      </c>
      <c r="S21" s="773">
        <f>F21</f>
        <v>100</v>
      </c>
      <c r="T21" s="772" t="s">
        <v>17</v>
      </c>
      <c r="U21" s="773">
        <f>H21</f>
        <v>100</v>
      </c>
      <c r="V21" s="772" t="s">
        <v>17</v>
      </c>
      <c r="W21" s="773">
        <f>J21</f>
        <v>100</v>
      </c>
      <c r="X21" s="1814"/>
      <c r="Y21" s="3142"/>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142"/>
      <c r="Q22" s="1811"/>
      <c r="R22" s="772"/>
      <c r="S22" s="773"/>
      <c r="T22" s="772"/>
      <c r="U22" s="773"/>
      <c r="V22" s="772"/>
      <c r="W22" s="773"/>
      <c r="X22" s="1814"/>
      <c r="Y22" s="3142"/>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42"/>
      <c r="Q23" s="1811" t="str">
        <f>B23</f>
        <v>环境质量</v>
      </c>
      <c r="R23" s="772" t="s">
        <v>17</v>
      </c>
      <c r="S23" s="773">
        <f>F23</f>
        <v>100</v>
      </c>
      <c r="T23" s="772" t="s">
        <v>17</v>
      </c>
      <c r="U23" s="773">
        <f>H23</f>
        <v>100</v>
      </c>
      <c r="V23" s="772" t="s">
        <v>17</v>
      </c>
      <c r="W23" s="773">
        <f>J23</f>
        <v>100</v>
      </c>
      <c r="X23" s="1814"/>
      <c r="Y23" s="3142"/>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142"/>
      <c r="Q24" s="1811"/>
      <c r="R24" s="772"/>
      <c r="S24" s="773"/>
      <c r="T24" s="772"/>
      <c r="U24" s="773"/>
      <c r="V24" s="772"/>
      <c r="W24" s="773"/>
      <c r="X24" s="1814"/>
      <c r="Y24" s="3142"/>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42"/>
      <c r="Q25" s="1811">
        <f>B25</f>
        <v>111</v>
      </c>
      <c r="R25" s="772" t="s">
        <v>17</v>
      </c>
      <c r="S25" s="773">
        <f>F25</f>
        <v>100</v>
      </c>
      <c r="T25" s="772" t="s">
        <v>17</v>
      </c>
      <c r="U25" s="773">
        <f>H25</f>
        <v>100</v>
      </c>
      <c r="V25" s="772" t="s">
        <v>17</v>
      </c>
      <c r="W25" s="773">
        <f>J25</f>
        <v>100</v>
      </c>
      <c r="X25" s="1814"/>
      <c r="Y25" s="3142"/>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42"/>
      <c r="Q26" s="1811">
        <f t="shared" ref="Q26:Q40" si="11">B26</f>
        <v>111</v>
      </c>
      <c r="R26" s="772" t="s">
        <v>17</v>
      </c>
      <c r="S26" s="773">
        <f>F26</f>
        <v>100</v>
      </c>
      <c r="T26" s="772" t="s">
        <v>17</v>
      </c>
      <c r="U26" s="773">
        <f>H26</f>
        <v>100</v>
      </c>
      <c r="V26" s="772" t="s">
        <v>17</v>
      </c>
      <c r="W26" s="773">
        <f>J26</f>
        <v>100</v>
      </c>
      <c r="X26" s="1814"/>
      <c r="Y26" s="3142"/>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42"/>
      <c r="Q27" s="1796">
        <f t="shared" si="11"/>
        <v>111</v>
      </c>
      <c r="R27" s="768" t="s">
        <v>17</v>
      </c>
      <c r="S27" s="769">
        <f>F27</f>
        <v>100</v>
      </c>
      <c r="T27" s="768" t="s">
        <v>17</v>
      </c>
      <c r="U27" s="769">
        <f>H27</f>
        <v>100</v>
      </c>
      <c r="V27" s="768" t="s">
        <v>17</v>
      </c>
      <c r="W27" s="769">
        <f>J27</f>
        <v>100</v>
      </c>
      <c r="X27" s="770"/>
      <c r="Y27" s="3142"/>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42"/>
      <c r="Q28" s="1811">
        <f t="shared" si="11"/>
        <v>111</v>
      </c>
      <c r="R28" s="772" t="s">
        <v>17</v>
      </c>
      <c r="S28" s="773">
        <f t="shared" ref="S28:S40" si="12">F28</f>
        <v>100</v>
      </c>
      <c r="T28" s="772" t="s">
        <v>17</v>
      </c>
      <c r="U28" s="773">
        <f t="shared" ref="U28:U40" si="13">H28</f>
        <v>100</v>
      </c>
      <c r="V28" s="772" t="s">
        <v>17</v>
      </c>
      <c r="W28" s="773">
        <f t="shared" ref="W28:W40" si="14">J28</f>
        <v>100</v>
      </c>
      <c r="X28" s="1814"/>
      <c r="Y28" s="3142"/>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0" t="s">
        <v>2550</v>
      </c>
      <c r="Q29" s="1811" t="str">
        <f t="shared" si="11"/>
        <v>建筑类型</v>
      </c>
      <c r="R29" s="772" t="s">
        <v>17</v>
      </c>
      <c r="S29" s="773">
        <f t="shared" si="12"/>
        <v>100</v>
      </c>
      <c r="T29" s="772" t="s">
        <v>17</v>
      </c>
      <c r="U29" s="773">
        <f t="shared" si="13"/>
        <v>100</v>
      </c>
      <c r="V29" s="772" t="s">
        <v>17</v>
      </c>
      <c r="W29" s="773">
        <f t="shared" si="14"/>
        <v>100</v>
      </c>
      <c r="X29" s="1814"/>
      <c r="Y29" s="3146"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46"/>
      <c r="Q30" s="774" t="str">
        <f t="shared" si="11"/>
        <v>项目建筑规模</v>
      </c>
      <c r="R30" s="775" t="s">
        <v>17</v>
      </c>
      <c r="S30" s="776" t="e">
        <f t="shared" si="12"/>
        <v>#N/A</v>
      </c>
      <c r="T30" s="775" t="s">
        <v>17</v>
      </c>
      <c r="U30" s="776" t="e">
        <f t="shared" si="13"/>
        <v>#N/A</v>
      </c>
      <c r="V30" s="775" t="s">
        <v>17</v>
      </c>
      <c r="W30" s="776" t="e">
        <f t="shared" si="14"/>
        <v>#N/A</v>
      </c>
      <c r="X30" s="777"/>
      <c r="Y30" s="3146"/>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46"/>
      <c r="Q31" s="1811" t="str">
        <f t="shared" si="11"/>
        <v>建筑结构</v>
      </c>
      <c r="R31" s="772" t="s">
        <v>17</v>
      </c>
      <c r="S31" s="773">
        <f t="shared" si="12"/>
        <v>100</v>
      </c>
      <c r="T31" s="772" t="s">
        <v>17</v>
      </c>
      <c r="U31" s="773">
        <f t="shared" si="13"/>
        <v>100</v>
      </c>
      <c r="V31" s="772" t="s">
        <v>17</v>
      </c>
      <c r="W31" s="773">
        <f t="shared" si="14"/>
        <v>100</v>
      </c>
      <c r="X31" s="1814"/>
      <c r="Y31" s="3146"/>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46"/>
      <c r="Q32" s="1811" t="str">
        <f t="shared" si="11"/>
        <v>公共部分装修</v>
      </c>
      <c r="R32" s="772" t="s">
        <v>17</v>
      </c>
      <c r="S32" s="773">
        <f t="shared" si="12"/>
        <v>100</v>
      </c>
      <c r="T32" s="772" t="s">
        <v>17</v>
      </c>
      <c r="U32" s="773">
        <f t="shared" si="13"/>
        <v>100</v>
      </c>
      <c r="V32" s="772" t="s">
        <v>17</v>
      </c>
      <c r="W32" s="773">
        <f t="shared" si="14"/>
        <v>100</v>
      </c>
      <c r="X32" s="1814"/>
      <c r="Y32" s="3146"/>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46"/>
      <c r="Q33" s="1811" t="str">
        <f t="shared" si="11"/>
        <v>成新度</v>
      </c>
      <c r="R33" s="772" t="s">
        <v>17</v>
      </c>
      <c r="S33" s="773" t="e">
        <f t="shared" si="12"/>
        <v>#N/A</v>
      </c>
      <c r="T33" s="772" t="s">
        <v>17</v>
      </c>
      <c r="U33" s="773" t="e">
        <f t="shared" si="13"/>
        <v>#N/A</v>
      </c>
      <c r="V33" s="772" t="s">
        <v>17</v>
      </c>
      <c r="W33" s="773" t="e">
        <f t="shared" si="14"/>
        <v>#N/A</v>
      </c>
      <c r="X33" s="1814"/>
      <c r="Y33" s="3146"/>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46"/>
      <c r="Q34" s="1796" t="str">
        <f t="shared" si="11"/>
        <v>物业管理</v>
      </c>
      <c r="R34" s="768" t="s">
        <v>17</v>
      </c>
      <c r="S34" s="769">
        <f t="shared" si="12"/>
        <v>100</v>
      </c>
      <c r="T34" s="768" t="s">
        <v>17</v>
      </c>
      <c r="U34" s="769">
        <f t="shared" si="13"/>
        <v>100</v>
      </c>
      <c r="V34" s="768" t="s">
        <v>17</v>
      </c>
      <c r="W34" s="769">
        <f t="shared" si="14"/>
        <v>100</v>
      </c>
      <c r="X34" s="770"/>
      <c r="Y34" s="3146"/>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46" t="s">
        <v>2550</v>
      </c>
      <c r="Q35" s="1811" t="str">
        <f t="shared" si="11"/>
        <v>市政基础设施</v>
      </c>
      <c r="R35" s="772" t="s">
        <v>17</v>
      </c>
      <c r="S35" s="773">
        <f t="shared" si="12"/>
        <v>100</v>
      </c>
      <c r="T35" s="772" t="s">
        <v>17</v>
      </c>
      <c r="U35" s="773">
        <f t="shared" si="13"/>
        <v>100</v>
      </c>
      <c r="V35" s="772" t="s">
        <v>17</v>
      </c>
      <c r="W35" s="773">
        <f t="shared" si="14"/>
        <v>100</v>
      </c>
      <c r="X35" s="1814"/>
      <c r="Y35" s="3146"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46"/>
      <c r="Q36" s="1811" t="str">
        <f t="shared" si="11"/>
        <v>内部装修</v>
      </c>
      <c r="R36" s="772" t="s">
        <v>17</v>
      </c>
      <c r="S36" s="773">
        <f t="shared" si="12"/>
        <v>100</v>
      </c>
      <c r="T36" s="772" t="s">
        <v>17</v>
      </c>
      <c r="U36" s="773">
        <f t="shared" si="13"/>
        <v>100</v>
      </c>
      <c r="V36" s="772" t="s">
        <v>17</v>
      </c>
      <c r="W36" s="773">
        <f t="shared" si="14"/>
        <v>100</v>
      </c>
      <c r="X36" s="1814"/>
      <c r="Y36" s="3146"/>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46"/>
      <c r="Q37" s="1811" t="str">
        <f t="shared" si="11"/>
        <v>内部装修状况</v>
      </c>
      <c r="R37" s="772" t="s">
        <v>17</v>
      </c>
      <c r="S37" s="773">
        <f t="shared" si="12"/>
        <v>100</v>
      </c>
      <c r="T37" s="772" t="s">
        <v>17</v>
      </c>
      <c r="U37" s="773">
        <f t="shared" si="13"/>
        <v>100</v>
      </c>
      <c r="V37" s="772" t="s">
        <v>17</v>
      </c>
      <c r="W37" s="773">
        <f t="shared" si="14"/>
        <v>100</v>
      </c>
      <c r="X37" s="1814"/>
      <c r="Y37" s="3146"/>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46"/>
      <c r="Q38" s="774">
        <f t="shared" si="11"/>
        <v>111</v>
      </c>
      <c r="R38" s="775" t="s">
        <v>17</v>
      </c>
      <c r="S38" s="776">
        <f t="shared" si="12"/>
        <v>100</v>
      </c>
      <c r="T38" s="775" t="s">
        <v>17</v>
      </c>
      <c r="U38" s="776">
        <f t="shared" si="13"/>
        <v>100</v>
      </c>
      <c r="V38" s="775" t="s">
        <v>17</v>
      </c>
      <c r="W38" s="776">
        <f t="shared" si="14"/>
        <v>100</v>
      </c>
      <c r="X38" s="777"/>
      <c r="Y38" s="3146"/>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46"/>
      <c r="Q39" s="1811">
        <f t="shared" si="11"/>
        <v>111</v>
      </c>
      <c r="R39" s="772" t="s">
        <v>17</v>
      </c>
      <c r="S39" s="773">
        <f t="shared" si="12"/>
        <v>100</v>
      </c>
      <c r="T39" s="772" t="s">
        <v>17</v>
      </c>
      <c r="U39" s="773">
        <f t="shared" si="13"/>
        <v>100</v>
      </c>
      <c r="V39" s="772" t="s">
        <v>17</v>
      </c>
      <c r="W39" s="773">
        <f t="shared" si="14"/>
        <v>100</v>
      </c>
      <c r="X39" s="1814"/>
      <c r="Y39" s="3146"/>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47"/>
      <c r="Q40" s="1811">
        <f t="shared" si="11"/>
        <v>111</v>
      </c>
      <c r="R40" s="772" t="s">
        <v>17</v>
      </c>
      <c r="S40" s="773">
        <f t="shared" si="12"/>
        <v>100</v>
      </c>
      <c r="T40" s="772" t="s">
        <v>17</v>
      </c>
      <c r="U40" s="773">
        <f t="shared" si="13"/>
        <v>100</v>
      </c>
      <c r="V40" s="772" t="s">
        <v>17</v>
      </c>
      <c r="W40" s="773">
        <f t="shared" si="14"/>
        <v>100</v>
      </c>
      <c r="X40" s="1814"/>
      <c r="Y40" s="3147"/>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139" t="str">
        <f>A41</f>
        <v>成交单价（元/平方米）</v>
      </c>
      <c r="Q41" s="3139"/>
      <c r="R41" s="3140">
        <f>E41</f>
        <v>0</v>
      </c>
      <c r="S41" s="3140"/>
      <c r="T41" s="3140">
        <f>G41</f>
        <v>0</v>
      </c>
      <c r="U41" s="3140"/>
      <c r="V41" s="3140">
        <f>I41</f>
        <v>0</v>
      </c>
      <c r="W41" s="3140"/>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139" t="str">
        <f>A42</f>
        <v>比较价值（元/平方米）</v>
      </c>
      <c r="Q42" s="3139"/>
      <c r="R42" s="3140" t="e">
        <f>IF(F1="售价",ROUND(PRODUCT(R41,AA7:AA40),0),ROUND(PRODUCT(R41,AA7:AA40),1))</f>
        <v>#DIV/0!</v>
      </c>
      <c r="S42" s="3140"/>
      <c r="T42" s="3140" t="e">
        <f>IF(F1="售价",ROUND(PRODUCT(T41,AB7:AB40),0),ROUND(PRODUCT(T41,AB7:AB40),1))</f>
        <v>#DIV/0!</v>
      </c>
      <c r="U42" s="3140"/>
      <c r="V42" s="3140" t="e">
        <f>IF(F1="售价",ROUND(PRODUCT(V41,AC7:AC40),0),ROUND(PRODUCT(V41,AC7:AC40),1))</f>
        <v>#DIV/0!</v>
      </c>
      <c r="W42" s="3140"/>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136" t="str">
        <f>A43</f>
        <v>估价对象XX用房的比较价值（楼面单价，元/平方米）</v>
      </c>
      <c r="Q43" s="3137"/>
      <c r="R43" s="3138" t="e">
        <f>IF(F1="售价",ROUND(AVERAGE(R42:V42),0),ROUND(AVERAGE(R42:V42),1))</f>
        <v>#DIV/0!</v>
      </c>
      <c r="S43" s="3138"/>
      <c r="T43" s="3138"/>
      <c r="U43" s="3138"/>
      <c r="V43" s="3138"/>
      <c r="W43" s="3138"/>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52" t="s">
        <v>2633</v>
      </c>
      <c r="AC4" s="3151" t="s">
        <v>2634</v>
      </c>
    </row>
    <row r="5" spans="1:29" ht="15">
      <c r="A5" s="404"/>
      <c r="B5" s="405"/>
      <c r="C5" s="3226" t="s">
        <v>2527</v>
      </c>
      <c r="D5" s="3174"/>
      <c r="E5" s="3229" t="s">
        <v>2528</v>
      </c>
      <c r="F5" s="3181"/>
      <c r="G5" s="3226" t="s">
        <v>2529</v>
      </c>
      <c r="H5" s="3174"/>
      <c r="I5" s="3226" t="s">
        <v>2530</v>
      </c>
      <c r="J5" s="3174"/>
      <c r="K5" s="610"/>
      <c r="L5" s="1130"/>
      <c r="M5" s="1131"/>
      <c r="N5" s="1131"/>
      <c r="O5" s="1131"/>
      <c r="P5" s="3160"/>
      <c r="Q5" s="3161"/>
      <c r="R5" s="3166"/>
      <c r="S5" s="3167"/>
      <c r="T5" s="3166"/>
      <c r="U5" s="3167"/>
      <c r="V5" s="3170"/>
      <c r="W5" s="3170"/>
      <c r="X5" s="1814"/>
      <c r="Y5" s="3166"/>
      <c r="Z5" s="3167"/>
      <c r="AA5" s="3152"/>
      <c r="AB5" s="3152"/>
      <c r="AC5" s="3152"/>
    </row>
    <row r="6" spans="1:29" ht="15.75" thickBot="1">
      <c r="A6" s="406"/>
      <c r="B6" s="407"/>
      <c r="C6" s="3171" t="s">
        <v>2531</v>
      </c>
      <c r="D6" s="3172"/>
      <c r="E6" s="3178" t="s">
        <v>2531</v>
      </c>
      <c r="F6" s="3179"/>
      <c r="G6" s="3171" t="s">
        <v>2531</v>
      </c>
      <c r="H6" s="3172"/>
      <c r="I6" s="3171" t="s">
        <v>2531</v>
      </c>
      <c r="J6" s="3172"/>
      <c r="K6" s="610" t="s">
        <v>2532</v>
      </c>
      <c r="L6" s="1130"/>
      <c r="M6" s="1131"/>
      <c r="N6" s="1131"/>
      <c r="O6" s="1131"/>
      <c r="P6" s="3162"/>
      <c r="Q6" s="3163"/>
      <c r="R6" s="3166"/>
      <c r="S6" s="3167"/>
      <c r="T6" s="3168"/>
      <c r="U6" s="3169"/>
      <c r="V6" s="3170"/>
      <c r="W6" s="3170"/>
      <c r="X6" s="1814"/>
      <c r="Y6" s="3168"/>
      <c r="Z6" s="3169"/>
      <c r="AA6" s="3153"/>
      <c r="AB6" s="3153"/>
      <c r="AC6" s="3153"/>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2534</v>
      </c>
      <c r="Q7" s="3177"/>
      <c r="R7" s="768" t="s">
        <v>17</v>
      </c>
      <c r="S7" s="769">
        <f t="shared" ref="S7:S14" si="0">F7</f>
        <v>0</v>
      </c>
      <c r="T7" s="768" t="s">
        <v>17</v>
      </c>
      <c r="U7" s="769">
        <f t="shared" ref="U7:U14" si="1">H7</f>
        <v>0</v>
      </c>
      <c r="V7" s="768" t="s">
        <v>17</v>
      </c>
      <c r="W7" s="769">
        <f t="shared" ref="W7:W14" si="2">J7</f>
        <v>0</v>
      </c>
      <c r="X7" s="770"/>
      <c r="Y7" s="3175" t="s">
        <v>2534</v>
      </c>
      <c r="Z7" s="3176"/>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2537</v>
      </c>
      <c r="Q8" s="3176"/>
      <c r="R8" s="768" t="s">
        <v>17</v>
      </c>
      <c r="S8" s="769">
        <f t="shared" si="0"/>
        <v>0</v>
      </c>
      <c r="T8" s="768" t="s">
        <v>17</v>
      </c>
      <c r="U8" s="769">
        <f t="shared" si="1"/>
        <v>0</v>
      </c>
      <c r="V8" s="768" t="s">
        <v>17</v>
      </c>
      <c r="W8" s="769">
        <f t="shared" si="2"/>
        <v>0</v>
      </c>
      <c r="X8" s="770"/>
      <c r="Y8" s="3175" t="s">
        <v>2537</v>
      </c>
      <c r="Z8" s="3176"/>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39" t="s">
        <v>2540</v>
      </c>
      <c r="Q9" s="1796" t="str">
        <f t="shared" ref="Q9:Q14" si="6">B9</f>
        <v>用途</v>
      </c>
      <c r="R9" s="768" t="s">
        <v>17</v>
      </c>
      <c r="S9" s="769">
        <f t="shared" si="0"/>
        <v>100</v>
      </c>
      <c r="T9" s="768" t="s">
        <v>17</v>
      </c>
      <c r="U9" s="769">
        <f t="shared" si="1"/>
        <v>100</v>
      </c>
      <c r="V9" s="768" t="s">
        <v>17</v>
      </c>
      <c r="W9" s="769">
        <f t="shared" si="2"/>
        <v>100</v>
      </c>
      <c r="X9" s="770"/>
      <c r="Y9" s="2994"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39"/>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39"/>
      <c r="Q11" s="1796">
        <f t="shared" si="6"/>
        <v>111</v>
      </c>
      <c r="R11" s="768" t="s">
        <v>17</v>
      </c>
      <c r="S11" s="769">
        <f t="shared" si="0"/>
        <v>100</v>
      </c>
      <c r="T11" s="768" t="s">
        <v>17</v>
      </c>
      <c r="U11" s="769">
        <f t="shared" si="1"/>
        <v>100</v>
      </c>
      <c r="V11" s="768" t="s">
        <v>17</v>
      </c>
      <c r="W11" s="769">
        <f t="shared" si="2"/>
        <v>100</v>
      </c>
      <c r="X11" s="770"/>
      <c r="Y11" s="2994"/>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39"/>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39"/>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771">
        <f t="shared" si="5"/>
        <v>1</v>
      </c>
    </row>
    <row r="14" spans="1:29" ht="71.25">
      <c r="A14" s="401" t="s">
        <v>2544</v>
      </c>
      <c r="B14" s="627" t="s">
        <v>2693</v>
      </c>
      <c r="C14" s="2691" t="str">
        <f>IF(B1="工业",估价对象房地状况!G4,估价对象房地状况!C6)</f>
        <v>周边有302、快速直达专线102路等公交线路，交通便捷度一般。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41" t="s">
        <v>2545</v>
      </c>
      <c r="Q14" s="1811" t="str">
        <f t="shared" si="6"/>
        <v>交通便捷度</v>
      </c>
      <c r="R14" s="772" t="s">
        <v>17</v>
      </c>
      <c r="S14" s="773">
        <f t="shared" si="0"/>
        <v>100</v>
      </c>
      <c r="T14" s="772" t="s">
        <v>17</v>
      </c>
      <c r="U14" s="773">
        <f t="shared" si="1"/>
        <v>100</v>
      </c>
      <c r="V14" s="772" t="s">
        <v>17</v>
      </c>
      <c r="W14" s="773">
        <f t="shared" si="2"/>
        <v>100</v>
      </c>
      <c r="X14" s="1814"/>
      <c r="Y14" s="3141"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142"/>
      <c r="Q15" s="1811"/>
      <c r="R15" s="772"/>
      <c r="S15" s="773"/>
      <c r="T15" s="772"/>
      <c r="U15" s="773"/>
      <c r="V15" s="772"/>
      <c r="W15" s="773"/>
      <c r="X15" s="1814"/>
      <c r="Y15" s="3142"/>
      <c r="Z15" s="1815"/>
      <c r="AA15" s="1812">
        <v>1</v>
      </c>
      <c r="AB15" s="1812">
        <v>1</v>
      </c>
      <c r="AC15" s="1812">
        <v>1</v>
      </c>
    </row>
    <row r="16" spans="1:29" ht="71.25">
      <c r="A16" s="404"/>
      <c r="B16" s="629" t="s">
        <v>2672</v>
      </c>
      <c r="C16" s="2607" t="str">
        <f>IF(B1="工业",估价对象房地状况!G5,估价对象房地状况!C7)</f>
        <v>估价对象周边无银行、商场、学校、医院，有社区超市等，公共配套设施较差。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42"/>
      <c r="Q16" s="1811" t="str">
        <f>B16</f>
        <v>公共配套设施</v>
      </c>
      <c r="R16" s="772" t="s">
        <v>17</v>
      </c>
      <c r="S16" s="773">
        <f>F16</f>
        <v>100</v>
      </c>
      <c r="T16" s="772" t="s">
        <v>17</v>
      </c>
      <c r="U16" s="773">
        <f>H16</f>
        <v>100</v>
      </c>
      <c r="V16" s="772" t="s">
        <v>17</v>
      </c>
      <c r="W16" s="773">
        <f>J16</f>
        <v>100</v>
      </c>
      <c r="X16" s="1814"/>
      <c r="Y16" s="3142"/>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142"/>
      <c r="Q17" s="1811"/>
      <c r="R17" s="772"/>
      <c r="S17" s="773"/>
      <c r="T17" s="772"/>
      <c r="U17" s="773"/>
      <c r="V17" s="772"/>
      <c r="W17" s="773"/>
      <c r="X17" s="1814"/>
      <c r="Y17" s="3142"/>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42"/>
      <c r="Q18" s="1811" t="str">
        <f>B18</f>
        <v>基础设施水平</v>
      </c>
      <c r="R18" s="772" t="s">
        <v>17</v>
      </c>
      <c r="S18" s="773">
        <f>F18</f>
        <v>100</v>
      </c>
      <c r="T18" s="772" t="s">
        <v>17</v>
      </c>
      <c r="U18" s="773">
        <f>H18</f>
        <v>100</v>
      </c>
      <c r="V18" s="772" t="s">
        <v>17</v>
      </c>
      <c r="W18" s="773">
        <f>J18</f>
        <v>100</v>
      </c>
      <c r="X18" s="1814"/>
      <c r="Y18" s="3142"/>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142"/>
      <c r="Q19" s="1811"/>
      <c r="R19" s="772"/>
      <c r="S19" s="773"/>
      <c r="T19" s="772"/>
      <c r="U19" s="773"/>
      <c r="V19" s="772"/>
      <c r="W19" s="773"/>
      <c r="X19" s="1814"/>
      <c r="Y19" s="3142"/>
      <c r="Z19" s="1815"/>
      <c r="AA19" s="1812">
        <v>1</v>
      </c>
      <c r="AB19" s="1812">
        <v>1</v>
      </c>
      <c r="AC19" s="1812">
        <v>1</v>
      </c>
    </row>
    <row r="20" spans="1:29" ht="71.25">
      <c r="A20" s="404"/>
      <c r="B20" s="629" t="s">
        <v>2694</v>
      </c>
      <c r="C20" s="2607" t="str">
        <f>IF(B1="工业",估价对象房地状况!G7,估价对象房地状况!C9)</f>
        <v>周边绿化均为城市绿化，无高等教育机构等，综合评价环境状况一般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42"/>
      <c r="Q20" s="1811" t="str">
        <f>B20</f>
        <v>自然及人文环境</v>
      </c>
      <c r="R20" s="772" t="s">
        <v>17</v>
      </c>
      <c r="S20" s="773">
        <f>F20</f>
        <v>100</v>
      </c>
      <c r="T20" s="772" t="s">
        <v>17</v>
      </c>
      <c r="U20" s="773">
        <f>H20</f>
        <v>100</v>
      </c>
      <c r="V20" s="772" t="s">
        <v>17</v>
      </c>
      <c r="W20" s="773">
        <f>J20</f>
        <v>100</v>
      </c>
      <c r="X20" s="1814"/>
      <c r="Y20" s="3142"/>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142"/>
      <c r="Q21" s="1811"/>
      <c r="R21" s="772"/>
      <c r="S21" s="773"/>
      <c r="T21" s="772"/>
      <c r="U21" s="773"/>
      <c r="V21" s="772"/>
      <c r="W21" s="773"/>
      <c r="X21" s="1814"/>
      <c r="Y21" s="3142"/>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42"/>
      <c r="Q22" s="1811" t="str">
        <f>B22</f>
        <v>楼层</v>
      </c>
      <c r="R22" s="772" t="s">
        <v>17</v>
      </c>
      <c r="S22" s="773">
        <f>F22</f>
        <v>100</v>
      </c>
      <c r="T22" s="772" t="s">
        <v>17</v>
      </c>
      <c r="U22" s="773">
        <f>H22</f>
        <v>100</v>
      </c>
      <c r="V22" s="772" t="s">
        <v>17</v>
      </c>
      <c r="W22" s="773">
        <f>J22</f>
        <v>100</v>
      </c>
      <c r="X22" s="1814"/>
      <c r="Y22" s="3142"/>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42"/>
      <c r="Q23" s="1811">
        <f>B23</f>
        <v>111</v>
      </c>
      <c r="R23" s="772" t="s">
        <v>17</v>
      </c>
      <c r="S23" s="773">
        <f>F23</f>
        <v>100</v>
      </c>
      <c r="T23" s="772" t="s">
        <v>17</v>
      </c>
      <c r="U23" s="773">
        <f>H23</f>
        <v>100</v>
      </c>
      <c r="V23" s="772" t="s">
        <v>17</v>
      </c>
      <c r="W23" s="773">
        <f>J23</f>
        <v>100</v>
      </c>
      <c r="X23" s="1814"/>
      <c r="Y23" s="3142"/>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42"/>
      <c r="Q24" s="1811">
        <f t="shared" ref="Q24:Q36" si="11">B24</f>
        <v>111</v>
      </c>
      <c r="R24" s="772" t="s">
        <v>17</v>
      </c>
      <c r="S24" s="773">
        <f>F24</f>
        <v>100</v>
      </c>
      <c r="T24" s="772" t="s">
        <v>17</v>
      </c>
      <c r="U24" s="773">
        <f>H24</f>
        <v>100</v>
      </c>
      <c r="V24" s="772" t="s">
        <v>17</v>
      </c>
      <c r="W24" s="773">
        <f>J24</f>
        <v>100</v>
      </c>
      <c r="X24" s="1814"/>
      <c r="Y24" s="3142"/>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142"/>
      <c r="Q25" s="1796">
        <f t="shared" si="11"/>
        <v>111</v>
      </c>
      <c r="R25" s="768" t="s">
        <v>17</v>
      </c>
      <c r="S25" s="769">
        <f>F25</f>
        <v>100</v>
      </c>
      <c r="T25" s="768" t="s">
        <v>17</v>
      </c>
      <c r="U25" s="769">
        <f>H25</f>
        <v>100</v>
      </c>
      <c r="V25" s="768" t="s">
        <v>17</v>
      </c>
      <c r="W25" s="769">
        <f>J25</f>
        <v>100</v>
      </c>
      <c r="X25" s="770"/>
      <c r="Y25" s="3142"/>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46"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146"/>
      <c r="Q27" s="774" t="str">
        <f t="shared" si="11"/>
        <v>项目停车位配比</v>
      </c>
      <c r="R27" s="775" t="s">
        <v>17</v>
      </c>
      <c r="S27" s="776">
        <f t="shared" si="12"/>
        <v>100</v>
      </c>
      <c r="T27" s="775" t="s">
        <v>17</v>
      </c>
      <c r="U27" s="776">
        <f t="shared" si="13"/>
        <v>100</v>
      </c>
      <c r="V27" s="775" t="s">
        <v>17</v>
      </c>
      <c r="W27" s="776">
        <f t="shared" si="14"/>
        <v>100</v>
      </c>
      <c r="X27" s="777"/>
      <c r="Y27" s="3146"/>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46"/>
      <c r="Q28" s="1811" t="str">
        <f t="shared" si="11"/>
        <v>公共部分装修</v>
      </c>
      <c r="R28" s="772" t="s">
        <v>17</v>
      </c>
      <c r="S28" s="773">
        <f t="shared" si="12"/>
        <v>100</v>
      </c>
      <c r="T28" s="772" t="s">
        <v>17</v>
      </c>
      <c r="U28" s="773">
        <f t="shared" si="13"/>
        <v>100</v>
      </c>
      <c r="V28" s="772" t="s">
        <v>17</v>
      </c>
      <c r="W28" s="773">
        <f t="shared" si="14"/>
        <v>100</v>
      </c>
      <c r="X28" s="1814"/>
      <c r="Y28" s="3146"/>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46"/>
      <c r="Q29" s="1811" t="str">
        <f t="shared" si="11"/>
        <v>成新率</v>
      </c>
      <c r="R29" s="772" t="s">
        <v>17</v>
      </c>
      <c r="S29" s="773" t="e">
        <f t="shared" si="12"/>
        <v>#N/A</v>
      </c>
      <c r="T29" s="772" t="s">
        <v>17</v>
      </c>
      <c r="U29" s="773" t="e">
        <f t="shared" si="13"/>
        <v>#N/A</v>
      </c>
      <c r="V29" s="772" t="s">
        <v>17</v>
      </c>
      <c r="W29" s="773" t="e">
        <f t="shared" si="14"/>
        <v>#N/A</v>
      </c>
      <c r="X29" s="1814"/>
      <c r="Y29" s="3146"/>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146"/>
      <c r="Q30" s="1811" t="str">
        <f t="shared" si="11"/>
        <v>物业等级</v>
      </c>
      <c r="R30" s="772" t="s">
        <v>17</v>
      </c>
      <c r="S30" s="773">
        <f t="shared" si="12"/>
        <v>100</v>
      </c>
      <c r="T30" s="772" t="s">
        <v>17</v>
      </c>
      <c r="U30" s="773">
        <f t="shared" si="13"/>
        <v>100</v>
      </c>
      <c r="V30" s="772" t="s">
        <v>17</v>
      </c>
      <c r="W30" s="773">
        <f t="shared" si="14"/>
        <v>100</v>
      </c>
      <c r="X30" s="1814"/>
      <c r="Y30" s="3146"/>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46"/>
      <c r="Q31" s="1796" t="str">
        <f t="shared" si="11"/>
        <v>停车位面积</v>
      </c>
      <c r="R31" s="768" t="s">
        <v>17</v>
      </c>
      <c r="S31" s="769" t="e">
        <f t="shared" si="12"/>
        <v>#N/A</v>
      </c>
      <c r="T31" s="768" t="s">
        <v>17</v>
      </c>
      <c r="U31" s="769" t="e">
        <f t="shared" si="13"/>
        <v>#N/A</v>
      </c>
      <c r="V31" s="768" t="s">
        <v>17</v>
      </c>
      <c r="W31" s="769" t="e">
        <f t="shared" si="14"/>
        <v>#N/A</v>
      </c>
      <c r="X31" s="770"/>
      <c r="Y31" s="3146"/>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46" t="s">
        <v>2550</v>
      </c>
      <c r="Q32" s="1811" t="str">
        <f t="shared" si="11"/>
        <v>车位类型</v>
      </c>
      <c r="R32" s="772" t="s">
        <v>17</v>
      </c>
      <c r="S32" s="773">
        <f t="shared" si="12"/>
        <v>100</v>
      </c>
      <c r="T32" s="772" t="s">
        <v>17</v>
      </c>
      <c r="U32" s="773">
        <f t="shared" si="13"/>
        <v>100</v>
      </c>
      <c r="V32" s="772" t="s">
        <v>17</v>
      </c>
      <c r="W32" s="773">
        <f t="shared" si="14"/>
        <v>100</v>
      </c>
      <c r="X32" s="1814"/>
      <c r="Y32" s="3146"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46"/>
      <c r="Q33" s="1811" t="str">
        <f t="shared" si="11"/>
        <v>是否直接入户</v>
      </c>
      <c r="R33" s="772" t="s">
        <v>17</v>
      </c>
      <c r="S33" s="773">
        <f t="shared" si="12"/>
        <v>100</v>
      </c>
      <c r="T33" s="772" t="s">
        <v>17</v>
      </c>
      <c r="U33" s="773">
        <f t="shared" si="13"/>
        <v>100</v>
      </c>
      <c r="V33" s="772" t="s">
        <v>17</v>
      </c>
      <c r="W33" s="773">
        <f t="shared" si="14"/>
        <v>100</v>
      </c>
      <c r="X33" s="1814"/>
      <c r="Y33" s="3146"/>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46"/>
      <c r="Q34" s="1811">
        <f t="shared" si="11"/>
        <v>111</v>
      </c>
      <c r="R34" s="772" t="s">
        <v>17</v>
      </c>
      <c r="S34" s="773">
        <f t="shared" si="12"/>
        <v>100</v>
      </c>
      <c r="T34" s="772" t="s">
        <v>17</v>
      </c>
      <c r="U34" s="773">
        <f t="shared" si="13"/>
        <v>100</v>
      </c>
      <c r="V34" s="772" t="s">
        <v>17</v>
      </c>
      <c r="W34" s="773">
        <f t="shared" si="14"/>
        <v>100</v>
      </c>
      <c r="X34" s="1814"/>
      <c r="Y34" s="3146"/>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46"/>
      <c r="Q35" s="774">
        <f t="shared" si="11"/>
        <v>111</v>
      </c>
      <c r="R35" s="775" t="s">
        <v>17</v>
      </c>
      <c r="S35" s="776">
        <f t="shared" si="12"/>
        <v>100</v>
      </c>
      <c r="T35" s="775" t="s">
        <v>17</v>
      </c>
      <c r="U35" s="776">
        <f t="shared" si="13"/>
        <v>100</v>
      </c>
      <c r="V35" s="775" t="s">
        <v>17</v>
      </c>
      <c r="W35" s="776">
        <f t="shared" si="14"/>
        <v>100</v>
      </c>
      <c r="X35" s="777"/>
      <c r="Y35" s="3146"/>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46"/>
      <c r="Q36" s="1811">
        <f t="shared" si="11"/>
        <v>111</v>
      </c>
      <c r="R36" s="772" t="s">
        <v>17</v>
      </c>
      <c r="S36" s="773">
        <f t="shared" si="12"/>
        <v>100</v>
      </c>
      <c r="T36" s="772" t="s">
        <v>17</v>
      </c>
      <c r="U36" s="773">
        <f t="shared" si="13"/>
        <v>100</v>
      </c>
      <c r="V36" s="772" t="s">
        <v>17</v>
      </c>
      <c r="W36" s="773">
        <f t="shared" si="14"/>
        <v>100</v>
      </c>
      <c r="X36" s="1814"/>
      <c r="Y36" s="3146"/>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139" t="str">
        <f>A37</f>
        <v>成交单价</v>
      </c>
      <c r="Q37" s="3139"/>
      <c r="R37" s="3140">
        <f>E37</f>
        <v>0</v>
      </c>
      <c r="S37" s="3140"/>
      <c r="T37" s="3140">
        <f>G37</f>
        <v>0</v>
      </c>
      <c r="U37" s="3140"/>
      <c r="V37" s="3140">
        <f>I37</f>
        <v>0</v>
      </c>
      <c r="W37" s="3140"/>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139" t="str">
        <f>A38</f>
        <v>比较价值（元/平方米）</v>
      </c>
      <c r="Q38" s="3139"/>
      <c r="R38" s="3140" t="e">
        <f>IF(F1="售价",ROUND(PRODUCT(R37,AA7:AA36),0),ROUND(PRODUCT(R37,AA7:AA36),1))</f>
        <v>#DIV/0!</v>
      </c>
      <c r="S38" s="3140"/>
      <c r="T38" s="3140" t="e">
        <f>IF(F1="售价",ROUND(PRODUCT(T37,AB7:AB36),0),ROUND(PRODUCT(T37,AB7:AB36),1))</f>
        <v>#DIV/0!</v>
      </c>
      <c r="U38" s="3140"/>
      <c r="V38" s="3140" t="e">
        <f>IF(F1="售价",ROUND(PRODUCT(V37,AC7:AC36),0),ROUND(PRODUCT(V37,AC7:AC36),1))</f>
        <v>#DIV/0!</v>
      </c>
      <c r="W38" s="3140"/>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136" t="str">
        <f>A39</f>
        <v>估价对象XX用房的比较价值（楼面单价，元/平方米）</v>
      </c>
      <c r="Q39" s="3137"/>
      <c r="R39" s="3138" t="e">
        <f>IF(F1="售价",ROUND(AVERAGE(R38:V38),0),ROUND(AVERAGE(R38:V38),1))</f>
        <v>#DIV/0!</v>
      </c>
      <c r="S39" s="3138"/>
      <c r="T39" s="3138"/>
      <c r="U39" s="3138"/>
      <c r="V39" s="3138"/>
      <c r="W39" s="3138"/>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52" t="s">
        <v>2633</v>
      </c>
      <c r="AC4" s="3151" t="s">
        <v>2634</v>
      </c>
    </row>
    <row r="5" spans="1:29" ht="15">
      <c r="A5" s="404"/>
      <c r="B5" s="405"/>
      <c r="C5" s="3226" t="s">
        <v>2527</v>
      </c>
      <c r="D5" s="3174"/>
      <c r="E5" s="3229" t="s">
        <v>2528</v>
      </c>
      <c r="F5" s="3181"/>
      <c r="G5" s="3226" t="s">
        <v>2529</v>
      </c>
      <c r="H5" s="3174"/>
      <c r="I5" s="3226" t="s">
        <v>2530</v>
      </c>
      <c r="J5" s="3174"/>
      <c r="K5" s="610"/>
      <c r="L5" s="1130"/>
      <c r="M5" s="1131"/>
      <c r="N5" s="1131"/>
      <c r="O5" s="1131"/>
      <c r="P5" s="3160"/>
      <c r="Q5" s="3161"/>
      <c r="R5" s="3166"/>
      <c r="S5" s="3167"/>
      <c r="T5" s="3166"/>
      <c r="U5" s="3167"/>
      <c r="V5" s="3170"/>
      <c r="W5" s="3170"/>
      <c r="X5" s="1814"/>
      <c r="Y5" s="3166"/>
      <c r="Z5" s="3167"/>
      <c r="AA5" s="3152"/>
      <c r="AB5" s="3152"/>
      <c r="AC5" s="3152"/>
    </row>
    <row r="6" spans="1:29" ht="15.75" thickBot="1">
      <c r="A6" s="406"/>
      <c r="B6" s="407"/>
      <c r="C6" s="3171" t="s">
        <v>2531</v>
      </c>
      <c r="D6" s="3172"/>
      <c r="E6" s="3178" t="s">
        <v>2531</v>
      </c>
      <c r="F6" s="3179"/>
      <c r="G6" s="3171" t="s">
        <v>2531</v>
      </c>
      <c r="H6" s="3172"/>
      <c r="I6" s="3171" t="s">
        <v>2531</v>
      </c>
      <c r="J6" s="3172"/>
      <c r="K6" s="610" t="s">
        <v>2532</v>
      </c>
      <c r="L6" s="1130"/>
      <c r="M6" s="1131"/>
      <c r="N6" s="1131"/>
      <c r="O6" s="1131"/>
      <c r="P6" s="3162"/>
      <c r="Q6" s="3163"/>
      <c r="R6" s="3166"/>
      <c r="S6" s="3167"/>
      <c r="T6" s="3168"/>
      <c r="U6" s="3169"/>
      <c r="V6" s="3170"/>
      <c r="W6" s="3170"/>
      <c r="X6" s="1814"/>
      <c r="Y6" s="3168"/>
      <c r="Z6" s="3169"/>
      <c r="AA6" s="3153"/>
      <c r="AB6" s="3153"/>
      <c r="AC6" s="3153"/>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5" t="s">
        <v>2534</v>
      </c>
      <c r="Q7" s="3177"/>
      <c r="R7" s="768" t="s">
        <v>17</v>
      </c>
      <c r="S7" s="769">
        <f t="shared" ref="S7:S14" si="0">F7</f>
        <v>0</v>
      </c>
      <c r="T7" s="768" t="s">
        <v>17</v>
      </c>
      <c r="U7" s="769">
        <f t="shared" ref="U7:U14" si="1">H7</f>
        <v>0</v>
      </c>
      <c r="V7" s="768" t="s">
        <v>17</v>
      </c>
      <c r="W7" s="769">
        <f t="shared" ref="W7:W14" si="2">J7</f>
        <v>0</v>
      </c>
      <c r="X7" s="770"/>
      <c r="Y7" s="3175" t="s">
        <v>2534</v>
      </c>
      <c r="Z7" s="3176"/>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2537</v>
      </c>
      <c r="Q8" s="3176"/>
      <c r="R8" s="768" t="s">
        <v>17</v>
      </c>
      <c r="S8" s="769">
        <f t="shared" si="0"/>
        <v>0</v>
      </c>
      <c r="T8" s="768" t="s">
        <v>17</v>
      </c>
      <c r="U8" s="769">
        <f t="shared" si="1"/>
        <v>0</v>
      </c>
      <c r="V8" s="768" t="s">
        <v>17</v>
      </c>
      <c r="W8" s="769">
        <f t="shared" si="2"/>
        <v>0</v>
      </c>
      <c r="X8" s="770"/>
      <c r="Y8" s="3175" t="s">
        <v>2537</v>
      </c>
      <c r="Z8" s="3176"/>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39" t="s">
        <v>2540</v>
      </c>
      <c r="Q9" s="1796" t="str">
        <f t="shared" ref="Q9:Q14" si="6">B9</f>
        <v>用途</v>
      </c>
      <c r="R9" s="768" t="s">
        <v>17</v>
      </c>
      <c r="S9" s="769">
        <f t="shared" si="0"/>
        <v>100</v>
      </c>
      <c r="T9" s="768" t="s">
        <v>17</v>
      </c>
      <c r="U9" s="769">
        <f t="shared" si="1"/>
        <v>100</v>
      </c>
      <c r="V9" s="768" t="s">
        <v>17</v>
      </c>
      <c r="W9" s="769">
        <f t="shared" si="2"/>
        <v>100</v>
      </c>
      <c r="X9" s="770"/>
      <c r="Y9" s="2994"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39"/>
      <c r="Q10" s="1796" t="str">
        <f t="shared" si="6"/>
        <v>土地使用年限（年）</v>
      </c>
      <c r="R10" s="768" t="s">
        <v>17</v>
      </c>
      <c r="S10" s="769">
        <f t="shared" si="0"/>
        <v>100</v>
      </c>
      <c r="T10" s="768" t="s">
        <v>17</v>
      </c>
      <c r="U10" s="769">
        <f t="shared" si="1"/>
        <v>100</v>
      </c>
      <c r="V10" s="768" t="s">
        <v>17</v>
      </c>
      <c r="W10" s="769">
        <f t="shared" si="2"/>
        <v>100</v>
      </c>
      <c r="X10" s="770"/>
      <c r="Y10" s="2994"/>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39"/>
      <c r="Q11" s="1796">
        <f t="shared" si="6"/>
        <v>111</v>
      </c>
      <c r="R11" s="768" t="s">
        <v>17</v>
      </c>
      <c r="S11" s="769">
        <f t="shared" si="0"/>
        <v>100</v>
      </c>
      <c r="T11" s="768" t="s">
        <v>17</v>
      </c>
      <c r="U11" s="769">
        <f t="shared" si="1"/>
        <v>100</v>
      </c>
      <c r="V11" s="768" t="s">
        <v>17</v>
      </c>
      <c r="W11" s="769">
        <f t="shared" si="2"/>
        <v>100</v>
      </c>
      <c r="X11" s="770"/>
      <c r="Y11" s="2994"/>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39"/>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39"/>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771">
        <f t="shared" si="5"/>
        <v>1</v>
      </c>
    </row>
    <row r="14" spans="1:29" ht="71.25">
      <c r="A14" s="440" t="s">
        <v>2544</v>
      </c>
      <c r="B14" s="68" t="s">
        <v>2693</v>
      </c>
      <c r="C14" s="2691" t="str">
        <f>IF(B1="工业",估价对象房地状况!G4,估价对象房地状况!C6)</f>
        <v>周边有302、快速直达专线102路等公交线路，交通便捷度一般。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41" t="s">
        <v>2545</v>
      </c>
      <c r="Q14" s="1811" t="str">
        <f t="shared" si="6"/>
        <v>交通便捷度</v>
      </c>
      <c r="R14" s="772" t="s">
        <v>17</v>
      </c>
      <c r="S14" s="773">
        <f t="shared" si="0"/>
        <v>100</v>
      </c>
      <c r="T14" s="772" t="s">
        <v>17</v>
      </c>
      <c r="U14" s="773">
        <f t="shared" si="1"/>
        <v>100</v>
      </c>
      <c r="V14" s="772" t="s">
        <v>17</v>
      </c>
      <c r="W14" s="773">
        <f t="shared" si="2"/>
        <v>100</v>
      </c>
      <c r="X14" s="1814"/>
      <c r="Y14" s="3141"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142"/>
      <c r="Q15" s="1811"/>
      <c r="R15" s="772"/>
      <c r="S15" s="773"/>
      <c r="T15" s="772"/>
      <c r="U15" s="773"/>
      <c r="V15" s="772"/>
      <c r="W15" s="773"/>
      <c r="X15" s="1814"/>
      <c r="Y15" s="3142"/>
      <c r="Z15" s="1815"/>
      <c r="AA15" s="1812">
        <v>1</v>
      </c>
      <c r="AB15" s="1812">
        <v>1</v>
      </c>
      <c r="AC15" s="1812">
        <v>1</v>
      </c>
    </row>
    <row r="16" spans="1:29" ht="71.25">
      <c r="A16" s="428"/>
      <c r="B16" s="451" t="s">
        <v>2672</v>
      </c>
      <c r="C16" s="2607" t="str">
        <f>IF(B1="工业",估价对象房地状况!G5,估价对象房地状况!C7)</f>
        <v>估价对象周边无银行、商场、学校、医院，有社区超市等，公共配套设施较差。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42"/>
      <c r="Q16" s="1811" t="str">
        <f>B16</f>
        <v>公共配套设施</v>
      </c>
      <c r="R16" s="772" t="s">
        <v>17</v>
      </c>
      <c r="S16" s="773">
        <f>F16</f>
        <v>100</v>
      </c>
      <c r="T16" s="772" t="s">
        <v>17</v>
      </c>
      <c r="U16" s="773">
        <f>H16</f>
        <v>100</v>
      </c>
      <c r="V16" s="772" t="s">
        <v>17</v>
      </c>
      <c r="W16" s="773">
        <f>J16</f>
        <v>100</v>
      </c>
      <c r="X16" s="1814"/>
      <c r="Y16" s="3142"/>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142"/>
      <c r="Q17" s="1811"/>
      <c r="R17" s="772"/>
      <c r="S17" s="773"/>
      <c r="T17" s="772"/>
      <c r="U17" s="773"/>
      <c r="V17" s="772"/>
      <c r="W17" s="773"/>
      <c r="X17" s="1814"/>
      <c r="Y17" s="3142"/>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42"/>
      <c r="Q18" s="1811" t="str">
        <f>B18</f>
        <v>基础设施水平</v>
      </c>
      <c r="R18" s="772" t="s">
        <v>17</v>
      </c>
      <c r="S18" s="773">
        <f>F18</f>
        <v>100</v>
      </c>
      <c r="T18" s="772" t="s">
        <v>17</v>
      </c>
      <c r="U18" s="773">
        <f>H18</f>
        <v>100</v>
      </c>
      <c r="V18" s="772" t="s">
        <v>17</v>
      </c>
      <c r="W18" s="773">
        <f>J18</f>
        <v>100</v>
      </c>
      <c r="X18" s="1814"/>
      <c r="Y18" s="3142"/>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142"/>
      <c r="Q19" s="1811"/>
      <c r="R19" s="772"/>
      <c r="S19" s="773"/>
      <c r="T19" s="772"/>
      <c r="U19" s="773"/>
      <c r="V19" s="772"/>
      <c r="W19" s="773"/>
      <c r="X19" s="1814"/>
      <c r="Y19" s="3142"/>
      <c r="Z19" s="1815"/>
      <c r="AA19" s="1812">
        <v>1</v>
      </c>
      <c r="AB19" s="1812">
        <v>1</v>
      </c>
      <c r="AC19" s="1812">
        <v>1</v>
      </c>
    </row>
    <row r="20" spans="1:29" ht="71.25">
      <c r="A20" s="428"/>
      <c r="B20" s="451" t="s">
        <v>2694</v>
      </c>
      <c r="C20" s="2607" t="str">
        <f>IF(B1="工业",估价对象房地状况!G7,估价对象房地状况!C9)</f>
        <v>周边绿化均为城市绿化，无高等教育机构等，综合评价环境状况一般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42"/>
      <c r="Q20" s="1811" t="str">
        <f>B20</f>
        <v>自然及人文环境</v>
      </c>
      <c r="R20" s="772" t="s">
        <v>17</v>
      </c>
      <c r="S20" s="773">
        <f>F20</f>
        <v>100</v>
      </c>
      <c r="T20" s="772" t="s">
        <v>17</v>
      </c>
      <c r="U20" s="773">
        <f>H20</f>
        <v>100</v>
      </c>
      <c r="V20" s="772" t="s">
        <v>17</v>
      </c>
      <c r="W20" s="773">
        <f>J20</f>
        <v>100</v>
      </c>
      <c r="X20" s="1814"/>
      <c r="Y20" s="314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142"/>
      <c r="Q21" s="1811"/>
      <c r="R21" s="772"/>
      <c r="S21" s="773"/>
      <c r="T21" s="772"/>
      <c r="U21" s="773"/>
      <c r="V21" s="772"/>
      <c r="W21" s="773"/>
      <c r="X21" s="1814"/>
      <c r="Y21" s="3142"/>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42"/>
      <c r="Q22" s="1811" t="str">
        <f>B22</f>
        <v>楼层</v>
      </c>
      <c r="R22" s="772" t="s">
        <v>17</v>
      </c>
      <c r="S22" s="773">
        <f>F22</f>
        <v>100</v>
      </c>
      <c r="T22" s="772" t="s">
        <v>17</v>
      </c>
      <c r="U22" s="773">
        <f>H22</f>
        <v>100</v>
      </c>
      <c r="V22" s="772" t="s">
        <v>17</v>
      </c>
      <c r="W22" s="773">
        <f>J22</f>
        <v>100</v>
      </c>
      <c r="X22" s="1814"/>
      <c r="Y22" s="3142"/>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42"/>
      <c r="Q23" s="1811">
        <f>B23</f>
        <v>111</v>
      </c>
      <c r="R23" s="772" t="s">
        <v>17</v>
      </c>
      <c r="S23" s="773">
        <f>F23</f>
        <v>100</v>
      </c>
      <c r="T23" s="772" t="s">
        <v>17</v>
      </c>
      <c r="U23" s="773">
        <f>H23</f>
        <v>100</v>
      </c>
      <c r="V23" s="772" t="s">
        <v>17</v>
      </c>
      <c r="W23" s="773">
        <f>J23</f>
        <v>100</v>
      </c>
      <c r="X23" s="1814"/>
      <c r="Y23" s="3142"/>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42"/>
      <c r="Q24" s="1811">
        <f t="shared" ref="Q24:Q34" si="11">B24</f>
        <v>111</v>
      </c>
      <c r="R24" s="772" t="s">
        <v>17</v>
      </c>
      <c r="S24" s="773">
        <f>F24</f>
        <v>100</v>
      </c>
      <c r="T24" s="772" t="s">
        <v>17</v>
      </c>
      <c r="U24" s="773">
        <f>H24</f>
        <v>100</v>
      </c>
      <c r="V24" s="772" t="s">
        <v>17</v>
      </c>
      <c r="W24" s="773">
        <f>J24</f>
        <v>100</v>
      </c>
      <c r="X24" s="1814"/>
      <c r="Y24" s="3142"/>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142"/>
      <c r="Q25" s="1796">
        <f t="shared" si="11"/>
        <v>111</v>
      </c>
      <c r="R25" s="768" t="s">
        <v>17</v>
      </c>
      <c r="S25" s="769">
        <f>F25</f>
        <v>100</v>
      </c>
      <c r="T25" s="768" t="s">
        <v>17</v>
      </c>
      <c r="U25" s="769">
        <f>H25</f>
        <v>100</v>
      </c>
      <c r="V25" s="768" t="s">
        <v>17</v>
      </c>
      <c r="W25" s="769">
        <f>J25</f>
        <v>100</v>
      </c>
      <c r="X25" s="770"/>
      <c r="Y25" s="3142"/>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230"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46"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46"/>
      <c r="Q27" s="774" t="str">
        <f t="shared" si="11"/>
        <v>成新率</v>
      </c>
      <c r="R27" s="775" t="s">
        <v>17</v>
      </c>
      <c r="S27" s="776" t="e">
        <f t="shared" si="12"/>
        <v>#N/A</v>
      </c>
      <c r="T27" s="775" t="s">
        <v>17</v>
      </c>
      <c r="U27" s="776" t="e">
        <f t="shared" si="13"/>
        <v>#N/A</v>
      </c>
      <c r="V27" s="775" t="s">
        <v>17</v>
      </c>
      <c r="W27" s="776" t="e">
        <f t="shared" si="14"/>
        <v>#N/A</v>
      </c>
      <c r="X27" s="777"/>
      <c r="Y27" s="3146"/>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46"/>
      <c r="Q28" s="1811" t="str">
        <f t="shared" si="11"/>
        <v>物业等级</v>
      </c>
      <c r="R28" s="772" t="s">
        <v>17</v>
      </c>
      <c r="S28" s="773">
        <f t="shared" si="12"/>
        <v>100</v>
      </c>
      <c r="T28" s="772" t="s">
        <v>17</v>
      </c>
      <c r="U28" s="773">
        <f t="shared" si="13"/>
        <v>100</v>
      </c>
      <c r="V28" s="772" t="s">
        <v>17</v>
      </c>
      <c r="W28" s="773">
        <f t="shared" si="14"/>
        <v>100</v>
      </c>
      <c r="X28" s="1814"/>
      <c r="Y28" s="3146"/>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146"/>
      <c r="Q29" s="1811" t="str">
        <f t="shared" si="11"/>
        <v>有无电梯</v>
      </c>
      <c r="R29" s="772" t="s">
        <v>17</v>
      </c>
      <c r="S29" s="773">
        <f t="shared" si="12"/>
        <v>100</v>
      </c>
      <c r="T29" s="772" t="s">
        <v>17</v>
      </c>
      <c r="U29" s="773">
        <f t="shared" si="13"/>
        <v>100</v>
      </c>
      <c r="V29" s="772" t="s">
        <v>17</v>
      </c>
      <c r="W29" s="773">
        <f t="shared" si="14"/>
        <v>100</v>
      </c>
      <c r="X29" s="1814"/>
      <c r="Y29" s="3146"/>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46"/>
      <c r="Q30" s="1811" t="str">
        <f t="shared" si="11"/>
        <v>建筑面积</v>
      </c>
      <c r="R30" s="772" t="s">
        <v>17</v>
      </c>
      <c r="S30" s="773" t="e">
        <f t="shared" si="12"/>
        <v>#N/A</v>
      </c>
      <c r="T30" s="772" t="s">
        <v>17</v>
      </c>
      <c r="U30" s="773" t="e">
        <f t="shared" si="13"/>
        <v>#N/A</v>
      </c>
      <c r="V30" s="772" t="s">
        <v>17</v>
      </c>
      <c r="W30" s="773" t="e">
        <f t="shared" si="14"/>
        <v>#N/A</v>
      </c>
      <c r="X30" s="1814"/>
      <c r="Y30" s="3146"/>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146"/>
      <c r="Q31" s="1796" t="str">
        <f t="shared" si="11"/>
        <v>是否封闭</v>
      </c>
      <c r="R31" s="768" t="s">
        <v>17</v>
      </c>
      <c r="S31" s="769">
        <f t="shared" si="12"/>
        <v>100</v>
      </c>
      <c r="T31" s="768" t="s">
        <v>17</v>
      </c>
      <c r="U31" s="769">
        <f t="shared" si="13"/>
        <v>100</v>
      </c>
      <c r="V31" s="768" t="s">
        <v>17</v>
      </c>
      <c r="W31" s="769">
        <f t="shared" si="14"/>
        <v>100</v>
      </c>
      <c r="X31" s="770"/>
      <c r="Y31" s="3146"/>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46" t="s">
        <v>2550</v>
      </c>
      <c r="Q32" s="1811">
        <f t="shared" si="11"/>
        <v>111</v>
      </c>
      <c r="R32" s="772" t="s">
        <v>17</v>
      </c>
      <c r="S32" s="773">
        <f t="shared" si="12"/>
        <v>100</v>
      </c>
      <c r="T32" s="772" t="s">
        <v>17</v>
      </c>
      <c r="U32" s="773">
        <f t="shared" si="13"/>
        <v>100</v>
      </c>
      <c r="V32" s="772" t="s">
        <v>17</v>
      </c>
      <c r="W32" s="773">
        <f t="shared" si="14"/>
        <v>100</v>
      </c>
      <c r="X32" s="1814"/>
      <c r="Y32" s="3146"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46"/>
      <c r="Q33" s="1811">
        <f t="shared" si="11"/>
        <v>111</v>
      </c>
      <c r="R33" s="772" t="s">
        <v>17</v>
      </c>
      <c r="S33" s="773">
        <f t="shared" si="12"/>
        <v>100</v>
      </c>
      <c r="T33" s="772" t="s">
        <v>17</v>
      </c>
      <c r="U33" s="773">
        <f t="shared" si="13"/>
        <v>100</v>
      </c>
      <c r="V33" s="772" t="s">
        <v>17</v>
      </c>
      <c r="W33" s="773">
        <f t="shared" si="14"/>
        <v>100</v>
      </c>
      <c r="X33" s="1814"/>
      <c r="Y33" s="3146"/>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46"/>
      <c r="Q34" s="1811">
        <f t="shared" si="11"/>
        <v>111</v>
      </c>
      <c r="R34" s="772" t="s">
        <v>17</v>
      </c>
      <c r="S34" s="773">
        <f t="shared" si="12"/>
        <v>100</v>
      </c>
      <c r="T34" s="772" t="s">
        <v>17</v>
      </c>
      <c r="U34" s="773">
        <f t="shared" si="13"/>
        <v>100</v>
      </c>
      <c r="V34" s="772" t="s">
        <v>17</v>
      </c>
      <c r="W34" s="773">
        <f t="shared" si="14"/>
        <v>100</v>
      </c>
      <c r="X34" s="1814"/>
      <c r="Y34" s="3146"/>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139" t="str">
        <f>A35</f>
        <v>成交单价（元/平方米）</v>
      </c>
      <c r="Q35" s="3139"/>
      <c r="R35" s="3140">
        <f>E35</f>
        <v>0</v>
      </c>
      <c r="S35" s="3140"/>
      <c r="T35" s="3140">
        <f>G35</f>
        <v>0</v>
      </c>
      <c r="U35" s="3140"/>
      <c r="V35" s="3140">
        <f>I35</f>
        <v>0</v>
      </c>
      <c r="W35" s="3140"/>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139" t="str">
        <f>A36</f>
        <v>比较价值（元/平方米）</v>
      </c>
      <c r="Q36" s="3139"/>
      <c r="R36" s="3140" t="e">
        <f>IF(F1="售价",ROUND(PRODUCT(R35,AA7:AA34),0),ROUND(PRODUCT(R35,AA7:AA34),1))</f>
        <v>#DIV/0!</v>
      </c>
      <c r="S36" s="3140"/>
      <c r="T36" s="3140" t="e">
        <f>IF(F1="售价",ROUND(PRODUCT(T35,AB7:AB34),0),ROUND(PRODUCT(T35,AB7:AB34),1))</f>
        <v>#DIV/0!</v>
      </c>
      <c r="U36" s="3140"/>
      <c r="V36" s="3140" t="e">
        <f>IF(F1="售价",ROUND(PRODUCT(V35,AC7:AC34),0),ROUND(PRODUCT(V35,AC7:AC34),1))</f>
        <v>#DIV/0!</v>
      </c>
      <c r="W36" s="3140"/>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136" t="str">
        <f>A37</f>
        <v>估价对象XX用房的比较价值（楼面单价，元/平方米）</v>
      </c>
      <c r="Q37" s="3137"/>
      <c r="R37" s="3138" t="e">
        <f>IF(F1="售价",ROUND(AVERAGE(R36:V36),0),ROUND(AVERAGE(R36:V36),1))</f>
        <v>#DIV/0!</v>
      </c>
      <c r="S37" s="3138"/>
      <c r="T37" s="3138"/>
      <c r="U37" s="3138"/>
      <c r="V37" s="3138"/>
      <c r="W37" s="3138"/>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52" t="s">
        <v>2633</v>
      </c>
      <c r="AC4" s="3151" t="s">
        <v>2634</v>
      </c>
    </row>
    <row r="5" spans="1:30" ht="15">
      <c r="A5" s="404"/>
      <c r="B5" s="405"/>
      <c r="C5" s="3226" t="s">
        <v>2527</v>
      </c>
      <c r="D5" s="3174"/>
      <c r="E5" s="3229" t="s">
        <v>2528</v>
      </c>
      <c r="F5" s="3181"/>
      <c r="G5" s="3226" t="s">
        <v>2529</v>
      </c>
      <c r="H5" s="3174"/>
      <c r="I5" s="3226" t="s">
        <v>2530</v>
      </c>
      <c r="J5" s="3174"/>
      <c r="K5" s="610"/>
      <c r="L5" s="1130"/>
      <c r="M5" s="1131"/>
      <c r="N5" s="1131"/>
      <c r="O5" s="1131"/>
      <c r="P5" s="3160"/>
      <c r="Q5" s="3161"/>
      <c r="R5" s="3166"/>
      <c r="S5" s="3167"/>
      <c r="T5" s="3166"/>
      <c r="U5" s="3167"/>
      <c r="V5" s="3170"/>
      <c r="W5" s="3170"/>
      <c r="X5" s="1814"/>
      <c r="Y5" s="3166"/>
      <c r="Z5" s="3167"/>
      <c r="AA5" s="3152"/>
      <c r="AB5" s="3152"/>
      <c r="AC5" s="3152"/>
    </row>
    <row r="6" spans="1:30" ht="15.75" thickBot="1">
      <c r="A6" s="406"/>
      <c r="B6" s="407"/>
      <c r="C6" s="3171" t="s">
        <v>2531</v>
      </c>
      <c r="D6" s="3172"/>
      <c r="E6" s="3178" t="s">
        <v>2531</v>
      </c>
      <c r="F6" s="3179"/>
      <c r="G6" s="3171" t="s">
        <v>2531</v>
      </c>
      <c r="H6" s="3172"/>
      <c r="I6" s="3171" t="s">
        <v>2531</v>
      </c>
      <c r="J6" s="3172"/>
      <c r="K6" s="610" t="s">
        <v>2532</v>
      </c>
      <c r="L6" s="1130"/>
      <c r="M6" s="1131"/>
      <c r="N6" s="1131"/>
      <c r="O6" s="1131"/>
      <c r="P6" s="3162"/>
      <c r="Q6" s="3163"/>
      <c r="R6" s="3166"/>
      <c r="S6" s="3167"/>
      <c r="T6" s="3168"/>
      <c r="U6" s="3169"/>
      <c r="V6" s="3170"/>
      <c r="W6" s="3170"/>
      <c r="X6" s="1814"/>
      <c r="Y6" s="3168"/>
      <c r="Z6" s="3169"/>
      <c r="AA6" s="3153"/>
      <c r="AB6" s="3153"/>
      <c r="AC6" s="3153"/>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5" t="s">
        <v>2534</v>
      </c>
      <c r="Q7" s="3177"/>
      <c r="R7" s="768" t="s">
        <v>17</v>
      </c>
      <c r="S7" s="769">
        <f t="shared" ref="S7:S15" si="0">F7</f>
        <v>0</v>
      </c>
      <c r="T7" s="768" t="s">
        <v>17</v>
      </c>
      <c r="U7" s="769">
        <f t="shared" ref="U7:U15" si="1">H7</f>
        <v>0</v>
      </c>
      <c r="V7" s="768" t="s">
        <v>17</v>
      </c>
      <c r="W7" s="769">
        <f t="shared" ref="W7:W15" si="2">J7</f>
        <v>0</v>
      </c>
      <c r="X7" s="770"/>
      <c r="Y7" s="3175" t="s">
        <v>2534</v>
      </c>
      <c r="Z7" s="3176"/>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2537</v>
      </c>
      <c r="Q8" s="3176"/>
      <c r="R8" s="768" t="s">
        <v>17</v>
      </c>
      <c r="S8" s="769">
        <f t="shared" si="0"/>
        <v>0</v>
      </c>
      <c r="T8" s="768" t="s">
        <v>17</v>
      </c>
      <c r="U8" s="769">
        <f t="shared" si="1"/>
        <v>0</v>
      </c>
      <c r="V8" s="768" t="s">
        <v>17</v>
      </c>
      <c r="W8" s="769">
        <f t="shared" si="2"/>
        <v>0</v>
      </c>
      <c r="X8" s="770"/>
      <c r="Y8" s="3175" t="s">
        <v>2537</v>
      </c>
      <c r="Z8" s="3176"/>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139"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105</v>
      </c>
      <c r="G10" s="463"/>
      <c r="H10" s="135">
        <f>ROUND(100/'数据-取费表'!G16,0)</f>
        <v>105</v>
      </c>
      <c r="I10" s="463"/>
      <c r="J10" s="135">
        <f>ROUND(100/'数据-取费表'!G16,0)</f>
        <v>105</v>
      </c>
      <c r="K10" s="670"/>
      <c r="L10" s="1135"/>
      <c r="M10" s="1136"/>
      <c r="N10" s="1136"/>
      <c r="O10" s="1137"/>
      <c r="P10" s="3139"/>
      <c r="Q10" s="1796" t="str">
        <f t="shared" si="6"/>
        <v>土地使用年限（年）</v>
      </c>
      <c r="R10" s="768" t="s">
        <v>17</v>
      </c>
      <c r="S10" s="769">
        <f t="shared" si="0"/>
        <v>105</v>
      </c>
      <c r="T10" s="768" t="s">
        <v>17</v>
      </c>
      <c r="U10" s="769">
        <f t="shared" si="1"/>
        <v>105</v>
      </c>
      <c r="V10" s="768" t="s">
        <v>17</v>
      </c>
      <c r="W10" s="769">
        <f t="shared" si="2"/>
        <v>105</v>
      </c>
      <c r="X10" s="770"/>
      <c r="Y10" s="2994"/>
      <c r="Z10" s="54" t="str">
        <f t="shared" si="7"/>
        <v>土地使用年限（年）</v>
      </c>
      <c r="AA10" s="771">
        <f t="shared" si="3"/>
        <v>0.95238095238095233</v>
      </c>
      <c r="AB10" s="771">
        <f t="shared" si="4"/>
        <v>0.95238095238095233</v>
      </c>
      <c r="AC10" s="771">
        <f t="shared" si="5"/>
        <v>0.95238095238095233</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139"/>
      <c r="Q11" s="1796" t="str">
        <f t="shared" si="6"/>
        <v>容积率</v>
      </c>
      <c r="R11" s="768" t="s">
        <v>17</v>
      </c>
      <c r="S11" s="769" t="e">
        <f t="shared" si="0"/>
        <v>#N/A</v>
      </c>
      <c r="T11" s="768" t="s">
        <v>17</v>
      </c>
      <c r="U11" s="769" t="e">
        <f t="shared" si="1"/>
        <v>#N/A</v>
      </c>
      <c r="V11" s="768" t="s">
        <v>17</v>
      </c>
      <c r="W11" s="769" t="e">
        <f t="shared" si="2"/>
        <v>#N/A</v>
      </c>
      <c r="X11" s="770"/>
      <c r="Y11" s="2994"/>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139"/>
      <c r="Q12" s="1796" t="str">
        <f t="shared" si="6"/>
        <v>配建</v>
      </c>
      <c r="R12" s="768" t="s">
        <v>17</v>
      </c>
      <c r="S12" s="769">
        <f t="shared" si="0"/>
        <v>100</v>
      </c>
      <c r="T12" s="768" t="s">
        <v>17</v>
      </c>
      <c r="U12" s="769">
        <f t="shared" si="1"/>
        <v>100</v>
      </c>
      <c r="V12" s="768" t="s">
        <v>17</v>
      </c>
      <c r="W12" s="769">
        <f t="shared" si="2"/>
        <v>100</v>
      </c>
      <c r="X12" s="770"/>
      <c r="Y12" s="2994"/>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139"/>
      <c r="Q13" s="1796">
        <f t="shared" si="6"/>
        <v>111</v>
      </c>
      <c r="R13" s="768" t="s">
        <v>17</v>
      </c>
      <c r="S13" s="769">
        <f t="shared" si="0"/>
        <v>100</v>
      </c>
      <c r="T13" s="768" t="s">
        <v>17</v>
      </c>
      <c r="U13" s="769">
        <f t="shared" si="1"/>
        <v>100</v>
      </c>
      <c r="V13" s="768" t="s">
        <v>17</v>
      </c>
      <c r="W13" s="769">
        <f t="shared" si="2"/>
        <v>100</v>
      </c>
      <c r="X13" s="770"/>
      <c r="Y13" s="2994"/>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139"/>
      <c r="Q14" s="1796">
        <f t="shared" si="6"/>
        <v>111</v>
      </c>
      <c r="R14" s="768" t="s">
        <v>17</v>
      </c>
      <c r="S14" s="769">
        <f t="shared" si="0"/>
        <v>100</v>
      </c>
      <c r="T14" s="768" t="s">
        <v>17</v>
      </c>
      <c r="U14" s="769">
        <f t="shared" si="1"/>
        <v>100</v>
      </c>
      <c r="V14" s="768" t="s">
        <v>17</v>
      </c>
      <c r="W14" s="769">
        <f t="shared" si="2"/>
        <v>100</v>
      </c>
      <c r="X14" s="770"/>
      <c r="Y14" s="2994"/>
      <c r="Z14" s="54">
        <f t="shared" si="7"/>
        <v>111</v>
      </c>
      <c r="AA14" s="771">
        <f>D14/F14</f>
        <v>1</v>
      </c>
      <c r="AB14" s="771">
        <f>D14/H14</f>
        <v>1</v>
      </c>
      <c r="AC14" s="771">
        <f>D14/J14</f>
        <v>1</v>
      </c>
    </row>
    <row r="15" spans="1:30" ht="85.5">
      <c r="A15" s="440" t="s">
        <v>2544</v>
      </c>
      <c r="B15" s="68" t="s">
        <v>2084</v>
      </c>
      <c r="C15" s="2603" t="str">
        <f>估价对象房地状况!C15</f>
        <v>周边有夏威夷·蓝湾、美丽乡村别墅、金谷iSOHO等居住社区，综合评价居住社区成熟度较好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141" t="s">
        <v>2545</v>
      </c>
      <c r="Q15" s="1811" t="str">
        <f t="shared" si="6"/>
        <v>居住社区成熟度</v>
      </c>
      <c r="R15" s="772" t="s">
        <v>17</v>
      </c>
      <c r="S15" s="773">
        <f t="shared" si="0"/>
        <v>100</v>
      </c>
      <c r="T15" s="772" t="s">
        <v>17</v>
      </c>
      <c r="U15" s="773">
        <f t="shared" si="1"/>
        <v>100</v>
      </c>
      <c r="V15" s="772" t="s">
        <v>17</v>
      </c>
      <c r="W15" s="773">
        <f t="shared" si="2"/>
        <v>100</v>
      </c>
      <c r="X15" s="1814"/>
      <c r="Y15" s="3141"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142"/>
      <c r="Q16" s="1811"/>
      <c r="R16" s="772"/>
      <c r="S16" s="773"/>
      <c r="T16" s="772"/>
      <c r="U16" s="773"/>
      <c r="V16" s="772"/>
      <c r="W16" s="773"/>
      <c r="X16" s="1814"/>
      <c r="Y16" s="3142"/>
      <c r="Z16" s="1815"/>
      <c r="AA16" s="1812">
        <v>1</v>
      </c>
      <c r="AB16" s="1812">
        <v>1</v>
      </c>
      <c r="AC16" s="1812">
        <v>1</v>
      </c>
    </row>
    <row r="17" spans="1:29" ht="99.75">
      <c r="A17" s="428"/>
      <c r="B17" s="451" t="s">
        <v>2638</v>
      </c>
      <c r="C17" s="2662" t="str">
        <f>估价对象房地状况!C16</f>
        <v>估价对象位于燕郊，周边商业氛围成熟度一般，多集中于住宅底商，人流量较小，商业繁华度较差</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142"/>
      <c r="Q17" s="1811" t="str">
        <f>B17</f>
        <v>商业繁华度</v>
      </c>
      <c r="R17" s="772" t="s">
        <v>17</v>
      </c>
      <c r="S17" s="773">
        <f>F17</f>
        <v>100</v>
      </c>
      <c r="T17" s="772" t="s">
        <v>17</v>
      </c>
      <c r="U17" s="773">
        <f>H17</f>
        <v>100</v>
      </c>
      <c r="V17" s="772" t="s">
        <v>17</v>
      </c>
      <c r="W17" s="773">
        <f>J17</f>
        <v>100</v>
      </c>
      <c r="X17" s="1814"/>
      <c r="Y17" s="3142"/>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142"/>
      <c r="Q18" s="1811"/>
      <c r="R18" s="772"/>
      <c r="S18" s="773"/>
      <c r="T18" s="772"/>
      <c r="U18" s="773"/>
      <c r="V18" s="772"/>
      <c r="W18" s="773"/>
      <c r="X18" s="1814"/>
      <c r="Y18" s="3142"/>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142"/>
      <c r="Q19" s="1811" t="str">
        <f>B19</f>
        <v>办公集聚程度</v>
      </c>
      <c r="R19" s="772" t="s">
        <v>17</v>
      </c>
      <c r="S19" s="773">
        <f>F19</f>
        <v>100</v>
      </c>
      <c r="T19" s="772" t="s">
        <v>17</v>
      </c>
      <c r="U19" s="773">
        <f>H19</f>
        <v>100</v>
      </c>
      <c r="V19" s="772" t="s">
        <v>17</v>
      </c>
      <c r="W19" s="773">
        <f>J19</f>
        <v>100</v>
      </c>
      <c r="X19" s="1814"/>
      <c r="Y19" s="3142"/>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142"/>
      <c r="Q20" s="1811"/>
      <c r="R20" s="772"/>
      <c r="S20" s="773"/>
      <c r="T20" s="772"/>
      <c r="U20" s="773"/>
      <c r="V20" s="772"/>
      <c r="W20" s="773"/>
      <c r="X20" s="1814"/>
      <c r="Y20" s="3142"/>
      <c r="Z20" s="1815"/>
      <c r="AA20" s="1812">
        <v>1</v>
      </c>
      <c r="AB20" s="1812">
        <v>1</v>
      </c>
      <c r="AC20" s="1812">
        <v>1</v>
      </c>
    </row>
    <row r="21" spans="1:29" ht="71.25">
      <c r="A21" s="428"/>
      <c r="B21" s="451" t="s">
        <v>2693</v>
      </c>
      <c r="C21" s="2607" t="str">
        <f>估价对象房地状况!C18</f>
        <v>周边有302、快速直达专线102路等公交线路，交通便捷度一般。</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142"/>
      <c r="Q21" s="1811" t="str">
        <f>B21</f>
        <v>交通便捷度</v>
      </c>
      <c r="R21" s="772" t="s">
        <v>17</v>
      </c>
      <c r="S21" s="773">
        <f>F21</f>
        <v>100</v>
      </c>
      <c r="T21" s="772" t="s">
        <v>17</v>
      </c>
      <c r="U21" s="773">
        <f>H21</f>
        <v>100</v>
      </c>
      <c r="V21" s="772" t="s">
        <v>17</v>
      </c>
      <c r="W21" s="773">
        <f>J21</f>
        <v>100</v>
      </c>
      <c r="X21" s="1814"/>
      <c r="Y21" s="3142"/>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142"/>
      <c r="Q22" s="1811"/>
      <c r="R22" s="772"/>
      <c r="S22" s="773"/>
      <c r="T22" s="772"/>
      <c r="U22" s="773"/>
      <c r="V22" s="772"/>
      <c r="W22" s="773"/>
      <c r="X22" s="1814"/>
      <c r="Y22" s="3142"/>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142"/>
      <c r="Q23" s="1811" t="str">
        <f t="shared" ref="Q23:Q37" si="8">B23</f>
        <v>区域土地利用方向</v>
      </c>
      <c r="R23" s="772" t="s">
        <v>17</v>
      </c>
      <c r="S23" s="773">
        <f>F23</f>
        <v>100</v>
      </c>
      <c r="T23" s="772" t="s">
        <v>17</v>
      </c>
      <c r="U23" s="773">
        <f>H23</f>
        <v>100</v>
      </c>
      <c r="V23" s="772" t="s">
        <v>17</v>
      </c>
      <c r="W23" s="773">
        <f>J23</f>
        <v>100</v>
      </c>
      <c r="X23" s="1814"/>
      <c r="Y23" s="3142"/>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142"/>
      <c r="Q24" s="1811"/>
      <c r="R24" s="772"/>
      <c r="S24" s="773"/>
      <c r="T24" s="772"/>
      <c r="U24" s="773"/>
      <c r="V24" s="772"/>
      <c r="W24" s="773"/>
      <c r="X24" s="1814"/>
      <c r="Y24" s="3142"/>
      <c r="Z24" s="1815"/>
      <c r="AA24" s="1812"/>
      <c r="AB24" s="1812"/>
      <c r="AC24" s="1812"/>
    </row>
    <row r="25" spans="1:29" ht="71.25">
      <c r="A25" s="404"/>
      <c r="B25" s="1384" t="s">
        <v>2733</v>
      </c>
      <c r="C25" s="2662" t="str">
        <f>估价对象房地状况!C20</f>
        <v>周边绿化均为城市绿化，无高等教育机构等，综合评价环境状况一般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142"/>
      <c r="Q25" s="1811" t="str">
        <f t="shared" si="8"/>
        <v>自然及人文环境状况</v>
      </c>
      <c r="R25" s="772" t="s">
        <v>17</v>
      </c>
      <c r="S25" s="773">
        <f>F25</f>
        <v>100</v>
      </c>
      <c r="T25" s="772" t="s">
        <v>17</v>
      </c>
      <c r="U25" s="773">
        <f>H25</f>
        <v>100</v>
      </c>
      <c r="V25" s="772" t="s">
        <v>17</v>
      </c>
      <c r="W25" s="773">
        <f>J25</f>
        <v>100</v>
      </c>
      <c r="X25" s="1814"/>
      <c r="Y25" s="3142"/>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142"/>
      <c r="Q26" s="1811"/>
      <c r="R26" s="772"/>
      <c r="S26" s="773"/>
      <c r="T26" s="772"/>
      <c r="U26" s="773"/>
      <c r="V26" s="772"/>
      <c r="W26" s="773"/>
      <c r="X26" s="1814"/>
      <c r="Y26" s="3142"/>
      <c r="Z26" s="1815"/>
      <c r="AA26" s="1812">
        <v>1</v>
      </c>
      <c r="AB26" s="1812">
        <v>1</v>
      </c>
      <c r="AC26" s="1812">
        <v>1</v>
      </c>
    </row>
    <row r="27" spans="1:29" s="116" customFormat="1" ht="71.25">
      <c r="A27" s="647"/>
      <c r="B27" s="1384" t="s">
        <v>2639</v>
      </c>
      <c r="C27" s="2607" t="str">
        <f>估价对象房地状况!C21</f>
        <v>估价对象周边无银行、商场、学校、医院，有社区超市等，公共配套设施较差。</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142"/>
      <c r="Q27" s="1796" t="str">
        <f t="shared" si="8"/>
        <v>公共配套设施</v>
      </c>
      <c r="R27" s="768" t="s">
        <v>17</v>
      </c>
      <c r="S27" s="769">
        <f>F27</f>
        <v>100</v>
      </c>
      <c r="T27" s="768" t="s">
        <v>17</v>
      </c>
      <c r="U27" s="769">
        <f>H27</f>
        <v>100</v>
      </c>
      <c r="V27" s="768" t="s">
        <v>17</v>
      </c>
      <c r="W27" s="769">
        <f>J27</f>
        <v>100</v>
      </c>
      <c r="X27" s="770"/>
      <c r="Y27" s="3142"/>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142"/>
      <c r="Q28" s="1796"/>
      <c r="R28" s="768"/>
      <c r="S28" s="769"/>
      <c r="T28" s="768"/>
      <c r="U28" s="769"/>
      <c r="V28" s="768"/>
      <c r="W28" s="769"/>
      <c r="X28" s="770"/>
      <c r="Y28" s="3142"/>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142"/>
      <c r="Q29" s="1796" t="str">
        <f t="shared" ref="Q29" si="9">B29</f>
        <v>基础设施水平</v>
      </c>
      <c r="R29" s="768" t="s">
        <v>17</v>
      </c>
      <c r="S29" s="769">
        <f>F29</f>
        <v>100</v>
      </c>
      <c r="T29" s="768" t="s">
        <v>17</v>
      </c>
      <c r="U29" s="769">
        <f>H29</f>
        <v>100</v>
      </c>
      <c r="V29" s="768" t="s">
        <v>17</v>
      </c>
      <c r="W29" s="769">
        <f>J29</f>
        <v>100</v>
      </c>
      <c r="X29" s="770"/>
      <c r="Y29" s="3142"/>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142"/>
      <c r="Q30" s="1796"/>
      <c r="R30" s="768"/>
      <c r="S30" s="769"/>
      <c r="T30" s="768"/>
      <c r="U30" s="769"/>
      <c r="V30" s="768"/>
      <c r="W30" s="769"/>
      <c r="X30" s="770"/>
      <c r="Y30" s="3142"/>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142"/>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42"/>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142"/>
      <c r="Q32" s="1811" t="str">
        <f t="shared" si="8"/>
        <v>毗邻道路的类型与等级</v>
      </c>
      <c r="R32" s="772" t="s">
        <v>17</v>
      </c>
      <c r="S32" s="773">
        <f t="shared" si="10"/>
        <v>100</v>
      </c>
      <c r="T32" s="772" t="s">
        <v>17</v>
      </c>
      <c r="U32" s="773">
        <f t="shared" si="11"/>
        <v>100</v>
      </c>
      <c r="V32" s="772" t="s">
        <v>17</v>
      </c>
      <c r="W32" s="773">
        <f t="shared" si="12"/>
        <v>100</v>
      </c>
      <c r="X32" s="1814"/>
      <c r="Y32" s="3142"/>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142"/>
      <c r="Q33" s="1811"/>
      <c r="R33" s="772"/>
      <c r="S33" s="773"/>
      <c r="T33" s="772"/>
      <c r="U33" s="773"/>
      <c r="V33" s="772"/>
      <c r="W33" s="773"/>
      <c r="X33" s="1814"/>
      <c r="Y33" s="3142"/>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142"/>
      <c r="Q34" s="1811" t="str">
        <f t="shared" si="8"/>
        <v>土地级别</v>
      </c>
      <c r="R34" s="772" t="s">
        <v>17</v>
      </c>
      <c r="S34" s="773">
        <f t="shared" si="10"/>
        <v>100</v>
      </c>
      <c r="T34" s="772" t="s">
        <v>17</v>
      </c>
      <c r="U34" s="773">
        <f t="shared" si="11"/>
        <v>100</v>
      </c>
      <c r="V34" s="772" t="s">
        <v>17</v>
      </c>
      <c r="W34" s="773">
        <f t="shared" si="12"/>
        <v>100</v>
      </c>
      <c r="X34" s="1814"/>
      <c r="Y34" s="3142"/>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142"/>
      <c r="Q35" s="1811">
        <f t="shared" si="8"/>
        <v>111</v>
      </c>
      <c r="R35" s="772" t="s">
        <v>17</v>
      </c>
      <c r="S35" s="773">
        <f t="shared" si="10"/>
        <v>100</v>
      </c>
      <c r="T35" s="772" t="s">
        <v>17</v>
      </c>
      <c r="U35" s="773">
        <f t="shared" si="11"/>
        <v>100</v>
      </c>
      <c r="V35" s="772" t="s">
        <v>17</v>
      </c>
      <c r="W35" s="773">
        <f t="shared" si="12"/>
        <v>100</v>
      </c>
      <c r="X35" s="1814"/>
      <c r="Y35" s="3142"/>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30" t="s">
        <v>2550</v>
      </c>
      <c r="Q36" s="1811">
        <f t="shared" si="8"/>
        <v>111</v>
      </c>
      <c r="R36" s="772" t="s">
        <v>17</v>
      </c>
      <c r="S36" s="773">
        <f t="shared" si="10"/>
        <v>100</v>
      </c>
      <c r="T36" s="772" t="s">
        <v>17</v>
      </c>
      <c r="U36" s="773">
        <f t="shared" si="11"/>
        <v>100</v>
      </c>
      <c r="V36" s="772" t="s">
        <v>17</v>
      </c>
      <c r="W36" s="773">
        <f t="shared" si="12"/>
        <v>100</v>
      </c>
      <c r="X36" s="1814"/>
      <c r="Y36" s="3146"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146"/>
      <c r="Q37" s="1811">
        <f t="shared" si="8"/>
        <v>111</v>
      </c>
      <c r="R37" s="775" t="s">
        <v>17</v>
      </c>
      <c r="S37" s="776">
        <f t="shared" si="10"/>
        <v>100</v>
      </c>
      <c r="T37" s="775" t="s">
        <v>17</v>
      </c>
      <c r="U37" s="776">
        <f t="shared" si="11"/>
        <v>100</v>
      </c>
      <c r="V37" s="775" t="s">
        <v>17</v>
      </c>
      <c r="W37" s="776">
        <f t="shared" si="12"/>
        <v>100</v>
      </c>
      <c r="X37" s="777"/>
      <c r="Y37" s="3146"/>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146"/>
      <c r="Q38" s="1811" t="str">
        <f>B38</f>
        <v>宗地面积</v>
      </c>
      <c r="R38" s="772" t="s">
        <v>17</v>
      </c>
      <c r="S38" s="773" t="e">
        <f t="shared" si="10"/>
        <v>#N/A</v>
      </c>
      <c r="T38" s="772" t="s">
        <v>17</v>
      </c>
      <c r="U38" s="773" t="e">
        <f t="shared" si="11"/>
        <v>#N/A</v>
      </c>
      <c r="V38" s="772" t="s">
        <v>17</v>
      </c>
      <c r="W38" s="773" t="e">
        <f t="shared" si="12"/>
        <v>#N/A</v>
      </c>
      <c r="X38" s="1814"/>
      <c r="Y38" s="3146"/>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46"/>
      <c r="Q39" s="1811" t="str">
        <f t="shared" ref="Q39:Q45" si="14">B39</f>
        <v>宗地形状</v>
      </c>
      <c r="R39" s="772" t="s">
        <v>17</v>
      </c>
      <c r="S39" s="773">
        <f t="shared" si="10"/>
        <v>100</v>
      </c>
      <c r="T39" s="772" t="s">
        <v>17</v>
      </c>
      <c r="U39" s="773">
        <f t="shared" si="11"/>
        <v>100</v>
      </c>
      <c r="V39" s="772" t="s">
        <v>17</v>
      </c>
      <c r="W39" s="773">
        <f t="shared" si="12"/>
        <v>100</v>
      </c>
      <c r="X39" s="1814"/>
      <c r="Y39" s="3146"/>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46"/>
      <c r="Q40" s="1811" t="str">
        <f t="shared" si="14"/>
        <v>临街宽度及深度</v>
      </c>
      <c r="R40" s="772" t="s">
        <v>17</v>
      </c>
      <c r="S40" s="773">
        <f t="shared" si="10"/>
        <v>100</v>
      </c>
      <c r="T40" s="772" t="s">
        <v>17</v>
      </c>
      <c r="U40" s="773">
        <f t="shared" si="11"/>
        <v>100</v>
      </c>
      <c r="V40" s="772" t="s">
        <v>17</v>
      </c>
      <c r="W40" s="773">
        <f t="shared" si="12"/>
        <v>100</v>
      </c>
      <c r="X40" s="1814"/>
      <c r="Y40" s="3146"/>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46"/>
      <c r="Q41" s="1811" t="str">
        <f t="shared" si="14"/>
        <v>宗地开发程度</v>
      </c>
      <c r="R41" s="768" t="s">
        <v>17</v>
      </c>
      <c r="S41" s="769">
        <f t="shared" si="10"/>
        <v>100</v>
      </c>
      <c r="T41" s="768" t="s">
        <v>17</v>
      </c>
      <c r="U41" s="769">
        <f t="shared" si="11"/>
        <v>100</v>
      </c>
      <c r="V41" s="768" t="s">
        <v>17</v>
      </c>
      <c r="W41" s="769">
        <f t="shared" si="12"/>
        <v>100</v>
      </c>
      <c r="X41" s="770"/>
      <c r="Y41" s="3146"/>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46" t="s">
        <v>2550</v>
      </c>
      <c r="Q42" s="1811" t="str">
        <f t="shared" si="14"/>
        <v>工程地质条件</v>
      </c>
      <c r="R42" s="772" t="s">
        <v>17</v>
      </c>
      <c r="S42" s="773">
        <f t="shared" si="10"/>
        <v>100</v>
      </c>
      <c r="T42" s="772" t="s">
        <v>17</v>
      </c>
      <c r="U42" s="773">
        <f t="shared" si="11"/>
        <v>100</v>
      </c>
      <c r="V42" s="772" t="s">
        <v>17</v>
      </c>
      <c r="W42" s="773">
        <f t="shared" si="12"/>
        <v>100</v>
      </c>
      <c r="X42" s="1814"/>
      <c r="Y42" s="3146"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146"/>
      <c r="Q43" s="1811">
        <f t="shared" si="14"/>
        <v>111</v>
      </c>
      <c r="R43" s="772" t="s">
        <v>17</v>
      </c>
      <c r="S43" s="773">
        <f t="shared" si="10"/>
        <v>100</v>
      </c>
      <c r="T43" s="772" t="s">
        <v>17</v>
      </c>
      <c r="U43" s="773">
        <f t="shared" si="11"/>
        <v>100</v>
      </c>
      <c r="V43" s="772" t="s">
        <v>17</v>
      </c>
      <c r="W43" s="773">
        <f t="shared" si="12"/>
        <v>100</v>
      </c>
      <c r="X43" s="1814"/>
      <c r="Y43" s="3146"/>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146"/>
      <c r="Q44" s="1811">
        <f t="shared" si="14"/>
        <v>111</v>
      </c>
      <c r="R44" s="772" t="s">
        <v>17</v>
      </c>
      <c r="S44" s="773">
        <f t="shared" si="10"/>
        <v>100</v>
      </c>
      <c r="T44" s="772" t="s">
        <v>17</v>
      </c>
      <c r="U44" s="773">
        <f t="shared" si="11"/>
        <v>100</v>
      </c>
      <c r="V44" s="772" t="s">
        <v>17</v>
      </c>
      <c r="W44" s="773">
        <f t="shared" si="12"/>
        <v>100</v>
      </c>
      <c r="X44" s="1814"/>
      <c r="Y44" s="3146"/>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146"/>
      <c r="Q45" s="1811">
        <f t="shared" si="14"/>
        <v>111</v>
      </c>
      <c r="R45" s="775" t="s">
        <v>17</v>
      </c>
      <c r="S45" s="776">
        <f t="shared" si="10"/>
        <v>100</v>
      </c>
      <c r="T45" s="775" t="s">
        <v>17</v>
      </c>
      <c r="U45" s="776">
        <f t="shared" si="11"/>
        <v>100</v>
      </c>
      <c r="V45" s="775" t="s">
        <v>17</v>
      </c>
      <c r="W45" s="776">
        <f t="shared" si="12"/>
        <v>100</v>
      </c>
      <c r="X45" s="777"/>
      <c r="Y45" s="3146"/>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139" t="str">
        <f>A46</f>
        <v>成交单价</v>
      </c>
      <c r="Q46" s="3139"/>
      <c r="R46" s="3170">
        <f>E46</f>
        <v>0</v>
      </c>
      <c r="S46" s="3170"/>
      <c r="T46" s="3170">
        <f>G46</f>
        <v>0</v>
      </c>
      <c r="U46" s="3170"/>
      <c r="V46" s="3170">
        <f>I46</f>
        <v>0</v>
      </c>
      <c r="W46" s="3170"/>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139" t="str">
        <f>A47</f>
        <v>比较价值（元/平方米）</v>
      </c>
      <c r="Q47" s="3139"/>
      <c r="R47" s="3231" t="e">
        <f>ROUND(PRODUCT(R46,AA7:AA45),0)</f>
        <v>#DIV/0!</v>
      </c>
      <c r="S47" s="3231"/>
      <c r="T47" s="3231" t="e">
        <f>ROUND(PRODUCT(T46,AB7:AB45),0)</f>
        <v>#DIV/0!</v>
      </c>
      <c r="U47" s="3231"/>
      <c r="V47" s="3231" t="e">
        <f>ROUND(PRODUCT(V46,AC7:AC45),0)</f>
        <v>#DIV/0!</v>
      </c>
      <c r="W47" s="3231"/>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136" t="str">
        <f>A48</f>
        <v>估价对象XX用房的比较价值（楼面单价，元/平方米）</v>
      </c>
      <c r="Q48" s="3137"/>
      <c r="R48" s="3232" t="e">
        <f>ROUND(AVERAGE(R47:V47),0)</f>
        <v>#DIV/0!</v>
      </c>
      <c r="S48" s="3232"/>
      <c r="T48" s="3232"/>
      <c r="U48" s="3232"/>
      <c r="V48" s="3232"/>
      <c r="W48" s="3232"/>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154" t="s">
        <v>2748</v>
      </c>
      <c r="H55" s="3233"/>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4145.53</v>
      </c>
      <c r="F56" s="1104" t="e">
        <f t="shared" ref="F56:F65" si="15">ROUND(B56*E56/10000,0)</f>
        <v>#DIV/0!</v>
      </c>
      <c r="G56" s="3150"/>
      <c r="H56" s="3139"/>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234"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234"/>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234"/>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234"/>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4145.53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4" t="s">
        <v>2631</v>
      </c>
      <c r="D4" s="3155"/>
      <c r="E4" s="3156" t="s">
        <v>2632</v>
      </c>
      <c r="F4" s="3157"/>
      <c r="G4" s="3154" t="s">
        <v>2633</v>
      </c>
      <c r="H4" s="3155"/>
      <c r="I4" s="3154" t="s">
        <v>2634</v>
      </c>
      <c r="J4" s="3155"/>
      <c r="K4" s="610" t="s">
        <v>2635</v>
      </c>
      <c r="L4" s="1130"/>
      <c r="M4" s="1131"/>
      <c r="N4" s="1131"/>
      <c r="O4" s="1131"/>
      <c r="P4" s="3158" t="s">
        <v>2636</v>
      </c>
      <c r="Q4" s="3159"/>
      <c r="R4" s="3164" t="s">
        <v>2632</v>
      </c>
      <c r="S4" s="3165"/>
      <c r="T4" s="3164" t="s">
        <v>2633</v>
      </c>
      <c r="U4" s="3165"/>
      <c r="V4" s="3170" t="s">
        <v>2634</v>
      </c>
      <c r="W4" s="3170"/>
      <c r="X4" s="1814"/>
      <c r="Y4" s="3164" t="s">
        <v>2636</v>
      </c>
      <c r="Z4" s="3165"/>
      <c r="AA4" s="3151" t="s">
        <v>2632</v>
      </c>
      <c r="AB4" s="3152" t="s">
        <v>2633</v>
      </c>
      <c r="AC4" s="3151" t="s">
        <v>2634</v>
      </c>
    </row>
    <row r="5" spans="1:29" ht="15">
      <c r="A5" s="404"/>
      <c r="B5" s="405"/>
      <c r="C5" s="3226" t="s">
        <v>2527</v>
      </c>
      <c r="D5" s="3174"/>
      <c r="E5" s="3229" t="s">
        <v>2528</v>
      </c>
      <c r="F5" s="3181"/>
      <c r="G5" s="3226" t="s">
        <v>2529</v>
      </c>
      <c r="H5" s="3174"/>
      <c r="I5" s="3226" t="s">
        <v>2530</v>
      </c>
      <c r="J5" s="3174"/>
      <c r="K5" s="610"/>
      <c r="L5" s="1130"/>
      <c r="M5" s="1131"/>
      <c r="N5" s="1131"/>
      <c r="O5" s="1131"/>
      <c r="P5" s="3160"/>
      <c r="Q5" s="3161"/>
      <c r="R5" s="3166"/>
      <c r="S5" s="3167"/>
      <c r="T5" s="3166"/>
      <c r="U5" s="3167"/>
      <c r="V5" s="3170"/>
      <c r="W5" s="3170"/>
      <c r="X5" s="1814"/>
      <c r="Y5" s="3166"/>
      <c r="Z5" s="3167"/>
      <c r="AA5" s="3152"/>
      <c r="AB5" s="3152"/>
      <c r="AC5" s="3152"/>
    </row>
    <row r="6" spans="1:29" ht="15.75" thickBot="1">
      <c r="A6" s="406"/>
      <c r="B6" s="407"/>
      <c r="C6" s="3235" t="s">
        <v>2781</v>
      </c>
      <c r="D6" s="3236"/>
      <c r="E6" s="3237" t="s">
        <v>2781</v>
      </c>
      <c r="F6" s="3238"/>
      <c r="G6" s="3235" t="s">
        <v>2781</v>
      </c>
      <c r="H6" s="3236"/>
      <c r="I6" s="3235" t="s">
        <v>2781</v>
      </c>
      <c r="J6" s="3236"/>
      <c r="K6" s="610" t="s">
        <v>2532</v>
      </c>
      <c r="L6" s="1130"/>
      <c r="M6" s="1131"/>
      <c r="N6" s="1131"/>
      <c r="O6" s="1131"/>
      <c r="P6" s="3162"/>
      <c r="Q6" s="3163"/>
      <c r="R6" s="3166"/>
      <c r="S6" s="3167"/>
      <c r="T6" s="3168"/>
      <c r="U6" s="3169"/>
      <c r="V6" s="3170"/>
      <c r="W6" s="3170"/>
      <c r="X6" s="1814"/>
      <c r="Y6" s="3168"/>
      <c r="Z6" s="3169"/>
      <c r="AA6" s="3153"/>
      <c r="AB6" s="3153"/>
      <c r="AC6" s="3153"/>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5" t="s">
        <v>2534</v>
      </c>
      <c r="Q7" s="3177"/>
      <c r="R7" s="768" t="s">
        <v>17</v>
      </c>
      <c r="S7" s="769">
        <f t="shared" ref="S7:S15" si="0">F7</f>
        <v>0</v>
      </c>
      <c r="T7" s="768" t="s">
        <v>17</v>
      </c>
      <c r="U7" s="769">
        <f t="shared" ref="U7:U15" si="1">H7</f>
        <v>0</v>
      </c>
      <c r="V7" s="768" t="s">
        <v>17</v>
      </c>
      <c r="W7" s="769">
        <f t="shared" ref="W7:W15" si="2">J7</f>
        <v>0</v>
      </c>
      <c r="X7" s="770"/>
      <c r="Y7" s="3175" t="s">
        <v>2534</v>
      </c>
      <c r="Z7" s="3176"/>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2537</v>
      </c>
      <c r="Q8" s="3176"/>
      <c r="R8" s="768" t="s">
        <v>17</v>
      </c>
      <c r="S8" s="769">
        <f t="shared" si="0"/>
        <v>0</v>
      </c>
      <c r="T8" s="768" t="s">
        <v>17</v>
      </c>
      <c r="U8" s="769">
        <f t="shared" si="1"/>
        <v>0</v>
      </c>
      <c r="V8" s="768" t="s">
        <v>17</v>
      </c>
      <c r="W8" s="769">
        <f t="shared" si="2"/>
        <v>0</v>
      </c>
      <c r="X8" s="770"/>
      <c r="Y8" s="3175" t="s">
        <v>2537</v>
      </c>
      <c r="Z8" s="3176"/>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139" t="s">
        <v>2540</v>
      </c>
      <c r="Q9" s="1796" t="str">
        <f t="shared" ref="Q9:Q15" si="6">B9</f>
        <v>用途</v>
      </c>
      <c r="R9" s="768" t="s">
        <v>17</v>
      </c>
      <c r="S9" s="769">
        <f t="shared" si="0"/>
        <v>100</v>
      </c>
      <c r="T9" s="768" t="s">
        <v>17</v>
      </c>
      <c r="U9" s="769">
        <f t="shared" si="1"/>
        <v>100</v>
      </c>
      <c r="V9" s="768" t="s">
        <v>17</v>
      </c>
      <c r="W9" s="769">
        <f t="shared" si="2"/>
        <v>100</v>
      </c>
      <c r="X9" s="770"/>
      <c r="Y9" s="2994"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105</v>
      </c>
      <c r="G10" s="432"/>
      <c r="H10" s="135">
        <f>ROUND(100/'数据-取费表'!G16,0)</f>
        <v>105</v>
      </c>
      <c r="I10" s="432"/>
      <c r="J10" s="135">
        <f>ROUND(100/'数据-取费表'!G16,0)</f>
        <v>105</v>
      </c>
      <c r="K10" s="670"/>
      <c r="L10" s="1135"/>
      <c r="M10" s="1136"/>
      <c r="N10" s="1136"/>
      <c r="O10" s="1137"/>
      <c r="P10" s="3139"/>
      <c r="Q10" s="1796" t="str">
        <f t="shared" si="6"/>
        <v>土地使用年限（年）</v>
      </c>
      <c r="R10" s="768" t="s">
        <v>17</v>
      </c>
      <c r="S10" s="769">
        <f t="shared" si="0"/>
        <v>105</v>
      </c>
      <c r="T10" s="768" t="s">
        <v>17</v>
      </c>
      <c r="U10" s="769">
        <f t="shared" si="1"/>
        <v>105</v>
      </c>
      <c r="V10" s="768" t="s">
        <v>17</v>
      </c>
      <c r="W10" s="769">
        <f t="shared" si="2"/>
        <v>105</v>
      </c>
      <c r="X10" s="770"/>
      <c r="Y10" s="2994"/>
      <c r="Z10" s="54" t="str">
        <f t="shared" si="7"/>
        <v>土地使用年限（年）</v>
      </c>
      <c r="AA10" s="771">
        <f t="shared" si="3"/>
        <v>0.95238095238095233</v>
      </c>
      <c r="AB10" s="771">
        <f t="shared" si="4"/>
        <v>0.95238095238095233</v>
      </c>
      <c r="AC10" s="771">
        <f t="shared" si="5"/>
        <v>0.95238095238095233</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139"/>
      <c r="Q11" s="1796" t="str">
        <f t="shared" si="6"/>
        <v>容积率</v>
      </c>
      <c r="R11" s="768" t="s">
        <v>17</v>
      </c>
      <c r="S11" s="769" t="e">
        <f t="shared" si="0"/>
        <v>#N/A</v>
      </c>
      <c r="T11" s="768" t="s">
        <v>17</v>
      </c>
      <c r="U11" s="769" t="e">
        <f t="shared" si="1"/>
        <v>#N/A</v>
      </c>
      <c r="V11" s="768" t="s">
        <v>17</v>
      </c>
      <c r="W11" s="769" t="e">
        <f t="shared" si="2"/>
        <v>#N/A</v>
      </c>
      <c r="X11" s="770"/>
      <c r="Y11" s="2994"/>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139"/>
      <c r="Q12" s="1796">
        <f t="shared" si="6"/>
        <v>111</v>
      </c>
      <c r="R12" s="768" t="s">
        <v>17</v>
      </c>
      <c r="S12" s="769">
        <f t="shared" si="0"/>
        <v>100</v>
      </c>
      <c r="T12" s="768" t="s">
        <v>17</v>
      </c>
      <c r="U12" s="769">
        <f t="shared" si="1"/>
        <v>100</v>
      </c>
      <c r="V12" s="768" t="s">
        <v>17</v>
      </c>
      <c r="W12" s="769">
        <f t="shared" si="2"/>
        <v>100</v>
      </c>
      <c r="X12" s="770"/>
      <c r="Y12" s="2994"/>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139"/>
      <c r="Q13" s="1796">
        <f t="shared" si="6"/>
        <v>111</v>
      </c>
      <c r="R13" s="768" t="s">
        <v>17</v>
      </c>
      <c r="S13" s="769">
        <f t="shared" si="0"/>
        <v>100</v>
      </c>
      <c r="T13" s="768" t="s">
        <v>17</v>
      </c>
      <c r="U13" s="769">
        <f t="shared" si="1"/>
        <v>100</v>
      </c>
      <c r="V13" s="768" t="s">
        <v>17</v>
      </c>
      <c r="W13" s="769">
        <f t="shared" si="2"/>
        <v>100</v>
      </c>
      <c r="X13" s="770"/>
      <c r="Y13" s="2994"/>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139"/>
      <c r="Q14" s="1796">
        <f t="shared" si="6"/>
        <v>111</v>
      </c>
      <c r="R14" s="768" t="s">
        <v>17</v>
      </c>
      <c r="S14" s="769">
        <f t="shared" si="0"/>
        <v>100</v>
      </c>
      <c r="T14" s="768" t="s">
        <v>17</v>
      </c>
      <c r="U14" s="769">
        <f t="shared" si="1"/>
        <v>100</v>
      </c>
      <c r="V14" s="768" t="s">
        <v>17</v>
      </c>
      <c r="W14" s="769">
        <f t="shared" si="2"/>
        <v>100</v>
      </c>
      <c r="X14" s="770"/>
      <c r="Y14" s="2994"/>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141" t="s">
        <v>2545</v>
      </c>
      <c r="Q15" s="1811" t="str">
        <f t="shared" si="6"/>
        <v>产业集聚程度</v>
      </c>
      <c r="R15" s="772" t="s">
        <v>17</v>
      </c>
      <c r="S15" s="773">
        <f t="shared" si="0"/>
        <v>100</v>
      </c>
      <c r="T15" s="772" t="s">
        <v>17</v>
      </c>
      <c r="U15" s="773">
        <f t="shared" si="1"/>
        <v>100</v>
      </c>
      <c r="V15" s="772" t="s">
        <v>17</v>
      </c>
      <c r="W15" s="773">
        <f t="shared" si="2"/>
        <v>100</v>
      </c>
      <c r="X15" s="1814"/>
      <c r="Y15" s="3141"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142"/>
      <c r="Q16" s="1811"/>
      <c r="R16" s="772"/>
      <c r="S16" s="773"/>
      <c r="T16" s="772"/>
      <c r="U16" s="773"/>
      <c r="V16" s="772"/>
      <c r="W16" s="773"/>
      <c r="X16" s="1814"/>
      <c r="Y16" s="3142"/>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142"/>
      <c r="Q17" s="1811" t="str">
        <f>B17</f>
        <v>交通便捷度</v>
      </c>
      <c r="R17" s="772" t="s">
        <v>17</v>
      </c>
      <c r="S17" s="773">
        <f>F17</f>
        <v>100</v>
      </c>
      <c r="T17" s="772" t="s">
        <v>17</v>
      </c>
      <c r="U17" s="773">
        <f>H17</f>
        <v>100</v>
      </c>
      <c r="V17" s="772" t="s">
        <v>17</v>
      </c>
      <c r="W17" s="773">
        <f>J17</f>
        <v>100</v>
      </c>
      <c r="X17" s="1814"/>
      <c r="Y17" s="3142"/>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142"/>
      <c r="Q18" s="1811"/>
      <c r="R18" s="772"/>
      <c r="S18" s="773"/>
      <c r="T18" s="772"/>
      <c r="U18" s="773"/>
      <c r="V18" s="772"/>
      <c r="W18" s="773"/>
      <c r="X18" s="1814"/>
      <c r="Y18" s="3142"/>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142"/>
      <c r="Q19" s="1811" t="str">
        <f t="shared" ref="Q19:Q33" si="8">B19</f>
        <v>区域土地利用方向</v>
      </c>
      <c r="R19" s="772" t="s">
        <v>17</v>
      </c>
      <c r="S19" s="773">
        <f>F19</f>
        <v>100</v>
      </c>
      <c r="T19" s="772" t="s">
        <v>17</v>
      </c>
      <c r="U19" s="773">
        <f>H19</f>
        <v>100</v>
      </c>
      <c r="V19" s="772" t="s">
        <v>17</v>
      </c>
      <c r="W19" s="773">
        <f>J19</f>
        <v>100</v>
      </c>
      <c r="X19" s="1814"/>
      <c r="Y19" s="3142"/>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142"/>
      <c r="Q20" s="1811"/>
      <c r="R20" s="772"/>
      <c r="S20" s="773"/>
      <c r="T20" s="772"/>
      <c r="U20" s="773"/>
      <c r="V20" s="772"/>
      <c r="W20" s="773"/>
      <c r="X20" s="1814"/>
      <c r="Y20" s="3142"/>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142"/>
      <c r="Q21" s="1811" t="str">
        <f t="shared" si="8"/>
        <v>环境状况</v>
      </c>
      <c r="R21" s="772" t="s">
        <v>17</v>
      </c>
      <c r="S21" s="773">
        <f>F21</f>
        <v>100</v>
      </c>
      <c r="T21" s="772" t="s">
        <v>17</v>
      </c>
      <c r="U21" s="773">
        <f>H21</f>
        <v>100</v>
      </c>
      <c r="V21" s="772" t="s">
        <v>17</v>
      </c>
      <c r="W21" s="773">
        <f>J21</f>
        <v>100</v>
      </c>
      <c r="X21" s="1814"/>
      <c r="Y21" s="3142"/>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142"/>
      <c r="Q22" s="1811"/>
      <c r="R22" s="772"/>
      <c r="S22" s="773"/>
      <c r="T22" s="772"/>
      <c r="U22" s="773"/>
      <c r="V22" s="772"/>
      <c r="W22" s="773"/>
      <c r="X22" s="1814"/>
      <c r="Y22" s="3142"/>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142"/>
      <c r="Q23" s="1796" t="str">
        <f t="shared" si="8"/>
        <v>公共配套设施</v>
      </c>
      <c r="R23" s="768" t="s">
        <v>17</v>
      </c>
      <c r="S23" s="769">
        <f>F23</f>
        <v>100</v>
      </c>
      <c r="T23" s="768" t="s">
        <v>17</v>
      </c>
      <c r="U23" s="769">
        <f>H23</f>
        <v>100</v>
      </c>
      <c r="V23" s="768" t="s">
        <v>17</v>
      </c>
      <c r="W23" s="769">
        <f>J23</f>
        <v>100</v>
      </c>
      <c r="X23" s="770"/>
      <c r="Y23" s="3142"/>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142"/>
      <c r="Q24" s="1796"/>
      <c r="R24" s="768"/>
      <c r="S24" s="769"/>
      <c r="T24" s="768"/>
      <c r="U24" s="769"/>
      <c r="V24" s="768"/>
      <c r="W24" s="769"/>
      <c r="X24" s="770"/>
      <c r="Y24" s="3142"/>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142"/>
      <c r="Q25" s="1796" t="str">
        <f t="shared" ref="Q25" si="9">B25</f>
        <v>基础设施水平</v>
      </c>
      <c r="R25" s="768" t="s">
        <v>17</v>
      </c>
      <c r="S25" s="769">
        <f>F25</f>
        <v>100</v>
      </c>
      <c r="T25" s="768" t="s">
        <v>17</v>
      </c>
      <c r="U25" s="769">
        <f>H25</f>
        <v>100</v>
      </c>
      <c r="V25" s="768" t="s">
        <v>17</v>
      </c>
      <c r="W25" s="769">
        <f>J25</f>
        <v>100</v>
      </c>
      <c r="X25" s="770"/>
      <c r="Y25" s="3142"/>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142"/>
      <c r="Q26" s="1796"/>
      <c r="R26" s="768"/>
      <c r="S26" s="769"/>
      <c r="T26" s="768"/>
      <c r="U26" s="769"/>
      <c r="V26" s="768"/>
      <c r="W26" s="769"/>
      <c r="X26" s="770"/>
      <c r="Y26" s="3142"/>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14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42"/>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142"/>
      <c r="Q28" s="1811" t="str">
        <f t="shared" si="8"/>
        <v>毗邻道路的类型与等级</v>
      </c>
      <c r="R28" s="772" t="s">
        <v>17</v>
      </c>
      <c r="S28" s="773">
        <f t="shared" si="10"/>
        <v>100</v>
      </c>
      <c r="T28" s="772" t="s">
        <v>17</v>
      </c>
      <c r="U28" s="773">
        <f t="shared" si="11"/>
        <v>100</v>
      </c>
      <c r="V28" s="772" t="s">
        <v>17</v>
      </c>
      <c r="W28" s="773">
        <f t="shared" si="12"/>
        <v>100</v>
      </c>
      <c r="X28" s="1814"/>
      <c r="Y28" s="3142"/>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142"/>
      <c r="Q29" s="1811"/>
      <c r="R29" s="772"/>
      <c r="S29" s="773"/>
      <c r="T29" s="772"/>
      <c r="U29" s="773"/>
      <c r="V29" s="772"/>
      <c r="W29" s="773"/>
      <c r="X29" s="1814"/>
      <c r="Y29" s="3142"/>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142"/>
      <c r="Q30" s="1811" t="str">
        <f t="shared" si="8"/>
        <v>土地级别</v>
      </c>
      <c r="R30" s="772" t="s">
        <v>17</v>
      </c>
      <c r="S30" s="773">
        <f t="shared" si="10"/>
        <v>100</v>
      </c>
      <c r="T30" s="772" t="s">
        <v>17</v>
      </c>
      <c r="U30" s="773">
        <f t="shared" si="11"/>
        <v>100</v>
      </c>
      <c r="V30" s="772" t="s">
        <v>17</v>
      </c>
      <c r="W30" s="773">
        <f t="shared" si="12"/>
        <v>100</v>
      </c>
      <c r="X30" s="1814"/>
      <c r="Y30" s="3142"/>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42"/>
      <c r="Q31" s="1811">
        <f t="shared" si="8"/>
        <v>111</v>
      </c>
      <c r="R31" s="772" t="s">
        <v>17</v>
      </c>
      <c r="S31" s="773">
        <f t="shared" si="10"/>
        <v>100</v>
      </c>
      <c r="T31" s="772" t="s">
        <v>17</v>
      </c>
      <c r="U31" s="773">
        <f t="shared" si="11"/>
        <v>100</v>
      </c>
      <c r="V31" s="772" t="s">
        <v>17</v>
      </c>
      <c r="W31" s="773">
        <f t="shared" si="12"/>
        <v>100</v>
      </c>
      <c r="X31" s="1814"/>
      <c r="Y31" s="3142"/>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30" t="s">
        <v>2550</v>
      </c>
      <c r="Q32" s="1811">
        <f t="shared" si="8"/>
        <v>111</v>
      </c>
      <c r="R32" s="772" t="s">
        <v>17</v>
      </c>
      <c r="S32" s="773">
        <f t="shared" si="10"/>
        <v>100</v>
      </c>
      <c r="T32" s="772" t="s">
        <v>17</v>
      </c>
      <c r="U32" s="773">
        <f t="shared" si="11"/>
        <v>100</v>
      </c>
      <c r="V32" s="772" t="s">
        <v>17</v>
      </c>
      <c r="W32" s="773">
        <f t="shared" si="12"/>
        <v>100</v>
      </c>
      <c r="X32" s="1814"/>
      <c r="Y32" s="3146"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146"/>
      <c r="Q33" s="1811">
        <f t="shared" si="8"/>
        <v>111</v>
      </c>
      <c r="R33" s="775" t="s">
        <v>17</v>
      </c>
      <c r="S33" s="776">
        <f t="shared" si="10"/>
        <v>100</v>
      </c>
      <c r="T33" s="775" t="s">
        <v>17</v>
      </c>
      <c r="U33" s="776">
        <f t="shared" si="11"/>
        <v>100</v>
      </c>
      <c r="V33" s="775" t="s">
        <v>17</v>
      </c>
      <c r="W33" s="776">
        <f t="shared" si="12"/>
        <v>100</v>
      </c>
      <c r="X33" s="777"/>
      <c r="Y33" s="3146"/>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146"/>
      <c r="Q34" s="1811" t="str">
        <f>B34</f>
        <v>宗地面积</v>
      </c>
      <c r="R34" s="772" t="s">
        <v>17</v>
      </c>
      <c r="S34" s="773" t="e">
        <f t="shared" si="10"/>
        <v>#N/A</v>
      </c>
      <c r="T34" s="772" t="s">
        <v>17</v>
      </c>
      <c r="U34" s="773" t="e">
        <f t="shared" si="11"/>
        <v>#N/A</v>
      </c>
      <c r="V34" s="772" t="s">
        <v>17</v>
      </c>
      <c r="W34" s="773" t="e">
        <f t="shared" si="12"/>
        <v>#N/A</v>
      </c>
      <c r="X34" s="1814"/>
      <c r="Y34" s="3146"/>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46"/>
      <c r="Q35" s="1811" t="str">
        <f t="shared" ref="Q35:Q40" si="14">B35</f>
        <v>宗地形状</v>
      </c>
      <c r="R35" s="772" t="s">
        <v>17</v>
      </c>
      <c r="S35" s="773">
        <f t="shared" si="10"/>
        <v>100</v>
      </c>
      <c r="T35" s="772" t="s">
        <v>17</v>
      </c>
      <c r="U35" s="773">
        <f t="shared" si="11"/>
        <v>100</v>
      </c>
      <c r="V35" s="772" t="s">
        <v>17</v>
      </c>
      <c r="W35" s="773">
        <f t="shared" si="12"/>
        <v>100</v>
      </c>
      <c r="X35" s="1814"/>
      <c r="Y35" s="3146"/>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46"/>
      <c r="Q36" s="1811" t="str">
        <f t="shared" si="14"/>
        <v>宗地开发程度</v>
      </c>
      <c r="R36" s="768" t="s">
        <v>17</v>
      </c>
      <c r="S36" s="769">
        <f t="shared" si="10"/>
        <v>100</v>
      </c>
      <c r="T36" s="768" t="s">
        <v>17</v>
      </c>
      <c r="U36" s="769">
        <f t="shared" si="11"/>
        <v>100</v>
      </c>
      <c r="V36" s="768" t="s">
        <v>17</v>
      </c>
      <c r="W36" s="769">
        <f t="shared" si="12"/>
        <v>100</v>
      </c>
      <c r="X36" s="770"/>
      <c r="Y36" s="3146"/>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46" t="s">
        <v>2550</v>
      </c>
      <c r="Q37" s="1811" t="str">
        <f t="shared" si="14"/>
        <v>工程地质条件</v>
      </c>
      <c r="R37" s="772" t="s">
        <v>17</v>
      </c>
      <c r="S37" s="773">
        <f t="shared" si="10"/>
        <v>100</v>
      </c>
      <c r="T37" s="772" t="s">
        <v>17</v>
      </c>
      <c r="U37" s="773">
        <f t="shared" si="11"/>
        <v>100</v>
      </c>
      <c r="V37" s="772" t="s">
        <v>17</v>
      </c>
      <c r="W37" s="773">
        <f t="shared" si="12"/>
        <v>100</v>
      </c>
      <c r="X37" s="1814"/>
      <c r="Y37" s="3146"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146"/>
      <c r="Q38" s="1811">
        <f t="shared" si="14"/>
        <v>111</v>
      </c>
      <c r="R38" s="772" t="s">
        <v>17</v>
      </c>
      <c r="S38" s="773">
        <f t="shared" si="10"/>
        <v>100</v>
      </c>
      <c r="T38" s="772" t="s">
        <v>17</v>
      </c>
      <c r="U38" s="773">
        <f t="shared" si="11"/>
        <v>100</v>
      </c>
      <c r="V38" s="772" t="s">
        <v>17</v>
      </c>
      <c r="W38" s="773">
        <f t="shared" si="12"/>
        <v>100</v>
      </c>
      <c r="X38" s="1814"/>
      <c r="Y38" s="3146"/>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146"/>
      <c r="Q39" s="1811">
        <f t="shared" si="14"/>
        <v>111</v>
      </c>
      <c r="R39" s="772" t="s">
        <v>17</v>
      </c>
      <c r="S39" s="773">
        <f t="shared" si="10"/>
        <v>100</v>
      </c>
      <c r="T39" s="772" t="s">
        <v>17</v>
      </c>
      <c r="U39" s="773">
        <f t="shared" si="11"/>
        <v>100</v>
      </c>
      <c r="V39" s="772" t="s">
        <v>17</v>
      </c>
      <c r="W39" s="773">
        <f t="shared" si="12"/>
        <v>100</v>
      </c>
      <c r="X39" s="1814"/>
      <c r="Y39" s="3146"/>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146"/>
      <c r="Q40" s="1811">
        <f t="shared" si="14"/>
        <v>111</v>
      </c>
      <c r="R40" s="775" t="s">
        <v>17</v>
      </c>
      <c r="S40" s="776">
        <f t="shared" si="10"/>
        <v>100</v>
      </c>
      <c r="T40" s="775" t="s">
        <v>17</v>
      </c>
      <c r="U40" s="776">
        <f t="shared" si="11"/>
        <v>100</v>
      </c>
      <c r="V40" s="775" t="s">
        <v>17</v>
      </c>
      <c r="W40" s="776">
        <f t="shared" si="12"/>
        <v>100</v>
      </c>
      <c r="X40" s="777"/>
      <c r="Y40" s="3146"/>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139" t="str">
        <f>A41</f>
        <v>成交单价</v>
      </c>
      <c r="Q41" s="3139"/>
      <c r="R41" s="3170">
        <f>E41</f>
        <v>0</v>
      </c>
      <c r="S41" s="3170"/>
      <c r="T41" s="3170">
        <f>G41</f>
        <v>0</v>
      </c>
      <c r="U41" s="3170"/>
      <c r="V41" s="3170">
        <f>I41</f>
        <v>0</v>
      </c>
      <c r="W41" s="3170"/>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139" t="str">
        <f>A42</f>
        <v>比较价值（元/平方米）</v>
      </c>
      <c r="Q42" s="3139"/>
      <c r="R42" s="3231" t="e">
        <f>ROUND(PRODUCT(R41,AA7:AA40),0)</f>
        <v>#DIV/0!</v>
      </c>
      <c r="S42" s="3231"/>
      <c r="T42" s="3231" t="e">
        <f>ROUND(PRODUCT(T41,AB7:AB40),0)</f>
        <v>#DIV/0!</v>
      </c>
      <c r="U42" s="3231"/>
      <c r="V42" s="3231" t="e">
        <f>ROUND(PRODUCT(V41,AC7:AC40),0)</f>
        <v>#DIV/0!</v>
      </c>
      <c r="W42" s="3231"/>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136" t="str">
        <f>A43</f>
        <v>估价对象XX用房的比较价值（楼面单价，元/平方米）</v>
      </c>
      <c r="Q43" s="3137"/>
      <c r="R43" s="3232" t="e">
        <f>ROUND(AVERAGE(R42:V42),0)</f>
        <v>#DIV/0!</v>
      </c>
      <c r="S43" s="3232"/>
      <c r="T43" s="3232"/>
      <c r="U43" s="3232"/>
      <c r="V43" s="3232"/>
      <c r="W43" s="3232"/>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154" t="s">
        <v>2748</v>
      </c>
      <c r="H50" s="3233"/>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4145.53</v>
      </c>
      <c r="F51" s="689" t="e">
        <f t="shared" ref="F51:F60" si="15">ROUND(B51*E51/10000,0)</f>
        <v>#DIV/0!</v>
      </c>
      <c r="G51" s="3150"/>
      <c r="H51" s="3139"/>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234"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234"/>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234"/>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234"/>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6541.77</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0.63</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42"/>
      <c r="B4" s="3243"/>
      <c r="C4" s="3243"/>
      <c r="D4" s="3244"/>
      <c r="E4" s="3244"/>
      <c r="F4" s="3244"/>
      <c r="G4" s="3244"/>
      <c r="H4" s="3244"/>
      <c r="I4" s="3244"/>
      <c r="J4" s="3245"/>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46"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0.63</v>
      </c>
      <c r="AA7" s="1607"/>
      <c r="AB7" s="1607"/>
      <c r="AC7" s="1608"/>
      <c r="AD7" s="1609"/>
      <c r="AE7" s="1609"/>
      <c r="AF7" s="1609"/>
      <c r="AG7" s="1609"/>
      <c r="AH7" s="1609"/>
      <c r="AI7" s="1609"/>
      <c r="AJ7" s="1610"/>
    </row>
    <row r="8" spans="1:36" ht="15">
      <c r="A8" s="3247"/>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239" t="s">
        <v>2824</v>
      </c>
      <c r="X8" s="3240"/>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247"/>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241"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7"/>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24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7"/>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241" t="s">
        <v>2848</v>
      </c>
      <c r="X11" s="1615" t="s">
        <v>2849</v>
      </c>
      <c r="Y11" s="1616">
        <f>$G$3</f>
        <v>0.63</v>
      </c>
      <c r="Z11" s="1616">
        <f t="shared" ref="Z11:AJ11" si="3">$G$3</f>
        <v>0.63</v>
      </c>
      <c r="AA11" s="1616">
        <f t="shared" si="3"/>
        <v>0.63</v>
      </c>
      <c r="AB11" s="1616">
        <f t="shared" si="3"/>
        <v>0.63</v>
      </c>
      <c r="AC11" s="1616">
        <f t="shared" si="3"/>
        <v>0.63</v>
      </c>
      <c r="AD11" s="1616">
        <f t="shared" si="3"/>
        <v>0.63</v>
      </c>
      <c r="AE11" s="1616">
        <f t="shared" si="3"/>
        <v>0.63</v>
      </c>
      <c r="AF11" s="1616">
        <f t="shared" si="3"/>
        <v>0.63</v>
      </c>
      <c r="AG11" s="1616">
        <f t="shared" si="3"/>
        <v>0.63</v>
      </c>
      <c r="AH11" s="1616">
        <f t="shared" si="3"/>
        <v>0.63</v>
      </c>
      <c r="AI11" s="1616">
        <f t="shared" si="3"/>
        <v>0.63</v>
      </c>
      <c r="AJ11" s="1616">
        <f t="shared" si="3"/>
        <v>0.63</v>
      </c>
    </row>
    <row r="12" spans="1:36" ht="25.5" thickBot="1">
      <c r="A12" s="3246"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241"/>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8"/>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241"/>
      <c r="X13" s="1617"/>
      <c r="Y13" s="1614">
        <f>(-0.163*(Y12^2)-0.59*Y12+7617)*(10^(-4))/Y11</f>
        <v>1.2090476190476191</v>
      </c>
      <c r="Z13" s="1614">
        <f t="shared" ref="Z13:AJ13" si="5">(-0.163*(Z12^2)-0.59*Z12+7617)*(10^(-4))/Z11</f>
        <v>1.2090476190476191</v>
      </c>
      <c r="AA13" s="1614">
        <f t="shared" si="5"/>
        <v>1.2090476190476191</v>
      </c>
      <c r="AB13" s="1614">
        <f t="shared" si="5"/>
        <v>1.2090476190476191</v>
      </c>
      <c r="AC13" s="1614">
        <f t="shared" si="5"/>
        <v>1.2090476190476191</v>
      </c>
      <c r="AD13" s="1614">
        <f t="shared" si="5"/>
        <v>1.2090476190476191</v>
      </c>
      <c r="AE13" s="1614">
        <f t="shared" si="5"/>
        <v>1.2090476190476191</v>
      </c>
      <c r="AF13" s="1614">
        <f t="shared" si="5"/>
        <v>1.2090476190476191</v>
      </c>
      <c r="AG13" s="1614">
        <f t="shared" si="5"/>
        <v>1.2090476190476191</v>
      </c>
      <c r="AH13" s="1614">
        <f t="shared" si="5"/>
        <v>1.2090476190476191</v>
      </c>
      <c r="AI13" s="1614">
        <f t="shared" si="5"/>
        <v>1.2090476190476191</v>
      </c>
      <c r="AJ13" s="1614">
        <f t="shared" si="5"/>
        <v>1.2090476190476191</v>
      </c>
    </row>
    <row r="14" spans="1:36" ht="15">
      <c r="A14" s="3248"/>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49"/>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6"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7"/>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0.6</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56"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58"/>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51">
      <c r="A48" s="2876" t="s">
        <v>2936</v>
      </c>
      <c r="B48" s="2879" t="str">
        <f>估价对象房地状况!C4</f>
        <v>估价对象位于燕郊，周边商业氛围成熟度一般，多集中于住宅底商，人流量较小，商业繁华度较差</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c r="A49" s="2876" t="s">
        <v>2937</v>
      </c>
      <c r="B49" s="2880" t="str">
        <f>估价对象房地状况!C18</f>
        <v>周边有302、快速直达专线102路等公交线路，交通便捷度一般。</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城市次干道——迎宾路</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2944</v>
      </c>
      <c r="B54" s="1726" t="str">
        <f>估价对象房地状况!C21</f>
        <v>估价对象周边无银行、商场、学校、医院，有社区超市等，公共配套设施较差。</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2946</v>
      </c>
      <c r="B56" s="2885" t="str">
        <f>估价对象房地状况!C20</f>
        <v>周边绿化均为城市绿化，无高等教育机构等，综合评价环境状况一般</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38.25">
      <c r="A60" s="2876" t="s">
        <v>2937</v>
      </c>
      <c r="B60" s="2880" t="str">
        <f>估价对象房地状况!C18</f>
        <v>周边有302、快速直达专线102路等公交线路，交通便捷度一般。</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城市次干道——迎宾路</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2944</v>
      </c>
      <c r="B65" s="1726" t="str">
        <f>估价对象房地状况!C21</f>
        <v>估价对象周边无银行、商场、学校、医院，有社区超市等，公共配套设施较差。</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2946</v>
      </c>
      <c r="B67" s="2886" t="str">
        <f>估价对象房地状况!C20</f>
        <v>周边绿化均为城市绿化，无高等教育机构等，综合评价环境状况一般</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51">
      <c r="A70" s="2876" t="s">
        <v>2951</v>
      </c>
      <c r="B70" s="2879" t="str">
        <f>估价对象房地状况!C15</f>
        <v>周边有夏威夷·蓝湾、美丽乡村别墅、金谷iSOHO等居住社区，综合评价居住社区成熟度较好</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c r="A71" s="2876" t="s">
        <v>2937</v>
      </c>
      <c r="B71" s="2880" t="str">
        <f>估价对象房地状况!C18</f>
        <v>周边有302、快速直达专线102路等公交线路，交通便捷度一般。</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城市次干道——迎宾路</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2944</v>
      </c>
      <c r="B74" s="1726" t="str">
        <f>估价对象房地状况!C21</f>
        <v>估价对象周边无银行、商场、学校、医院，有社区超市等，公共配套设施较差。</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2946</v>
      </c>
      <c r="B77" s="2879" t="str">
        <f>估价对象房地状况!C20</f>
        <v>周边绿化均为城市绿化，无高等教育机构等，综合评价环境状况一般</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50" t="s">
        <v>2958</v>
      </c>
      <c r="B90" s="3250"/>
      <c r="C90" s="3250"/>
      <c r="D90" s="3250"/>
      <c r="E90" s="3250"/>
      <c r="F90" s="3250"/>
      <c r="G90" s="3250"/>
      <c r="H90" s="3250"/>
      <c r="I90" s="3250"/>
      <c r="J90" s="3250"/>
      <c r="K90" s="2890"/>
      <c r="L90" s="2890"/>
      <c r="M90" s="2890"/>
      <c r="N90" s="2890"/>
    </row>
    <row r="91" spans="1:37">
      <c r="A91" s="3252" t="s">
        <v>2959</v>
      </c>
      <c r="B91" s="3252" t="s">
        <v>2960</v>
      </c>
      <c r="C91" s="2844" t="s">
        <v>2961</v>
      </c>
      <c r="D91" s="2845"/>
      <c r="E91" s="2845"/>
      <c r="F91" s="2845"/>
      <c r="G91" s="2845"/>
      <c r="H91" s="2845"/>
      <c r="I91" s="2845"/>
      <c r="J91" s="2891"/>
      <c r="K91" s="2892"/>
      <c r="L91" s="2892"/>
      <c r="M91" s="2892"/>
      <c r="N91" s="2892"/>
    </row>
    <row r="92" spans="1:37">
      <c r="A92" s="3252"/>
      <c r="B92" s="3252"/>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253"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4"/>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3" t="s">
        <v>2963</v>
      </c>
      <c r="B101" s="2897" t="s">
        <v>2964</v>
      </c>
      <c r="C101" s="2898">
        <f>$G$3</f>
        <v>0.63</v>
      </c>
      <c r="D101" s="2898">
        <f t="shared" ref="D101:N101" si="31">$G$3</f>
        <v>0.63</v>
      </c>
      <c r="E101" s="2898">
        <f t="shared" si="31"/>
        <v>0.63</v>
      </c>
      <c r="F101" s="2898">
        <f t="shared" si="31"/>
        <v>0.63</v>
      </c>
      <c r="G101" s="2898">
        <f t="shared" si="31"/>
        <v>0.63</v>
      </c>
      <c r="H101" s="2898">
        <f t="shared" si="31"/>
        <v>0.63</v>
      </c>
      <c r="I101" s="2898">
        <f t="shared" si="31"/>
        <v>0.63</v>
      </c>
      <c r="J101" s="2898">
        <f t="shared" si="31"/>
        <v>0.63</v>
      </c>
      <c r="K101" s="2898">
        <f t="shared" si="31"/>
        <v>0.63</v>
      </c>
      <c r="L101" s="2898">
        <f t="shared" si="31"/>
        <v>0.63</v>
      </c>
      <c r="M101" s="2898">
        <f t="shared" si="31"/>
        <v>0.63</v>
      </c>
      <c r="N101" s="2898">
        <f t="shared" si="31"/>
        <v>0.63</v>
      </c>
    </row>
    <row r="102" spans="1:14">
      <c r="A102" s="3254"/>
      <c r="B102" s="2893">
        <v>1</v>
      </c>
      <c r="C102" s="2894">
        <f>1.9362/C101</f>
        <v>3.0733333333333333</v>
      </c>
      <c r="D102" s="2894">
        <f>1.9362/D101</f>
        <v>3.0733333333333333</v>
      </c>
      <c r="E102" s="2894">
        <f>1.8629/E101</f>
        <v>2.956984126984127</v>
      </c>
      <c r="F102" s="2894">
        <f>1.8629/F101</f>
        <v>2.956984126984127</v>
      </c>
      <c r="G102" s="2894">
        <f>1.8629/G101</f>
        <v>2.956984126984127</v>
      </c>
      <c r="H102" s="2894">
        <f>1.8629/H101</f>
        <v>2.956984126984127</v>
      </c>
      <c r="I102" s="2894">
        <f>1.8629/I101</f>
        <v>2.956984126984127</v>
      </c>
      <c r="J102" s="2894">
        <f>1.942/J101</f>
        <v>3.0825396825396822</v>
      </c>
      <c r="K102" s="2894">
        <f>1.942/K101</f>
        <v>3.0825396825396822</v>
      </c>
      <c r="L102" s="2894">
        <f>1.942/L101</f>
        <v>3.0825396825396822</v>
      </c>
      <c r="M102" s="2894">
        <f>1.942/M101</f>
        <v>3.0825396825396822</v>
      </c>
      <c r="N102" s="2894">
        <f>1.942/N101</f>
        <v>3.0825396825396822</v>
      </c>
    </row>
    <row r="103" spans="1:14">
      <c r="A103" s="3254"/>
      <c r="B103" s="2893">
        <v>2</v>
      </c>
      <c r="C103" s="2894">
        <f>1.4198/C101</f>
        <v>2.2536507936507935</v>
      </c>
      <c r="D103" s="2894">
        <f>1.4198/D101</f>
        <v>2.2536507936507935</v>
      </c>
      <c r="E103" s="2894">
        <f>1.3372/E101</f>
        <v>2.1225396825396823</v>
      </c>
      <c r="F103" s="2894">
        <f>1.3372/F101</f>
        <v>2.1225396825396823</v>
      </c>
      <c r="G103" s="2894">
        <f>1.3372/G101</f>
        <v>2.1225396825396823</v>
      </c>
      <c r="H103" s="2894">
        <f>1.3372/H101</f>
        <v>2.1225396825396823</v>
      </c>
      <c r="I103" s="2894">
        <f>1.3372/I101</f>
        <v>2.1225396825396823</v>
      </c>
      <c r="J103" s="2894">
        <f>1.2799/J101</f>
        <v>2.0315873015873018</v>
      </c>
      <c r="K103" s="2894">
        <f>1.2799/K101</f>
        <v>2.0315873015873018</v>
      </c>
      <c r="L103" s="2894">
        <f>1.2799/L101</f>
        <v>2.0315873015873018</v>
      </c>
      <c r="M103" s="2894">
        <f>1.2799/M101</f>
        <v>2.0315873015873018</v>
      </c>
      <c r="N103" s="2894">
        <f>1.2799/N101</f>
        <v>2.0315873015873018</v>
      </c>
    </row>
    <row r="104" spans="1:14">
      <c r="A104" s="3254"/>
      <c r="B104" s="2893">
        <v>3</v>
      </c>
      <c r="C104" s="2894">
        <f>1.1594/C101</f>
        <v>1.8403174603174604</v>
      </c>
      <c r="D104" s="2894">
        <f>1.1594/D101</f>
        <v>1.8403174603174604</v>
      </c>
      <c r="E104" s="2894">
        <f>1.0788/E101</f>
        <v>1.7123809523809523</v>
      </c>
      <c r="F104" s="2894">
        <f>1.0788/F101</f>
        <v>1.7123809523809523</v>
      </c>
      <c r="G104" s="2894">
        <f>1.0788/G101</f>
        <v>1.7123809523809523</v>
      </c>
      <c r="H104" s="2894">
        <f>1.0788/H101</f>
        <v>1.7123809523809523</v>
      </c>
      <c r="I104" s="2894">
        <f>1.0788/I101</f>
        <v>1.7123809523809523</v>
      </c>
      <c r="J104" s="2894">
        <f>1.0072/J101</f>
        <v>1.5987301587301588</v>
      </c>
      <c r="K104" s="2894">
        <f>1.0072/K101</f>
        <v>1.5987301587301588</v>
      </c>
      <c r="L104" s="2894">
        <f>1.0072/L101</f>
        <v>1.5987301587301588</v>
      </c>
      <c r="M104" s="2894">
        <f>1.0072/M101</f>
        <v>1.5987301587301588</v>
      </c>
      <c r="N104" s="2894">
        <f>1.0072/N101</f>
        <v>1.5987301587301588</v>
      </c>
    </row>
    <row r="105" spans="1:14">
      <c r="A105" s="3254"/>
      <c r="B105" s="2893">
        <v>4</v>
      </c>
      <c r="C105" s="2894">
        <f>0.9622/C101</f>
        <v>1.5273015873015874</v>
      </c>
      <c r="D105" s="2894">
        <f>0.9622/D101</f>
        <v>1.5273015873015874</v>
      </c>
      <c r="E105" s="2894">
        <f>0.8656/E101</f>
        <v>1.3739682539682541</v>
      </c>
      <c r="F105" s="2894">
        <f>0.8656/F101</f>
        <v>1.3739682539682541</v>
      </c>
      <c r="G105" s="2894">
        <f>0.8656/G101</f>
        <v>1.3739682539682541</v>
      </c>
      <c r="H105" s="2894">
        <f>0.8656/H101</f>
        <v>1.3739682539682541</v>
      </c>
      <c r="I105" s="2894">
        <f>0.8656/I101</f>
        <v>1.3739682539682541</v>
      </c>
      <c r="J105" s="2894">
        <f>0.7525/J101</f>
        <v>1.1944444444444444</v>
      </c>
      <c r="K105" s="2894">
        <f>0.7525/K101</f>
        <v>1.1944444444444444</v>
      </c>
      <c r="L105" s="2894">
        <f>0.7525/L101</f>
        <v>1.1944444444444444</v>
      </c>
      <c r="M105" s="2894">
        <f>0.7525/M101</f>
        <v>1.1944444444444444</v>
      </c>
      <c r="N105" s="2894">
        <f>0.7525/N101</f>
        <v>1.1944444444444444</v>
      </c>
    </row>
    <row r="106" spans="1:14">
      <c r="A106" s="3254"/>
      <c r="B106" s="2893">
        <v>5</v>
      </c>
      <c r="C106" s="2894">
        <f>0.8417/C101</f>
        <v>1.3360317460317461</v>
      </c>
      <c r="D106" s="2894">
        <f>0.8417/D101</f>
        <v>1.3360317460317461</v>
      </c>
      <c r="E106" s="2894">
        <f>0.7371/E101</f>
        <v>1.17</v>
      </c>
      <c r="F106" s="2894">
        <f>0.7371/F101</f>
        <v>1.17</v>
      </c>
      <c r="G106" s="2894">
        <f>0.7371/G101</f>
        <v>1.17</v>
      </c>
      <c r="H106" s="2894">
        <f>0.7371/H101</f>
        <v>1.17</v>
      </c>
      <c r="I106" s="2894">
        <f>0.7371/I101</f>
        <v>1.17</v>
      </c>
      <c r="J106" s="2894">
        <f>0.5659/J101</f>
        <v>0.89825396825396819</v>
      </c>
      <c r="K106" s="2894">
        <f>0.5659/K101</f>
        <v>0.89825396825396819</v>
      </c>
      <c r="L106" s="2894">
        <f>0.5659/L101</f>
        <v>0.89825396825396819</v>
      </c>
      <c r="M106" s="2894">
        <f>0.5659/M101</f>
        <v>0.89825396825396819</v>
      </c>
      <c r="N106" s="2894">
        <f>0.5659/N101</f>
        <v>0.89825396825396819</v>
      </c>
    </row>
    <row r="107" spans="1:14">
      <c r="A107" s="3254"/>
      <c r="B107" s="2893">
        <v>6</v>
      </c>
      <c r="C107" s="2894">
        <f>0.7608/C101</f>
        <v>1.2076190476190476</v>
      </c>
      <c r="D107" s="2894">
        <f>0.7608/D101</f>
        <v>1.2076190476190476</v>
      </c>
      <c r="E107" s="2894">
        <f>0.6482/E101</f>
        <v>1.028888888888889</v>
      </c>
      <c r="F107" s="2894">
        <f>0.6482/F101</f>
        <v>1.028888888888889</v>
      </c>
      <c r="G107" s="2894">
        <f>0.6482/G101</f>
        <v>1.028888888888889</v>
      </c>
      <c r="H107" s="2894">
        <f>0.6482/H101</f>
        <v>1.028888888888889</v>
      </c>
      <c r="I107" s="2894">
        <f>0.6482/I101</f>
        <v>1.028888888888889</v>
      </c>
      <c r="J107" s="2894">
        <f>0.4525/J101</f>
        <v>0.71825396825396826</v>
      </c>
      <c r="K107" s="2894">
        <f>0.4525/K101</f>
        <v>0.71825396825396826</v>
      </c>
      <c r="L107" s="2894">
        <f>0.4525/L101</f>
        <v>0.71825396825396826</v>
      </c>
      <c r="M107" s="2894">
        <f>0.4525/M101</f>
        <v>0.71825396825396826</v>
      </c>
      <c r="N107" s="2894">
        <f>0.4525/N101</f>
        <v>0.71825396825396826</v>
      </c>
    </row>
    <row r="108" spans="1:14">
      <c r="A108" s="3254"/>
      <c r="B108" s="3106"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5"/>
      <c r="B109" s="3107"/>
      <c r="C109" s="2896">
        <f>(-0.163*(C108^2)-0.59*C108+7617)*(10^(-4))/C101</f>
        <v>1.2090476190476191</v>
      </c>
      <c r="D109" s="2896">
        <f>(-0.163*(D108^2)-0.59*D108+7617)*(10^(-4))/D101</f>
        <v>1.2090476190476191</v>
      </c>
      <c r="E109" s="2896">
        <f>(-0.161*(E108^2)-7.509*E108+6533)*(10^(-4))/E101</f>
        <v>1.0369841269841269</v>
      </c>
      <c r="F109" s="2896">
        <f>(-0.161*(F108^2)-7.509*F108+6533)*(10^(-4))/F101</f>
        <v>1.0369841269841269</v>
      </c>
      <c r="G109" s="2896">
        <f>(-0.161*(G108^2)-7.509*G108+6533)*(10^(-4))/G101</f>
        <v>1.0369841269841269</v>
      </c>
      <c r="H109" s="2896">
        <f>(-0.161*(H108^2)-7.509*H108+6533)*(10^(-4))/H101</f>
        <v>1.0369841269841269</v>
      </c>
      <c r="I109" s="2896">
        <f>(-0.161*(I108^2)-7.509*I108+6533)*(10^(-4))/I101</f>
        <v>1.0369841269841269</v>
      </c>
      <c r="J109" s="2896">
        <f>(-0.214*(J108^2)-21.991*J108+4665)*(10^(-4))/J101</f>
        <v>0.74047619047619051</v>
      </c>
      <c r="K109" s="2896">
        <f>(-0.214*(K108^2)-21.991*K108+4665)*(10^(-4))/K101</f>
        <v>0.74047619047619051</v>
      </c>
      <c r="L109" s="2896">
        <f>(-0.214*(L108^2)-21.991*L108+4665)*(10^(-4))/L101</f>
        <v>0.74047619047619051</v>
      </c>
      <c r="M109" s="2896">
        <f>(-0.214*(M108^2)-21.991*M108+4665)*(10^(-4))/M101</f>
        <v>0.74047619047619051</v>
      </c>
      <c r="N109" s="2896">
        <f>(-0.214*(N108^2)-21.991*N108+4665)*(10^(-4))/N101</f>
        <v>0.74047619047619051</v>
      </c>
    </row>
    <row r="110" spans="1:14">
      <c r="A110" s="3251" t="s">
        <v>2966</v>
      </c>
      <c r="B110" s="3251"/>
      <c r="C110" s="3251"/>
      <c r="D110" s="3251"/>
      <c r="E110" s="3251"/>
      <c r="F110" s="3251"/>
      <c r="G110" s="3251"/>
      <c r="H110" s="3251"/>
      <c r="I110" s="3251"/>
      <c r="J110" s="3251"/>
      <c r="K110" s="2899"/>
      <c r="L110" s="2899"/>
      <c r="M110" s="2899"/>
      <c r="N110" s="2899"/>
    </row>
    <row r="112" spans="1:14" ht="13.5" thickBot="1"/>
    <row r="113" spans="1:13" ht="25.5" thickBot="1">
      <c r="A113" s="901" t="s">
        <v>2967</v>
      </c>
      <c r="B113" s="1287">
        <f>G3</f>
        <v>0.63</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3">I115</f>
        <v>0.67920000000000003</v>
      </c>
      <c r="K115" s="908">
        <f t="shared" si="33"/>
        <v>0.67920000000000003</v>
      </c>
      <c r="L115" s="908">
        <f t="shared" si="33"/>
        <v>0.67920000000000003</v>
      </c>
      <c r="M115" s="909">
        <f t="shared" si="33"/>
        <v>0.67920000000000003</v>
      </c>
    </row>
    <row r="116" spans="1:13">
      <c r="A116" s="907" t="s">
        <v>2864</v>
      </c>
      <c r="B116" s="908">
        <f>ROUND(0.949-0.012*B113,4)</f>
        <v>0.94140000000000001</v>
      </c>
      <c r="C116" s="908">
        <f>B116</f>
        <v>0.94140000000000001</v>
      </c>
      <c r="D116" s="908">
        <f>ROUND(0.8567-0.013*B113,4)</f>
        <v>0.84850000000000003</v>
      </c>
      <c r="E116" s="908">
        <f t="shared" ref="E116:H117" si="34">D116</f>
        <v>0.84850000000000003</v>
      </c>
      <c r="F116" s="908">
        <f t="shared" si="34"/>
        <v>0.84850000000000003</v>
      </c>
      <c r="G116" s="908">
        <f t="shared" si="34"/>
        <v>0.84850000000000003</v>
      </c>
      <c r="H116" s="908">
        <f t="shared" si="34"/>
        <v>0.84850000000000003</v>
      </c>
      <c r="I116" s="908">
        <f>ROUND(0.7694-0.014*B113,4)</f>
        <v>0.76060000000000005</v>
      </c>
      <c r="J116" s="908">
        <f t="shared" si="33"/>
        <v>0.76060000000000005</v>
      </c>
      <c r="K116" s="908">
        <f t="shared" si="33"/>
        <v>0.76060000000000005</v>
      </c>
      <c r="L116" s="908">
        <f t="shared" si="33"/>
        <v>0.76060000000000005</v>
      </c>
      <c r="M116" s="909">
        <f t="shared" si="33"/>
        <v>0.76060000000000005</v>
      </c>
    </row>
    <row r="117" spans="1:13">
      <c r="A117" s="907" t="s">
        <v>2865</v>
      </c>
      <c r="B117" s="908">
        <f>ROUND(0.8808-0.006*B113,4)</f>
        <v>0.877</v>
      </c>
      <c r="C117" s="908">
        <f>B117</f>
        <v>0.877</v>
      </c>
      <c r="D117" s="908">
        <f>ROUND(0.8748-0.008*B113,4)</f>
        <v>0.86980000000000002</v>
      </c>
      <c r="E117" s="908">
        <f t="shared" si="34"/>
        <v>0.86980000000000002</v>
      </c>
      <c r="F117" s="908">
        <f t="shared" si="34"/>
        <v>0.86980000000000002</v>
      </c>
      <c r="G117" s="908">
        <f t="shared" si="34"/>
        <v>0.86980000000000002</v>
      </c>
      <c r="H117" s="908">
        <f t="shared" si="34"/>
        <v>0.86980000000000002</v>
      </c>
      <c r="I117" s="908">
        <f>ROUND(0.7412-0.0095*B113,4)</f>
        <v>0.73519999999999996</v>
      </c>
      <c r="J117" s="908">
        <f t="shared" si="33"/>
        <v>0.73519999999999996</v>
      </c>
      <c r="K117" s="908">
        <f t="shared" si="33"/>
        <v>0.73519999999999996</v>
      </c>
      <c r="L117" s="908">
        <f t="shared" si="33"/>
        <v>0.73519999999999996</v>
      </c>
      <c r="M117" s="909">
        <f t="shared" si="33"/>
        <v>0.73519999999999996</v>
      </c>
    </row>
    <row r="118" spans="1:13" ht="13.5" thickBot="1">
      <c r="A118" s="712" t="s">
        <v>2866</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3"/>
        <v>0.55810000000000004</v>
      </c>
      <c r="K118" s="910">
        <f t="shared" si="33"/>
        <v>0.55810000000000004</v>
      </c>
      <c r="L118" s="910">
        <f t="shared" si="33"/>
        <v>0.55810000000000004</v>
      </c>
      <c r="M118" s="911">
        <f t="shared" si="33"/>
        <v>0.55810000000000004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59" t="s">
        <v>183</v>
      </c>
      <c r="B18" s="880" t="s">
        <v>560</v>
      </c>
      <c r="C18" s="881" t="s">
        <v>561</v>
      </c>
      <c r="D18" s="882"/>
      <c r="E18" s="880">
        <v>1</v>
      </c>
      <c r="F18" s="883" t="s">
        <v>562</v>
      </c>
      <c r="G18" s="884"/>
      <c r="H18" s="876"/>
      <c r="I18" s="876"/>
    </row>
    <row r="19" spans="1:9" s="885" customFormat="1" ht="19.5" customHeight="1">
      <c r="A19" s="3259"/>
      <c r="B19" s="3259" t="s">
        <v>563</v>
      </c>
      <c r="C19" s="881" t="s">
        <v>564</v>
      </c>
      <c r="D19" s="882"/>
      <c r="E19" s="880">
        <v>0.9</v>
      </c>
      <c r="F19" s="883" t="s">
        <v>565</v>
      </c>
      <c r="G19" s="884"/>
      <c r="H19" s="876"/>
      <c r="I19" s="876"/>
    </row>
    <row r="20" spans="1:9" s="885" customFormat="1" ht="19.5" customHeight="1">
      <c r="A20" s="3259"/>
      <c r="B20" s="3259"/>
      <c r="C20" s="881" t="s">
        <v>566</v>
      </c>
      <c r="D20" s="882"/>
      <c r="E20" s="880">
        <v>1.1000000000000001</v>
      </c>
      <c r="F20" s="883" t="s">
        <v>567</v>
      </c>
      <c r="G20" s="884"/>
      <c r="H20" s="876"/>
      <c r="I20" s="876"/>
    </row>
    <row r="21" spans="1:9" s="885" customFormat="1" ht="19.5" customHeight="1">
      <c r="A21" s="3259"/>
      <c r="B21" s="3259"/>
      <c r="C21" s="881" t="s">
        <v>568</v>
      </c>
      <c r="D21" s="882"/>
      <c r="E21" s="880">
        <v>0.8</v>
      </c>
      <c r="F21" s="883" t="s">
        <v>569</v>
      </c>
      <c r="G21" s="884"/>
      <c r="H21" s="876"/>
      <c r="I21" s="876"/>
    </row>
    <row r="22" spans="1:9" s="885" customFormat="1" ht="19.5" customHeight="1">
      <c r="A22" s="3259"/>
      <c r="B22" s="3259"/>
      <c r="C22" s="881" t="s">
        <v>570</v>
      </c>
      <c r="D22" s="882"/>
      <c r="E22" s="880">
        <v>0.5</v>
      </c>
      <c r="F22" s="883"/>
      <c r="G22" s="884"/>
      <c r="H22" s="876"/>
      <c r="I22" s="876"/>
    </row>
    <row r="23" spans="1:9" s="885" customFormat="1" ht="19.5" customHeight="1">
      <c r="A23" s="3259" t="s">
        <v>184</v>
      </c>
      <c r="B23" s="880" t="s">
        <v>560</v>
      </c>
      <c r="C23" s="881" t="s">
        <v>571</v>
      </c>
      <c r="D23" s="882"/>
      <c r="E23" s="880">
        <v>1</v>
      </c>
      <c r="F23" s="883" t="s">
        <v>572</v>
      </c>
      <c r="G23" s="884"/>
      <c r="H23" s="876"/>
      <c r="I23" s="876"/>
    </row>
    <row r="24" spans="1:9" s="885" customFormat="1" ht="19.5" customHeight="1">
      <c r="A24" s="3259"/>
      <c r="B24" s="3259" t="s">
        <v>563</v>
      </c>
      <c r="C24" s="881" t="s">
        <v>573</v>
      </c>
      <c r="D24" s="882"/>
      <c r="E24" s="880">
        <v>0.5</v>
      </c>
      <c r="F24" s="883"/>
      <c r="G24" s="884"/>
      <c r="H24" s="876"/>
      <c r="I24" s="876"/>
    </row>
    <row r="25" spans="1:9" s="885" customFormat="1" ht="19.5" customHeight="1">
      <c r="A25" s="3259"/>
      <c r="B25" s="3259"/>
      <c r="C25" s="881" t="s">
        <v>574</v>
      </c>
      <c r="D25" s="882"/>
      <c r="E25" s="880">
        <v>1.1000000000000001</v>
      </c>
      <c r="F25" s="883"/>
      <c r="G25" s="884"/>
      <c r="H25" s="876"/>
      <c r="I25" s="876"/>
    </row>
    <row r="26" spans="1:9" s="885" customFormat="1" ht="19.5" customHeight="1">
      <c r="A26" s="3259"/>
      <c r="B26" s="3259"/>
      <c r="C26" s="881" t="s">
        <v>575</v>
      </c>
      <c r="D26" s="882"/>
      <c r="E26" s="880">
        <v>1.1000000000000001</v>
      </c>
      <c r="F26" s="883"/>
      <c r="G26" s="884"/>
      <c r="H26" s="876"/>
      <c r="I26" s="876"/>
    </row>
    <row r="27" spans="1:9" s="885" customFormat="1" ht="19.5" customHeight="1">
      <c r="A27" s="3259"/>
      <c r="B27" s="3259"/>
      <c r="C27" s="881" t="s">
        <v>576</v>
      </c>
      <c r="D27" s="882"/>
      <c r="E27" s="880">
        <v>0.9</v>
      </c>
      <c r="F27" s="883" t="s">
        <v>577</v>
      </c>
      <c r="G27" s="884"/>
      <c r="H27" s="876"/>
      <c r="I27" s="876"/>
    </row>
    <row r="28" spans="1:9" s="885" customFormat="1" ht="19.5" customHeight="1">
      <c r="A28" s="3259"/>
      <c r="B28" s="3259"/>
      <c r="C28" s="881" t="s">
        <v>578</v>
      </c>
      <c r="D28" s="882"/>
      <c r="E28" s="880">
        <v>0.9</v>
      </c>
      <c r="F28" s="883" t="s">
        <v>579</v>
      </c>
      <c r="G28" s="884"/>
      <c r="H28" s="876"/>
      <c r="I28" s="876"/>
    </row>
    <row r="29" spans="1:9" s="885" customFormat="1" ht="19.5" customHeight="1">
      <c r="A29" s="3259"/>
      <c r="B29" s="3259"/>
      <c r="C29" s="881" t="s">
        <v>580</v>
      </c>
      <c r="D29" s="882"/>
      <c r="E29" s="880">
        <v>0.9</v>
      </c>
      <c r="F29" s="883" t="s">
        <v>581</v>
      </c>
      <c r="G29" s="884"/>
      <c r="H29" s="876"/>
      <c r="I29" s="876"/>
    </row>
    <row r="30" spans="1:9" s="885" customFormat="1" ht="19.5" customHeight="1">
      <c r="A30" s="3259"/>
      <c r="B30" s="3259"/>
      <c r="C30" s="881" t="s">
        <v>582</v>
      </c>
      <c r="D30" s="882"/>
      <c r="E30" s="880">
        <v>0.9</v>
      </c>
      <c r="F30" s="883" t="s">
        <v>583</v>
      </c>
      <c r="G30" s="884"/>
      <c r="H30" s="876"/>
      <c r="I30" s="876"/>
    </row>
    <row r="31" spans="1:9" s="885" customFormat="1" ht="19.5" customHeight="1">
      <c r="A31" s="3259"/>
      <c r="B31" s="3259"/>
      <c r="C31" s="881" t="s">
        <v>584</v>
      </c>
      <c r="D31" s="882"/>
      <c r="E31" s="880">
        <v>0.8</v>
      </c>
      <c r="F31" s="883" t="s">
        <v>585</v>
      </c>
      <c r="G31" s="884"/>
      <c r="H31" s="876"/>
      <c r="I31" s="876"/>
    </row>
    <row r="32" spans="1:9" s="885" customFormat="1" ht="19.5" customHeight="1">
      <c r="A32" s="3259"/>
      <c r="B32" s="3259"/>
      <c r="C32" s="881" t="s">
        <v>586</v>
      </c>
      <c r="D32" s="882"/>
      <c r="E32" s="880">
        <v>0.8</v>
      </c>
      <c r="F32" s="883" t="s">
        <v>587</v>
      </c>
      <c r="G32" s="884"/>
      <c r="H32" s="876"/>
      <c r="I32" s="876"/>
    </row>
    <row r="33" spans="1:9" s="885" customFormat="1" ht="19.5" customHeight="1">
      <c r="A33" s="3259" t="s">
        <v>185</v>
      </c>
      <c r="B33" s="880" t="s">
        <v>560</v>
      </c>
      <c r="C33" s="881" t="s">
        <v>588</v>
      </c>
      <c r="D33" s="882"/>
      <c r="E33" s="880">
        <v>1</v>
      </c>
      <c r="F33" s="883" t="s">
        <v>589</v>
      </c>
      <c r="G33" s="884"/>
      <c r="H33" s="876"/>
      <c r="I33" s="876"/>
    </row>
    <row r="34" spans="1:9" s="885" customFormat="1" ht="19.5" customHeight="1">
      <c r="A34" s="3259"/>
      <c r="B34" s="880" t="s">
        <v>563</v>
      </c>
      <c r="C34" s="881" t="s">
        <v>590</v>
      </c>
      <c r="D34" s="882"/>
      <c r="E34" s="880">
        <v>1.5</v>
      </c>
      <c r="F34" s="883" t="s">
        <v>591</v>
      </c>
      <c r="G34" s="884"/>
      <c r="H34" s="876"/>
      <c r="I34" s="876"/>
    </row>
    <row r="35" spans="1:9" s="885" customFormat="1" ht="19.5" customHeight="1">
      <c r="A35" s="3259" t="s">
        <v>186</v>
      </c>
      <c r="B35" s="880" t="s">
        <v>560</v>
      </c>
      <c r="C35" s="881" t="s">
        <v>592</v>
      </c>
      <c r="D35" s="882"/>
      <c r="E35" s="880">
        <v>1</v>
      </c>
      <c r="F35" s="883" t="s">
        <v>593</v>
      </c>
      <c r="G35" s="884"/>
      <c r="H35" s="876"/>
      <c r="I35" s="876"/>
    </row>
    <row r="36" spans="1:9" s="885" customFormat="1" ht="19.5" customHeight="1">
      <c r="A36" s="3259"/>
      <c r="B36" s="3259" t="s">
        <v>563</v>
      </c>
      <c r="C36" s="881" t="s">
        <v>594</v>
      </c>
      <c r="D36" s="882"/>
      <c r="E36" s="880">
        <v>1</v>
      </c>
      <c r="F36" s="883" t="s">
        <v>595</v>
      </c>
      <c r="G36" s="884"/>
      <c r="H36" s="876"/>
      <c r="I36" s="876"/>
    </row>
    <row r="37" spans="1:9" s="885" customFormat="1" ht="19.5" customHeight="1">
      <c r="A37" s="3259"/>
      <c r="B37" s="3259"/>
      <c r="C37" s="881" t="s">
        <v>596</v>
      </c>
      <c r="D37" s="882"/>
      <c r="E37" s="880">
        <v>1.5</v>
      </c>
      <c r="F37" s="883" t="s">
        <v>597</v>
      </c>
      <c r="G37" s="884"/>
      <c r="H37" s="876"/>
      <c r="I37" s="876"/>
    </row>
    <row r="38" spans="1:9" s="885" customFormat="1" ht="19.5" customHeight="1">
      <c r="A38" s="3259"/>
      <c r="B38" s="3259"/>
      <c r="C38" s="881" t="s">
        <v>598</v>
      </c>
      <c r="D38" s="882"/>
      <c r="E38" s="880">
        <v>1</v>
      </c>
      <c r="F38" s="883" t="s">
        <v>599</v>
      </c>
      <c r="G38" s="884"/>
      <c r="H38" s="876"/>
      <c r="I38" s="876"/>
    </row>
    <row r="39" spans="1:9" s="885" customFormat="1" ht="19.5" customHeight="1">
      <c r="A39" s="3259"/>
      <c r="B39" s="325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59" t="s">
        <v>614</v>
      </c>
      <c r="C61" s="816" t="s">
        <v>615</v>
      </c>
      <c r="D61" s="816" t="s">
        <v>616</v>
      </c>
      <c r="E61" s="893">
        <v>0.5</v>
      </c>
      <c r="F61" s="880">
        <v>80</v>
      </c>
    </row>
    <row r="62" spans="1:8" s="876" customFormat="1" ht="24">
      <c r="A62" s="880">
        <v>2</v>
      </c>
      <c r="B62" s="3259"/>
      <c r="C62" s="816" t="s">
        <v>617</v>
      </c>
      <c r="D62" s="816" t="s">
        <v>618</v>
      </c>
      <c r="E62" s="893">
        <v>0.5</v>
      </c>
      <c r="F62" s="880">
        <v>80</v>
      </c>
    </row>
    <row r="63" spans="1:8" s="876" customFormat="1" ht="36">
      <c r="A63" s="880">
        <v>3</v>
      </c>
      <c r="B63" s="3259"/>
      <c r="C63" s="816" t="s">
        <v>619</v>
      </c>
      <c r="D63" s="816" t="s">
        <v>620</v>
      </c>
      <c r="E63" s="893">
        <v>0.5</v>
      </c>
      <c r="F63" s="880">
        <v>80</v>
      </c>
    </row>
    <row r="64" spans="1:8" s="876" customFormat="1" ht="36">
      <c r="A64" s="880">
        <v>4</v>
      </c>
      <c r="B64" s="3259"/>
      <c r="C64" s="816" t="s">
        <v>621</v>
      </c>
      <c r="D64" s="816" t="s">
        <v>622</v>
      </c>
      <c r="E64" s="893">
        <v>0.4</v>
      </c>
      <c r="F64" s="880">
        <v>60</v>
      </c>
    </row>
    <row r="65" spans="1:6" s="876" customFormat="1" ht="36">
      <c r="A65" s="880">
        <v>5</v>
      </c>
      <c r="B65" s="3259"/>
      <c r="C65" s="816" t="s">
        <v>623</v>
      </c>
      <c r="D65" s="816" t="s">
        <v>624</v>
      </c>
      <c r="E65" s="893">
        <v>0.2</v>
      </c>
      <c r="F65" s="880">
        <v>30</v>
      </c>
    </row>
    <row r="66" spans="1:6" s="876" customFormat="1" ht="36">
      <c r="A66" s="880">
        <v>6</v>
      </c>
      <c r="B66" s="3259"/>
      <c r="C66" s="816" t="s">
        <v>625</v>
      </c>
      <c r="D66" s="816" t="s">
        <v>626</v>
      </c>
      <c r="E66" s="893">
        <v>0.3</v>
      </c>
      <c r="F66" s="880">
        <v>50</v>
      </c>
    </row>
    <row r="67" spans="1:6" s="876" customFormat="1" ht="36">
      <c r="A67" s="880">
        <v>7</v>
      </c>
      <c r="B67" s="3259"/>
      <c r="C67" s="816" t="s">
        <v>627</v>
      </c>
      <c r="D67" s="816" t="s">
        <v>628</v>
      </c>
      <c r="E67" s="893">
        <v>0.2</v>
      </c>
      <c r="F67" s="880">
        <v>30</v>
      </c>
    </row>
    <row r="68" spans="1:6" s="876" customFormat="1" ht="36">
      <c r="A68" s="880">
        <v>8</v>
      </c>
      <c r="B68" s="3259"/>
      <c r="C68" s="816" t="s">
        <v>629</v>
      </c>
      <c r="D68" s="816" t="s">
        <v>630</v>
      </c>
      <c r="E68" s="893">
        <v>0.2</v>
      </c>
      <c r="F68" s="880">
        <v>30</v>
      </c>
    </row>
    <row r="69" spans="1:6" s="876" customFormat="1" ht="36">
      <c r="A69" s="880">
        <v>9</v>
      </c>
      <c r="B69" s="3259"/>
      <c r="C69" s="816" t="s">
        <v>631</v>
      </c>
      <c r="D69" s="816" t="s">
        <v>632</v>
      </c>
      <c r="E69" s="893">
        <v>0.2</v>
      </c>
      <c r="F69" s="880">
        <v>30</v>
      </c>
    </row>
    <row r="70" spans="1:6" s="876" customFormat="1" ht="48">
      <c r="A70" s="880">
        <v>10</v>
      </c>
      <c r="B70" s="3259"/>
      <c r="C70" s="816" t="s">
        <v>633</v>
      </c>
      <c r="D70" s="816" t="s">
        <v>634</v>
      </c>
      <c r="E70" s="893">
        <v>0.2</v>
      </c>
      <c r="F70" s="880">
        <v>30</v>
      </c>
    </row>
    <row r="71" spans="1:6" s="876" customFormat="1" ht="48">
      <c r="A71" s="880">
        <v>11</v>
      </c>
      <c r="B71" s="3259"/>
      <c r="C71" s="816" t="s">
        <v>635</v>
      </c>
      <c r="D71" s="816" t="s">
        <v>636</v>
      </c>
      <c r="E71" s="893">
        <v>0.2</v>
      </c>
      <c r="F71" s="880">
        <v>30</v>
      </c>
    </row>
    <row r="72" spans="1:6" s="876" customFormat="1" ht="36">
      <c r="A72" s="880">
        <v>12</v>
      </c>
      <c r="B72" s="3259"/>
      <c r="C72" s="816" t="s">
        <v>637</v>
      </c>
      <c r="D72" s="816" t="s">
        <v>638</v>
      </c>
      <c r="E72" s="893">
        <v>0.5</v>
      </c>
      <c r="F72" s="880">
        <v>80</v>
      </c>
    </row>
    <row r="73" spans="1:6" s="876" customFormat="1" ht="24">
      <c r="A73" s="880">
        <v>13</v>
      </c>
      <c r="B73" s="3259"/>
      <c r="C73" s="816" t="s">
        <v>639</v>
      </c>
      <c r="D73" s="816" t="s">
        <v>640</v>
      </c>
      <c r="E73" s="893">
        <v>0.4</v>
      </c>
      <c r="F73" s="880">
        <v>60</v>
      </c>
    </row>
    <row r="74" spans="1:6" s="876" customFormat="1" ht="24">
      <c r="A74" s="880">
        <v>14</v>
      </c>
      <c r="B74" s="3259"/>
      <c r="C74" s="816" t="s">
        <v>641</v>
      </c>
      <c r="D74" s="816" t="s">
        <v>642</v>
      </c>
      <c r="E74" s="893">
        <v>0.2</v>
      </c>
      <c r="F74" s="880">
        <v>30</v>
      </c>
    </row>
    <row r="75" spans="1:6" s="876" customFormat="1" ht="24">
      <c r="A75" s="880">
        <v>15</v>
      </c>
      <c r="B75" s="3259"/>
      <c r="C75" s="816" t="s">
        <v>643</v>
      </c>
      <c r="D75" s="816" t="s">
        <v>644</v>
      </c>
      <c r="E75" s="893">
        <v>0.2</v>
      </c>
      <c r="F75" s="880">
        <v>30</v>
      </c>
    </row>
    <row r="76" spans="1:6" s="876" customFormat="1" ht="24">
      <c r="A76" s="880">
        <v>16</v>
      </c>
      <c r="B76" s="3259" t="s">
        <v>645</v>
      </c>
      <c r="C76" s="816" t="s">
        <v>646</v>
      </c>
      <c r="D76" s="816" t="s">
        <v>647</v>
      </c>
      <c r="E76" s="893">
        <v>0.5</v>
      </c>
      <c r="F76" s="880">
        <v>80</v>
      </c>
    </row>
    <row r="77" spans="1:6" s="876" customFormat="1" ht="24">
      <c r="A77" s="880">
        <v>17</v>
      </c>
      <c r="B77" s="3259"/>
      <c r="C77" s="816" t="s">
        <v>648</v>
      </c>
      <c r="D77" s="816" t="s">
        <v>649</v>
      </c>
      <c r="E77" s="893">
        <v>0.5</v>
      </c>
      <c r="F77" s="880">
        <v>80</v>
      </c>
    </row>
    <row r="78" spans="1:6" s="876" customFormat="1" ht="24">
      <c r="A78" s="880">
        <v>18</v>
      </c>
      <c r="B78" s="3259"/>
      <c r="C78" s="816" t="s">
        <v>650</v>
      </c>
      <c r="D78" s="816" t="s">
        <v>651</v>
      </c>
      <c r="E78" s="893">
        <v>0.2</v>
      </c>
      <c r="F78" s="880">
        <v>30</v>
      </c>
    </row>
    <row r="79" spans="1:6" s="876" customFormat="1" ht="24">
      <c r="A79" s="880">
        <v>19</v>
      </c>
      <c r="B79" s="3259"/>
      <c r="C79" s="816" t="s">
        <v>652</v>
      </c>
      <c r="D79" s="816" t="s">
        <v>653</v>
      </c>
      <c r="E79" s="893">
        <v>0.5</v>
      </c>
      <c r="F79" s="880">
        <v>80</v>
      </c>
    </row>
    <row r="80" spans="1:6" s="876" customFormat="1" ht="36">
      <c r="A80" s="880">
        <v>20</v>
      </c>
      <c r="B80" s="3259"/>
      <c r="C80" s="816" t="s">
        <v>654</v>
      </c>
      <c r="D80" s="816" t="s">
        <v>655</v>
      </c>
      <c r="E80" s="893">
        <v>0.2</v>
      </c>
      <c r="F80" s="880">
        <v>30</v>
      </c>
    </row>
    <row r="81" spans="1:6" s="876" customFormat="1" ht="36">
      <c r="A81" s="880">
        <v>21</v>
      </c>
      <c r="B81" s="3259"/>
      <c r="C81" s="816" t="s">
        <v>656</v>
      </c>
      <c r="D81" s="816" t="s">
        <v>657</v>
      </c>
      <c r="E81" s="893">
        <v>0.2</v>
      </c>
      <c r="F81" s="880">
        <v>30</v>
      </c>
    </row>
    <row r="82" spans="1:6" s="876" customFormat="1" ht="48">
      <c r="A82" s="880">
        <v>22</v>
      </c>
      <c r="B82" s="3259"/>
      <c r="C82" s="816" t="s">
        <v>658</v>
      </c>
      <c r="D82" s="816" t="s">
        <v>659</v>
      </c>
      <c r="E82" s="893">
        <v>0.2</v>
      </c>
      <c r="F82" s="880">
        <v>30</v>
      </c>
    </row>
    <row r="83" spans="1:6" s="876" customFormat="1" ht="48">
      <c r="A83" s="880">
        <v>23</v>
      </c>
      <c r="B83" s="3259"/>
      <c r="C83" s="816" t="s">
        <v>660</v>
      </c>
      <c r="D83" s="816" t="s">
        <v>661</v>
      </c>
      <c r="E83" s="893">
        <v>0.2</v>
      </c>
      <c r="F83" s="880">
        <v>30</v>
      </c>
    </row>
    <row r="84" spans="1:6" s="876" customFormat="1" ht="36">
      <c r="A84" s="880">
        <v>24</v>
      </c>
      <c r="B84" s="3259"/>
      <c r="C84" s="816" t="s">
        <v>662</v>
      </c>
      <c r="D84" s="816" t="s">
        <v>663</v>
      </c>
      <c r="E84" s="893">
        <v>0.2</v>
      </c>
      <c r="F84" s="880">
        <v>30</v>
      </c>
    </row>
    <row r="85" spans="1:6" s="876" customFormat="1" ht="36">
      <c r="A85" s="880">
        <v>25</v>
      </c>
      <c r="B85" s="3259"/>
      <c r="C85" s="816" t="s">
        <v>664</v>
      </c>
      <c r="D85" s="816" t="s">
        <v>665</v>
      </c>
      <c r="E85" s="893">
        <v>0.5</v>
      </c>
      <c r="F85" s="880">
        <v>80</v>
      </c>
    </row>
    <row r="86" spans="1:6" s="876" customFormat="1" ht="36">
      <c r="A86" s="880">
        <v>26</v>
      </c>
      <c r="B86" s="3259"/>
      <c r="C86" s="816" t="s">
        <v>666</v>
      </c>
      <c r="D86" s="816" t="s">
        <v>667</v>
      </c>
      <c r="E86" s="893">
        <v>0.2</v>
      </c>
      <c r="F86" s="880">
        <v>30</v>
      </c>
    </row>
    <row r="87" spans="1:6" s="876" customFormat="1" ht="36">
      <c r="A87" s="880">
        <v>27</v>
      </c>
      <c r="B87" s="3259"/>
      <c r="C87" s="816" t="s">
        <v>668</v>
      </c>
      <c r="D87" s="816" t="s">
        <v>669</v>
      </c>
      <c r="E87" s="893">
        <v>0.2</v>
      </c>
      <c r="F87" s="880">
        <v>30</v>
      </c>
    </row>
    <row r="88" spans="1:6" s="876" customFormat="1" ht="36">
      <c r="A88" s="880">
        <v>28</v>
      </c>
      <c r="B88" s="3259"/>
      <c r="C88" s="816" t="s">
        <v>670</v>
      </c>
      <c r="D88" s="816" t="s">
        <v>671</v>
      </c>
      <c r="E88" s="893">
        <v>0.2</v>
      </c>
      <c r="F88" s="880">
        <v>30</v>
      </c>
    </row>
    <row r="89" spans="1:6" s="876" customFormat="1" ht="24">
      <c r="A89" s="880">
        <v>29</v>
      </c>
      <c r="B89" s="3259"/>
      <c r="C89" s="816" t="s">
        <v>672</v>
      </c>
      <c r="D89" s="816" t="s">
        <v>673</v>
      </c>
      <c r="E89" s="893">
        <v>0.2</v>
      </c>
      <c r="F89" s="880">
        <v>30</v>
      </c>
    </row>
    <row r="90" spans="1:6" s="876" customFormat="1" ht="24">
      <c r="A90" s="880">
        <v>30</v>
      </c>
      <c r="B90" s="3259"/>
      <c r="C90" s="816" t="s">
        <v>674</v>
      </c>
      <c r="D90" s="816" t="s">
        <v>675</v>
      </c>
      <c r="E90" s="893">
        <v>0.2</v>
      </c>
      <c r="F90" s="880">
        <v>30</v>
      </c>
    </row>
    <row r="91" spans="1:6" s="876" customFormat="1" ht="36">
      <c r="A91" s="880">
        <v>31</v>
      </c>
      <c r="B91" s="3259"/>
      <c r="C91" s="816" t="s">
        <v>676</v>
      </c>
      <c r="D91" s="816" t="s">
        <v>677</v>
      </c>
      <c r="E91" s="893">
        <v>0.2</v>
      </c>
      <c r="F91" s="880">
        <v>30</v>
      </c>
    </row>
    <row r="92" spans="1:6" s="876" customFormat="1" ht="24">
      <c r="A92" s="880">
        <v>32</v>
      </c>
      <c r="B92" s="3259" t="s">
        <v>678</v>
      </c>
      <c r="C92" s="880" t="s">
        <v>679</v>
      </c>
      <c r="D92" s="816" t="s">
        <v>680</v>
      </c>
      <c r="E92" s="893">
        <v>0.2</v>
      </c>
      <c r="F92" s="880">
        <v>30</v>
      </c>
    </row>
    <row r="93" spans="1:6" s="876" customFormat="1" ht="36">
      <c r="A93" s="880">
        <v>33</v>
      </c>
      <c r="B93" s="3259"/>
      <c r="C93" s="880" t="s">
        <v>681</v>
      </c>
      <c r="D93" s="816" t="s">
        <v>682</v>
      </c>
      <c r="E93" s="893">
        <v>0.2</v>
      </c>
      <c r="F93" s="880">
        <v>30</v>
      </c>
    </row>
    <row r="94" spans="1:6" s="876" customFormat="1" ht="48">
      <c r="A94" s="880">
        <v>34</v>
      </c>
      <c r="B94" s="3259"/>
      <c r="C94" s="880" t="s">
        <v>683</v>
      </c>
      <c r="D94" s="816" t="s">
        <v>684</v>
      </c>
      <c r="E94" s="893">
        <v>0.2</v>
      </c>
      <c r="F94" s="880">
        <v>30</v>
      </c>
    </row>
    <row r="95" spans="1:6" s="876" customFormat="1" ht="36">
      <c r="A95" s="880">
        <v>35</v>
      </c>
      <c r="B95" s="3259"/>
      <c r="C95" s="880" t="s">
        <v>685</v>
      </c>
      <c r="D95" s="816" t="s">
        <v>686</v>
      </c>
      <c r="E95" s="893">
        <v>0.2</v>
      </c>
      <c r="F95" s="880">
        <v>30</v>
      </c>
    </row>
    <row r="96" spans="1:6" s="876" customFormat="1" ht="48">
      <c r="A96" s="880">
        <v>36</v>
      </c>
      <c r="B96" s="3259"/>
      <c r="C96" s="816" t="s">
        <v>687</v>
      </c>
      <c r="D96" s="816" t="s">
        <v>688</v>
      </c>
      <c r="E96" s="893">
        <v>0.2</v>
      </c>
      <c r="F96" s="880">
        <v>30</v>
      </c>
    </row>
    <row r="97" spans="1:6" s="876" customFormat="1" ht="36">
      <c r="A97" s="880">
        <v>37</v>
      </c>
      <c r="B97" s="3259"/>
      <c r="C97" s="880" t="s">
        <v>689</v>
      </c>
      <c r="D97" s="816" t="s">
        <v>690</v>
      </c>
      <c r="E97" s="893">
        <v>0.2</v>
      </c>
      <c r="F97" s="880">
        <v>30</v>
      </c>
    </row>
    <row r="98" spans="1:6" s="876" customFormat="1" ht="36">
      <c r="A98" s="880">
        <v>38</v>
      </c>
      <c r="B98" s="3259"/>
      <c r="C98" s="880" t="s">
        <v>691</v>
      </c>
      <c r="D98" s="816" t="s">
        <v>692</v>
      </c>
      <c r="E98" s="893">
        <v>0.2</v>
      </c>
      <c r="F98" s="880">
        <v>30</v>
      </c>
    </row>
    <row r="99" spans="1:6" s="876" customFormat="1" ht="36">
      <c r="A99" s="880">
        <v>39</v>
      </c>
      <c r="B99" s="3259" t="s">
        <v>693</v>
      </c>
      <c r="C99" s="880" t="s">
        <v>694</v>
      </c>
      <c r="D99" s="816" t="s">
        <v>695</v>
      </c>
      <c r="E99" s="893">
        <v>0.3</v>
      </c>
      <c r="F99" s="880">
        <v>50</v>
      </c>
    </row>
    <row r="100" spans="1:6" s="876" customFormat="1" ht="24">
      <c r="A100" s="880">
        <v>40</v>
      </c>
      <c r="B100" s="3259"/>
      <c r="C100" s="880" t="s">
        <v>696</v>
      </c>
      <c r="D100" s="816" t="s">
        <v>697</v>
      </c>
      <c r="E100" s="893">
        <v>0.2</v>
      </c>
      <c r="F100" s="880">
        <v>30</v>
      </c>
    </row>
    <row r="101" spans="1:6" s="876" customFormat="1" ht="36">
      <c r="A101" s="880">
        <v>41</v>
      </c>
      <c r="B101" s="325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59" t="s">
        <v>708</v>
      </c>
      <c r="C105" s="880" t="s">
        <v>709</v>
      </c>
      <c r="D105" s="816" t="s">
        <v>710</v>
      </c>
      <c r="E105" s="893">
        <v>0.2</v>
      </c>
      <c r="F105" s="880">
        <v>30</v>
      </c>
    </row>
    <row r="106" spans="1:6" s="876" customFormat="1" ht="36">
      <c r="A106" s="880">
        <v>46</v>
      </c>
      <c r="B106" s="3259"/>
      <c r="C106" s="880" t="s">
        <v>711</v>
      </c>
      <c r="D106" s="816" t="s">
        <v>712</v>
      </c>
      <c r="E106" s="893">
        <v>0.2</v>
      </c>
      <c r="F106" s="880">
        <v>30</v>
      </c>
    </row>
    <row r="107" spans="1:6" s="876" customFormat="1" ht="36">
      <c r="A107" s="880">
        <v>47</v>
      </c>
      <c r="B107" s="3259" t="s">
        <v>713</v>
      </c>
      <c r="C107" s="880" t="s">
        <v>714</v>
      </c>
      <c r="D107" s="816" t="s">
        <v>715</v>
      </c>
      <c r="E107" s="893">
        <v>0.3</v>
      </c>
      <c r="F107" s="880">
        <v>50</v>
      </c>
    </row>
    <row r="108" spans="1:6" s="876" customFormat="1" ht="36">
      <c r="A108" s="880">
        <v>48</v>
      </c>
      <c r="B108" s="325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59" t="s">
        <v>724</v>
      </c>
      <c r="C111" s="880" t="s">
        <v>725</v>
      </c>
      <c r="D111" s="816" t="s">
        <v>726</v>
      </c>
      <c r="E111" s="893">
        <v>0.2</v>
      </c>
      <c r="F111" s="880">
        <v>30</v>
      </c>
    </row>
    <row r="112" spans="1:6" s="876" customFormat="1" ht="24">
      <c r="A112" s="880">
        <v>52</v>
      </c>
      <c r="B112" s="3259"/>
      <c r="C112" s="880" t="s">
        <v>727</v>
      </c>
      <c r="D112" s="816" t="s">
        <v>728</v>
      </c>
      <c r="E112" s="893">
        <v>0.2</v>
      </c>
      <c r="F112" s="880">
        <v>30</v>
      </c>
    </row>
    <row r="113" spans="1:6" s="876" customFormat="1" ht="24">
      <c r="A113" s="880">
        <v>53</v>
      </c>
      <c r="B113" s="325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59" t="s">
        <v>737</v>
      </c>
      <c r="C116" s="880" t="s">
        <v>738</v>
      </c>
      <c r="D116" s="816" t="s">
        <v>739</v>
      </c>
      <c r="E116" s="893">
        <v>0.2</v>
      </c>
      <c r="F116" s="880">
        <v>30</v>
      </c>
    </row>
    <row r="117" spans="1:6" ht="36">
      <c r="A117" s="880">
        <v>57</v>
      </c>
      <c r="B117" s="325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65" t="s">
        <v>1150</v>
      </c>
      <c r="C1" s="3265"/>
      <c r="D1" s="3265"/>
      <c r="E1" s="3265"/>
      <c r="F1" s="3265"/>
      <c r="G1" s="3264" t="s">
        <v>1151</v>
      </c>
      <c r="H1" s="3264"/>
      <c r="I1" s="3264"/>
      <c r="J1" s="3264"/>
      <c r="K1" s="3264"/>
      <c r="L1" s="3264"/>
      <c r="N1" s="3264" t="s">
        <v>1152</v>
      </c>
      <c r="O1" s="3264"/>
      <c r="P1" s="3264"/>
      <c r="Q1" s="3264"/>
      <c r="R1" s="1446"/>
      <c r="S1" s="3264" t="s">
        <v>1153</v>
      </c>
      <c r="T1" s="3264"/>
      <c r="U1" s="3264"/>
      <c r="V1" s="3264"/>
      <c r="X1" s="3263" t="s">
        <v>1154</v>
      </c>
      <c r="Y1" s="3264"/>
      <c r="Z1" s="3264"/>
      <c r="AA1" s="3264"/>
      <c r="AB1" s="3264"/>
      <c r="AD1" s="3263" t="s">
        <v>1155</v>
      </c>
      <c r="AE1" s="3264"/>
      <c r="AF1" s="3264"/>
      <c r="AG1" s="3264"/>
      <c r="AH1" s="3264"/>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66">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61"/>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61"/>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62"/>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60">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61"/>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61"/>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62"/>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60">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61"/>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61"/>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62"/>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67">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68"/>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68"/>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69"/>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60">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61"/>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61"/>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62"/>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60">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61">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61">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62">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60">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61">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61">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62">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60">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61">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61">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62">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60">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61">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61">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62">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60">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61">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61">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62">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60">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61">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61">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62">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60">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61">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61">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62">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60">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61">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61">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62">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60">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61">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61">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62">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60">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61">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61">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62">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2"/>
      <c r="B4" s="2954" t="s">
        <v>1632</v>
      </c>
      <c r="C4" s="2954"/>
      <c r="D4" s="2954"/>
      <c r="E4" s="1962"/>
    </row>
    <row r="5" spans="1:5" ht="16.5" thickTop="1">
      <c r="A5" s="1960"/>
      <c r="B5" s="2952" t="s">
        <v>1624</v>
      </c>
      <c r="C5" s="1963" t="s">
        <v>1625</v>
      </c>
      <c r="D5" s="1041">
        <f ca="1">结果表!H101</f>
        <v>10149</v>
      </c>
      <c r="E5" s="1960"/>
    </row>
    <row r="6" spans="1:5" ht="15.75">
      <c r="A6" s="1960"/>
      <c r="B6" s="2952"/>
      <c r="C6" s="1963" t="s">
        <v>1626</v>
      </c>
      <c r="D6" s="1041" t="str">
        <f ca="1">NUMBERSTRING(INT(D5*10000),2)&amp;"元整"</f>
        <v>壹亿零壹佰肆拾玖万元整</v>
      </c>
      <c r="E6" s="1960"/>
    </row>
    <row r="7" spans="1:5" ht="15.75">
      <c r="A7" s="1960"/>
      <c r="B7" s="2957"/>
      <c r="C7" s="1964" t="s">
        <v>1627</v>
      </c>
      <c r="D7" s="1042">
        <f ca="1">结果表!H102</f>
        <v>24482</v>
      </c>
      <c r="E7" s="1960"/>
    </row>
    <row r="8" spans="1:5" ht="15.75">
      <c r="A8" s="1960"/>
      <c r="B8" s="2958" t="str">
        <f>结果表!E103</f>
        <v>2.估价师知悉的法定优先受偿款</v>
      </c>
      <c r="C8" s="1965" t="s">
        <v>1628</v>
      </c>
      <c r="D8" s="1042">
        <f>结果表!H103</f>
        <v>0</v>
      </c>
      <c r="E8" s="1960"/>
    </row>
    <row r="9" spans="1:5" ht="15.75">
      <c r="A9" s="1960"/>
      <c r="B9" s="2960"/>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51" t="str">
        <f>结果表!E107</f>
        <v>3.房地产抵押价值</v>
      </c>
      <c r="C13" s="1968" t="s">
        <v>1625</v>
      </c>
      <c r="D13" s="1044">
        <f ca="1">结果表!H107</f>
        <v>10149</v>
      </c>
      <c r="E13" s="1960"/>
    </row>
    <row r="14" spans="1:5" ht="15.75">
      <c r="A14" s="1960"/>
      <c r="B14" s="2952"/>
      <c r="C14" s="1963" t="s">
        <v>1626</v>
      </c>
      <c r="D14" s="1041" t="str">
        <f ca="1">NUMBERSTRING(INT(D13*10000),2)&amp;"元整"</f>
        <v>壹亿零壹佰肆拾玖万元整</v>
      </c>
      <c r="E14" s="1960"/>
    </row>
    <row r="15" spans="1:5" ht="15">
      <c r="A15" s="1960"/>
      <c r="B15" s="2957"/>
      <c r="C15" s="1964" t="s">
        <v>1636</v>
      </c>
      <c r="D15" s="1053">
        <f ca="1">结果表!H108</f>
        <v>24482</v>
      </c>
      <c r="E15" s="1960"/>
    </row>
    <row r="16" spans="1:5" ht="15">
      <c r="A16" s="1960"/>
      <c r="B16" s="2958" t="str">
        <f>结果表!E109</f>
        <v>——</v>
      </c>
      <c r="C16" s="1968" t="s">
        <v>1637</v>
      </c>
      <c r="D16" s="1969" t="str">
        <f>结果表!H109</f>
        <v>——</v>
      </c>
      <c r="E16" s="1960"/>
    </row>
    <row r="17" spans="1:5" ht="15.75">
      <c r="A17" s="1960"/>
      <c r="B17" s="2959"/>
      <c r="C17" s="1963" t="s">
        <v>1638</v>
      </c>
      <c r="D17" s="1041" t="e">
        <f>NUMBERSTRING(INT(D16*10000),2)&amp;"元整"</f>
        <v>#VALUE!</v>
      </c>
      <c r="E17" s="1960"/>
    </row>
    <row r="18" spans="1:5" ht="15">
      <c r="A18" s="1960"/>
      <c r="B18" s="2960"/>
      <c r="C18" s="1964" t="s">
        <v>1627</v>
      </c>
      <c r="D18" s="1053" t="str">
        <f>结果表!H110</f>
        <v>——</v>
      </c>
      <c r="E18" s="1960"/>
    </row>
    <row r="19" spans="1:5" ht="15.75">
      <c r="A19" s="1960"/>
      <c r="B19" s="2951" t="str">
        <f>结果表!E111</f>
        <v>——</v>
      </c>
      <c r="C19" s="1968" t="s">
        <v>1625</v>
      </c>
      <c r="D19" s="1042" t="str">
        <f>结果表!H111</f>
        <v>——</v>
      </c>
      <c r="E19" s="1960"/>
    </row>
    <row r="20" spans="1:5" ht="15.75">
      <c r="A20" s="1960"/>
      <c r="B20" s="2952"/>
      <c r="C20" s="1963" t="s">
        <v>1638</v>
      </c>
      <c r="D20" s="1041" t="e">
        <f>NUMBERSTRING(INT(D19*10000),2)&amp;"元整"</f>
        <v>#VALUE!</v>
      </c>
      <c r="E20" s="1960"/>
    </row>
    <row r="21" spans="1:5" ht="15.75" thickBot="1">
      <c r="A21" s="1960"/>
      <c r="B21" s="2953"/>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29943</v>
      </c>
      <c r="C2" s="2" t="s">
        <v>133</v>
      </c>
      <c r="D2" s="243"/>
      <c r="E2" s="243"/>
      <c r="F2" s="243"/>
      <c r="G2" s="243"/>
    </row>
    <row r="3" spans="1:7" s="244" customFormat="1" ht="18" customHeight="1" thickBot="1">
      <c r="A3" s="247" t="s">
        <v>85</v>
      </c>
      <c r="B3" s="248">
        <f ca="1">ROUND(B2*10000/'数据-汇总表'!E3,0)</f>
        <v>72230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4145.53</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83</v>
      </c>
      <c r="D19" s="1037">
        <f>'数据-汇总表'!E3</f>
        <v>4145.53</v>
      </c>
      <c r="E19" s="255">
        <f>'数据-取费表'!B31</f>
        <v>200</v>
      </c>
      <c r="F19" s="275"/>
      <c r="G19" s="1" t="s">
        <v>1074</v>
      </c>
    </row>
    <row r="20" spans="1:7" s="258" customFormat="1" ht="13.5" customHeight="1">
      <c r="A20" s="949" t="s">
        <v>1057</v>
      </c>
      <c r="B20" s="254" t="s">
        <v>104</v>
      </c>
      <c r="C20" s="276">
        <f>ROUND((C5+C19)*F20,0)</f>
        <v>418</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918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2" t="s">
        <v>794</v>
      </c>
      <c r="B23" s="259" t="s">
        <v>1061</v>
      </c>
      <c r="C23" s="1355">
        <f ca="1">ROUND(IF('数据-取费表'!B22&lt;=1,C5*F22*'数据-取费表'!B23,C5*(POWER((1+F22),'数据-取费表'!B23)-1)),0)</f>
        <v>905</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4</v>
      </c>
      <c r="D24" s="282"/>
      <c r="E24" s="282"/>
      <c r="F24" s="283"/>
      <c r="G24" s="284" t="s">
        <v>109</v>
      </c>
    </row>
    <row r="25" spans="1:7" s="258" customFormat="1" ht="24">
      <c r="A25" s="952" t="s">
        <v>793</v>
      </c>
      <c r="B25" s="259" t="s">
        <v>1058</v>
      </c>
      <c r="C25" s="1355">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4262</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4262</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949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829</v>
      </c>
      <c r="D34" s="261"/>
      <c r="E34" s="264"/>
      <c r="F34" s="301">
        <f>IF('数据-取费表'!B24=0,1,'数据-取费表'!N16)</f>
        <v>1</v>
      </c>
      <c r="G34" s="263" t="s">
        <v>116</v>
      </c>
    </row>
    <row r="35" spans="1:7" ht="13.5" customHeight="1">
      <c r="A35" s="952" t="s">
        <v>796</v>
      </c>
      <c r="B35" s="259" t="s">
        <v>60</v>
      </c>
      <c r="C35" s="264">
        <f>ROUND(C34*F35,0)</f>
        <v>25</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83</v>
      </c>
      <c r="D37" s="261">
        <f>'数据-汇总表'!E3</f>
        <v>4145.53</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19</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21</v>
      </c>
      <c r="D41" s="279">
        <f ca="1">C44</f>
        <v>4.0000000000000002E-4</v>
      </c>
      <c r="E41" s="280" t="s">
        <v>129</v>
      </c>
      <c r="F41" s="281"/>
      <c r="G41" s="1289" t="str">
        <f>IF('数据-取费表'!B22&lt;=1,"单利计息","复利计息")</f>
        <v>单利计息</v>
      </c>
    </row>
    <row r="42" spans="1:7" ht="13.5" customHeight="1">
      <c r="A42" s="952" t="s">
        <v>794</v>
      </c>
      <c r="B42" s="259" t="s">
        <v>1061</v>
      </c>
      <c r="C42" s="282">
        <f ca="1">ROUND(IF('数据-取费表'!B22&lt;=1,C33*F22*'数据-取费表'!B21/2,C33*(POWER((1+F22),'数据-取费表'!B21/2)-1)),0)</f>
        <v>21</v>
      </c>
      <c r="D42" s="282"/>
      <c r="E42" s="282"/>
      <c r="F42" s="283"/>
      <c r="G42" s="3133" t="s">
        <v>121</v>
      </c>
    </row>
    <row r="43" spans="1:7" ht="13.5" customHeight="1">
      <c r="A43" s="952" t="s">
        <v>792</v>
      </c>
      <c r="B43" s="259" t="s">
        <v>1064</v>
      </c>
      <c r="C43" s="282">
        <f ca="1">ROUND(IF('数据-取费表'!B22&lt;=1,C39*F22*'数据-取费表'!B21/2,C39*(POWER((1+F22),'数据-取费表'!B21/2)-1)),0)</f>
        <v>0</v>
      </c>
      <c r="D43" s="282"/>
      <c r="E43" s="282"/>
      <c r="F43" s="283"/>
      <c r="G43" s="3134"/>
    </row>
    <row r="44" spans="1:7" ht="13.5" customHeight="1">
      <c r="A44" s="952" t="s">
        <v>793</v>
      </c>
      <c r="B44" s="259" t="s">
        <v>1066</v>
      </c>
      <c r="C44" s="282">
        <f ca="1">ROUND(IF('数据-取费表'!B22&lt;=1,C40*F22*'数据-取费表'!B21/2,C40*(POWER((1+F22),'数据-取费表'!B21/2)-1)),4)</f>
        <v>4.0000000000000002E-4</v>
      </c>
      <c r="D44" s="282"/>
      <c r="E44" s="282"/>
      <c r="F44" s="283"/>
      <c r="G44" s="3135"/>
    </row>
    <row r="45" spans="1:7" s="258" customFormat="1" ht="13.5" customHeight="1">
      <c r="A45" s="949" t="s">
        <v>786</v>
      </c>
      <c r="B45" s="288" t="s">
        <v>112</v>
      </c>
      <c r="C45" s="289">
        <f>C46</f>
        <v>194</v>
      </c>
      <c r="D45" s="279">
        <f>C47</f>
        <v>4.0000000000000001E-3</v>
      </c>
      <c r="E45" s="280" t="s">
        <v>129</v>
      </c>
      <c r="F45" s="290"/>
      <c r="G45" s="291" t="s">
        <v>1072</v>
      </c>
    </row>
    <row r="46" spans="1:7" s="258" customFormat="1" ht="13.5" customHeight="1">
      <c r="A46" s="952" t="s">
        <v>794</v>
      </c>
      <c r="B46" s="292" t="s">
        <v>1065</v>
      </c>
      <c r="C46" s="293">
        <f>ROUND((C33+C39)*F27,0)</f>
        <v>194</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1283</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1219</v>
      </c>
      <c r="D51" s="276"/>
      <c r="E51" s="276"/>
      <c r="F51" s="308"/>
      <c r="G51" s="278" t="s">
        <v>64</v>
      </c>
    </row>
    <row r="52" spans="1:7" s="252" customFormat="1" ht="16.5" thickBot="1">
      <c r="A52" s="309" t="s">
        <v>65</v>
      </c>
      <c r="B52" s="310"/>
      <c r="C52" s="311">
        <f ca="1">C31+C51</f>
        <v>29943</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0" t="s">
        <v>156</v>
      </c>
      <c r="B1" s="3270"/>
      <c r="C1" s="3270"/>
      <c r="D1" s="3270"/>
      <c r="E1" s="3270"/>
      <c r="F1" s="327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1" t="s">
        <v>169</v>
      </c>
      <c r="B2" s="3271"/>
      <c r="C2" s="3271"/>
      <c r="D2" s="3271"/>
      <c r="E2" s="3271"/>
      <c r="F2" s="327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0" t="s">
        <v>871</v>
      </c>
      <c r="B1" s="327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46" workbookViewId="0">
      <selection activeCell="L77" sqref="L77"/>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1643</v>
      </c>
      <c r="B2" s="2971" t="s">
        <v>1644</v>
      </c>
      <c r="C2" s="2971" t="s">
        <v>1645</v>
      </c>
      <c r="D2" s="2971" t="str">
        <f>结果表!D116</f>
        <v>出让国有建设用地使用权价值</v>
      </c>
      <c r="E2" s="2971"/>
      <c r="F2" s="2971" t="str">
        <f>结果表!F116</f>
        <v>建筑物价值</v>
      </c>
      <c r="G2" s="2971"/>
      <c r="H2" s="2971" t="str">
        <f>IF(项目基本情况!B9="房地产市场价值","房地产市场价值","房地产价值")</f>
        <v>房地产价值</v>
      </c>
      <c r="I2" s="2971"/>
    </row>
    <row r="3" spans="1:9" ht="15">
      <c r="A3" s="2965"/>
      <c r="B3" s="2965"/>
      <c r="C3" s="2965"/>
      <c r="D3" s="1045" t="s">
        <v>1640</v>
      </c>
      <c r="E3" s="1045" t="s">
        <v>1646</v>
      </c>
      <c r="F3" s="1045" t="s">
        <v>1640</v>
      </c>
      <c r="G3" s="1045" t="s">
        <v>1641</v>
      </c>
      <c r="H3" s="1045" t="s">
        <v>1640</v>
      </c>
      <c r="I3" s="1045" t="s">
        <v>1641</v>
      </c>
    </row>
    <row r="4" spans="1:9" ht="60">
      <c r="A4" s="1974" t="str">
        <f>项目基本情况!S2</f>
        <v>河北省廊坊市三河市燕郊开发区迎宾南路东侧、南城大街南侧天洋城4代商业·荷塘月色时尚街区S9号楼房地产</v>
      </c>
      <c r="B4" s="1045">
        <f>项目基本情况!C17</f>
        <v>4145.53</v>
      </c>
      <c r="C4" s="1045">
        <f>项目基本情况!C18</f>
        <v>6541.77</v>
      </c>
      <c r="D4" s="1045">
        <f ca="1">结果表!D118</f>
        <v>8414</v>
      </c>
      <c r="E4" s="1045">
        <f ca="1">结果表!E118</f>
        <v>20297</v>
      </c>
      <c r="F4" s="1045">
        <f ca="1">结果表!F118</f>
        <v>1735</v>
      </c>
      <c r="G4" s="1045">
        <f ca="1">结果表!G118</f>
        <v>4185</v>
      </c>
      <c r="H4" s="1045">
        <f ca="1">结果表!H118</f>
        <v>10149</v>
      </c>
      <c r="I4" s="1045">
        <f ca="1">结果表!I118</f>
        <v>24482</v>
      </c>
    </row>
    <row r="5" spans="1:9" ht="30" customHeight="1">
      <c r="A5" s="2965" t="s">
        <v>1642</v>
      </c>
      <c r="B5" s="2965"/>
      <c r="C5" s="2965"/>
      <c r="D5" s="2966" t="str">
        <f ca="1">结果表!D119</f>
        <v>捌仟肆佰壹拾肆万元整</v>
      </c>
      <c r="E5" s="2966"/>
      <c r="F5" s="2966" t="str">
        <f ca="1">结果表!F119</f>
        <v>壹仟柒佰叁拾伍万元整</v>
      </c>
      <c r="G5" s="2966"/>
      <c r="H5" s="2966" t="str">
        <f ca="1">结果表!H119</f>
        <v>壹亿零壹佰肆拾玖万元整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1642</v>
      </c>
      <c r="B7" s="2965"/>
      <c r="C7" s="2965"/>
      <c r="D7" s="2967" t="str">
        <f>结果表!D121</f>
        <v>零元整</v>
      </c>
      <c r="E7" s="2968"/>
      <c r="F7" s="2968"/>
      <c r="G7" s="2968"/>
      <c r="H7" s="2968"/>
      <c r="I7" s="2969"/>
    </row>
    <row r="8" spans="1:9" ht="15.75">
      <c r="A8" s="2964" t="str">
        <f>结果表!A122</f>
        <v>房地产抵押价值</v>
      </c>
      <c r="B8" s="2964"/>
      <c r="C8" s="2964"/>
      <c r="D8" s="2964">
        <f ca="1">结果表!D122</f>
        <v>10149</v>
      </c>
      <c r="E8" s="2964"/>
      <c r="F8" s="2964"/>
      <c r="G8" s="2964"/>
      <c r="H8" s="2964"/>
      <c r="I8" s="2964"/>
    </row>
    <row r="9" spans="1:9" ht="15">
      <c r="A9" s="2965" t="s">
        <v>1642</v>
      </c>
      <c r="B9" s="2965"/>
      <c r="C9" s="2965"/>
      <c r="D9" s="2966" t="str">
        <f ca="1">结果表!D123</f>
        <v>壹亿零壹佰肆拾玖万元整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1642</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1642</v>
      </c>
      <c r="B13" s="2961"/>
      <c r="C13" s="2961"/>
      <c r="D13" s="2962" t="e">
        <f>结果表!D127</f>
        <v>#VALUE!</v>
      </c>
      <c r="E13" s="2962"/>
      <c r="F13" s="2962"/>
      <c r="G13" s="2962"/>
      <c r="H13" s="2962"/>
      <c r="I13" s="2962"/>
    </row>
    <row r="14" spans="1:9" ht="15" thickTop="1">
      <c r="A14" s="2963" t="s">
        <v>1647</v>
      </c>
      <c r="B14" s="2963"/>
      <c r="C14" s="2963"/>
      <c r="D14" s="2963"/>
      <c r="E14" s="2963"/>
      <c r="F14" s="2963"/>
      <c r="G14" s="2963"/>
      <c r="H14" s="2963"/>
      <c r="I14" s="2963"/>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8" t="s">
        <v>1664</v>
      </c>
      <c r="B1" s="2978"/>
      <c r="C1" s="2978"/>
      <c r="D1" s="2978"/>
    </row>
    <row r="2" spans="1:4" ht="18">
      <c r="A2" s="2979" t="s">
        <v>1648</v>
      </c>
      <c r="B2" s="2979"/>
      <c r="C2" s="2979"/>
      <c r="D2" s="2979"/>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2979" t="s">
        <v>1654</v>
      </c>
      <c r="B6" s="2979"/>
      <c r="C6" s="2979"/>
      <c r="D6" s="2979"/>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2980" t="s">
        <v>1657</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2" t="str">
        <f>IF(项目基本情况!B8="抵押","4.本次评估估价师所知悉的法定优先受偿款情况说明如下：","——")</f>
        <v>4.本次评估估价师所知悉的法定优先受偿款情况说明如下：</v>
      </c>
      <c r="B14" s="2977"/>
      <c r="C14" s="2977"/>
      <c r="D14" s="2977"/>
    </row>
    <row r="15" spans="1:4" ht="42" customHeight="1">
      <c r="A15" s="2972" t="str">
        <f>IF(项目基本情况!B8="抵押","（1）"&amp;CONCATENATE(项目基本情况!L20,项目基本情况!L21,项目基本情况!L22),"——")</f>
        <v>（1）根据估价对象《房屋所有权证》复印件、《国有土地使用权》原件，截至价值时点，估价对象抵押权未见登记。</v>
      </c>
      <c r="B15" s="2972"/>
      <c r="C15" s="2972"/>
      <c r="D15" s="2972"/>
    </row>
    <row r="16" spans="1:4" ht="30" customHeight="1">
      <c r="A16" s="2974" t="s">
        <v>1658</v>
      </c>
      <c r="B16" s="2974"/>
      <c r="C16" s="2974"/>
      <c r="D16" s="2974"/>
    </row>
    <row r="17" spans="1:4" ht="144" customHeight="1">
      <c r="A17" s="2974" t="s">
        <v>1659</v>
      </c>
      <c r="B17" s="2974"/>
      <c r="C17" s="2974"/>
      <c r="D17" s="2974"/>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1660</v>
      </c>
      <c r="B22" s="2976"/>
      <c r="C22" s="2976"/>
      <c r="D22" s="2976"/>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86" t="s">
        <v>1671</v>
      </c>
      <c r="B15" s="2981" t="s">
        <v>136</v>
      </c>
      <c r="C15" s="2982"/>
    </row>
    <row r="16" spans="1:7" ht="13.5">
      <c r="A16" s="2987"/>
      <c r="B16" s="2981" t="s">
        <v>69</v>
      </c>
      <c r="C16" s="2982"/>
    </row>
    <row r="17" spans="1:3" ht="13.5">
      <c r="A17" s="2987"/>
      <c r="B17" s="2984" t="s">
        <v>1672</v>
      </c>
      <c r="C17" s="2001" t="s">
        <v>1671</v>
      </c>
    </row>
    <row r="18" spans="1:3" ht="13.5">
      <c r="A18" s="2987"/>
      <c r="B18" s="2984"/>
      <c r="C18" s="2001" t="s">
        <v>1673</v>
      </c>
    </row>
    <row r="19" spans="1:3" ht="13.5">
      <c r="A19" s="2987"/>
      <c r="B19" s="2984"/>
      <c r="C19" s="2001" t="s">
        <v>1674</v>
      </c>
    </row>
    <row r="20" spans="1:3" ht="13.5">
      <c r="A20" s="2988"/>
      <c r="B20" s="2983" t="s">
        <v>1675</v>
      </c>
      <c r="C20" s="2982"/>
    </row>
    <row r="21" spans="1:3" ht="13.5">
      <c r="A21" s="2002" t="s">
        <v>1676</v>
      </c>
      <c r="B21" s="2003"/>
      <c r="C21" s="2004"/>
    </row>
    <row r="22" spans="1:3" ht="13.5">
      <c r="A22" s="2985" t="s">
        <v>1677</v>
      </c>
      <c r="B22" s="2983" t="s">
        <v>1678</v>
      </c>
      <c r="C22" s="2982"/>
    </row>
    <row r="23" spans="1:3" ht="13.5">
      <c r="A23" s="2985"/>
      <c r="B23" s="2983" t="s">
        <v>1679</v>
      </c>
      <c r="C23" s="2982"/>
    </row>
    <row r="24" spans="1:3" ht="13.5">
      <c r="A24" s="2985"/>
      <c r="B24" s="2983" t="s">
        <v>1680</v>
      </c>
      <c r="C24" s="2982"/>
    </row>
    <row r="25" spans="1:3" ht="13.5">
      <c r="A25" s="2985"/>
      <c r="B25" s="2984" t="s">
        <v>1681</v>
      </c>
      <c r="C25" s="2001" t="s">
        <v>1682</v>
      </c>
    </row>
    <row r="26" spans="1:3" ht="13.5">
      <c r="A26" s="2985"/>
      <c r="B26" s="2984"/>
      <c r="C26" s="2001" t="s">
        <v>1683</v>
      </c>
    </row>
    <row r="27" spans="1:3" ht="13.5">
      <c r="A27" s="2985"/>
      <c r="B27" s="2984"/>
      <c r="C27" s="2001" t="s">
        <v>1684</v>
      </c>
    </row>
    <row r="28" spans="1:3" ht="13.5">
      <c r="A28" s="2985"/>
      <c r="B28" s="2984"/>
      <c r="C28" s="2001" t="s">
        <v>1685</v>
      </c>
    </row>
    <row r="29" spans="1:3" ht="13.5">
      <c r="A29" s="2985"/>
      <c r="B29" s="2984"/>
      <c r="C29" s="2001" t="s">
        <v>1686</v>
      </c>
    </row>
    <row r="30" spans="1:3" ht="13.5">
      <c r="A30" s="2985"/>
      <c r="B30" s="2984"/>
      <c r="C30" s="2001" t="s">
        <v>1687</v>
      </c>
    </row>
    <row r="31" spans="1:3" ht="13.5">
      <c r="A31" s="2985"/>
      <c r="B31" s="2984"/>
      <c r="C31" s="2001" t="s">
        <v>1688</v>
      </c>
    </row>
    <row r="32" spans="1:3" ht="13.5">
      <c r="A32" s="2985"/>
      <c r="B32" s="2984"/>
      <c r="C32" s="2001" t="s">
        <v>1689</v>
      </c>
    </row>
    <row r="33" spans="1:3" ht="13.5">
      <c r="A33" s="2985"/>
      <c r="B33" s="2984"/>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2989" t="s">
        <v>846</v>
      </c>
      <c r="B25" s="2989"/>
      <c r="C25" s="2989"/>
      <c r="D25" s="2989"/>
      <c r="E25" s="2989"/>
      <c r="F25" s="2989"/>
      <c r="G25" s="2989"/>
    </row>
    <row r="26" spans="1:7" s="1026" customFormat="1" ht="24" customHeight="1">
      <c r="A26" s="2990" t="s">
        <v>847</v>
      </c>
      <c r="B26" s="2990"/>
      <c r="C26" s="2991"/>
      <c r="D26" s="2992" t="s">
        <v>848</v>
      </c>
      <c r="E26" s="2990"/>
      <c r="F26" s="2990"/>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2017-11-15T05:20:28Z</dcterms:modified>
</cp:coreProperties>
</file>